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Rosenberg\Work\USU\Research\ColoradoRiver\RCode\ColoradoRiverCollaborate\LakeMeadWaterBankDivideInflow\"/>
    </mc:Choice>
  </mc:AlternateContent>
  <xr:revisionPtr revIDLastSave="0" documentId="13_ncr:1_{B170B94D-849B-4C52-A1CE-FB26C850B61D}" xr6:coauthVersionLast="47" xr6:coauthVersionMax="47" xr10:uidLastSave="{00000000-0000-0000-0000-000000000000}"/>
  <bookViews>
    <workbookView xWindow="57480" yWindow="-1260" windowWidth="29040" windowHeight="15720" xr2:uid="{5373AB19-D84C-490D-97DC-C516D358024A}"/>
  </bookViews>
  <sheets>
    <sheet name="ReadMe-Directions" sheetId="62" r:id="rId1"/>
    <sheet name="Versions" sheetId="31" r:id="rId2"/>
    <sheet name="Master" sheetId="47" r:id="rId3"/>
    <sheet name="DivideInflow" sheetId="61" r:id="rId4"/>
    <sheet name="TribalWater" sheetId="63" r:id="rId5"/>
    <sheet name="SplitInflowPlot" sheetId="59" r:id="rId6"/>
    <sheet name="SplitInflowForPlot" sheetId="60" r:id="rId7"/>
    <sheet name="MandatoryConservation" sheetId="41" r:id="rId8"/>
    <sheet name="PowellReleaseTemperature" sheetId="43" r:id="rId9"/>
    <sheet name="Mead-Elevation-Area" sheetId="10" r:id="rId10"/>
    <sheet name="CellType" sheetId="54" r:id="rId11"/>
    <sheet name="BasinConservationPrograms" sheetId="65" r:id="rId12"/>
    <sheet name="LakeMeadInflowScenarios" sheetId="64"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4" i="47" l="1"/>
  <c r="F134" i="47"/>
  <c r="G134" i="47"/>
  <c r="E135" i="47"/>
  <c r="F135" i="47"/>
  <c r="G135" i="47"/>
  <c r="E136" i="47"/>
  <c r="F136" i="47"/>
  <c r="G136" i="47"/>
  <c r="E137" i="47"/>
  <c r="F137" i="47"/>
  <c r="G137" i="47"/>
  <c r="E138" i="47"/>
  <c r="F138" i="47"/>
  <c r="G138" i="47"/>
  <c r="E139" i="47"/>
  <c r="F139" i="47"/>
  <c r="G139" i="47"/>
  <c r="D127" i="47"/>
  <c r="E127" i="47"/>
  <c r="F127" i="47"/>
  <c r="G127" i="47"/>
  <c r="D128" i="47"/>
  <c r="E128" i="47"/>
  <c r="F128" i="47"/>
  <c r="G128" i="47"/>
  <c r="D129" i="47"/>
  <c r="E129" i="47"/>
  <c r="F129" i="47"/>
  <c r="G129" i="47"/>
  <c r="D130" i="47"/>
  <c r="E130" i="47"/>
  <c r="F130" i="47"/>
  <c r="G130" i="47"/>
  <c r="D131" i="47"/>
  <c r="E131" i="47"/>
  <c r="F131" i="47"/>
  <c r="G131" i="47"/>
  <c r="D132" i="47"/>
  <c r="E132" i="47"/>
  <c r="F132" i="47"/>
  <c r="G132" i="47"/>
  <c r="D119" i="47"/>
  <c r="E119" i="47"/>
  <c r="F119" i="47"/>
  <c r="G119" i="47"/>
  <c r="D120" i="47"/>
  <c r="E120" i="47"/>
  <c r="F120" i="47"/>
  <c r="G120" i="47"/>
  <c r="D121" i="47"/>
  <c r="E121" i="47"/>
  <c r="F121" i="47"/>
  <c r="G121" i="47"/>
  <c r="D122" i="47"/>
  <c r="E122" i="47"/>
  <c r="F122" i="47"/>
  <c r="G122" i="47"/>
  <c r="D123" i="47"/>
  <c r="E123" i="47"/>
  <c r="F123" i="47"/>
  <c r="G123" i="47"/>
  <c r="D124" i="47"/>
  <c r="E124" i="47"/>
  <c r="F124" i="47"/>
  <c r="G124" i="47"/>
  <c r="D125" i="47"/>
  <c r="E125" i="47"/>
  <c r="F125" i="47"/>
  <c r="G125" i="47"/>
  <c r="C132" i="47"/>
  <c r="C131" i="47"/>
  <c r="C130" i="47"/>
  <c r="C129" i="47"/>
  <c r="C128" i="47"/>
  <c r="C127" i="47"/>
  <c r="C124" i="47"/>
  <c r="C123" i="47"/>
  <c r="C122" i="47"/>
  <c r="C121" i="47"/>
  <c r="C120" i="47"/>
  <c r="C119" i="47"/>
  <c r="D75" i="47"/>
  <c r="E75" i="47"/>
  <c r="F75" i="47"/>
  <c r="G75" i="47"/>
  <c r="D84" i="47"/>
  <c r="E84" i="47"/>
  <c r="F84" i="47"/>
  <c r="G84" i="47"/>
  <c r="D93" i="47"/>
  <c r="E93" i="47"/>
  <c r="F93" i="47"/>
  <c r="G93" i="47"/>
  <c r="D102" i="47"/>
  <c r="E102" i="47"/>
  <c r="F102" i="47"/>
  <c r="G102" i="47"/>
  <c r="D111" i="47"/>
  <c r="E111" i="47"/>
  <c r="F111" i="47"/>
  <c r="G111" i="47"/>
  <c r="C111" i="47"/>
  <c r="C102" i="47"/>
  <c r="C93" i="47"/>
  <c r="C84" i="47"/>
  <c r="E66" i="47"/>
  <c r="F66" i="47"/>
  <c r="G66" i="47"/>
  <c r="D66" i="47" l="1"/>
  <c r="C75" i="47"/>
  <c r="M75" i="47" s="1"/>
  <c r="C66" i="47"/>
  <c r="M64" i="47"/>
  <c r="M109" i="47"/>
  <c r="M100" i="47"/>
  <c r="M91" i="47"/>
  <c r="M82" i="47"/>
  <c r="C7" i="65"/>
  <c r="E7" i="65"/>
  <c r="O8" i="61"/>
  <c r="C52" i="47"/>
  <c r="P10" i="61"/>
  <c r="P11" i="61"/>
  <c r="P12" i="61"/>
  <c r="P13" i="61"/>
  <c r="P14" i="61"/>
  <c r="P15" i="61"/>
  <c r="P16" i="61"/>
  <c r="P17" i="61"/>
  <c r="P9" i="61"/>
  <c r="P8" i="61"/>
  <c r="F15" i="61"/>
  <c r="O26" i="61" s="1"/>
  <c r="E15" i="61"/>
  <c r="N26" i="61" s="1"/>
  <c r="D15" i="61"/>
  <c r="M26" i="61" s="1"/>
  <c r="C15" i="61"/>
  <c r="F14" i="61"/>
  <c r="E14" i="61"/>
  <c r="D14" i="61"/>
  <c r="M25" i="61" s="1"/>
  <c r="C14" i="61"/>
  <c r="F13" i="61"/>
  <c r="E13" i="61"/>
  <c r="N24" i="61" s="1"/>
  <c r="D13" i="61"/>
  <c r="M24" i="61" s="1"/>
  <c r="C13" i="61"/>
  <c r="F12" i="61"/>
  <c r="O23" i="61" s="1"/>
  <c r="E12" i="61"/>
  <c r="N23" i="61" s="1"/>
  <c r="D12" i="61"/>
  <c r="M23" i="61" s="1"/>
  <c r="M9" i="61" s="1"/>
  <c r="C12" i="61"/>
  <c r="G11" i="61"/>
  <c r="G9" i="61"/>
  <c r="G8" i="61"/>
  <c r="G7" i="61"/>
  <c r="Q22" i="61"/>
  <c r="J29" i="61"/>
  <c r="J30" i="61"/>
  <c r="J28" i="61"/>
  <c r="I26" i="64"/>
  <c r="I25" i="64"/>
  <c r="I24" i="64"/>
  <c r="I23" i="64"/>
  <c r="I22" i="64"/>
  <c r="I21" i="64"/>
  <c r="I20" i="64"/>
  <c r="I19" i="64"/>
  <c r="I18" i="64"/>
  <c r="I17" i="64"/>
  <c r="I16" i="64"/>
  <c r="I15" i="64"/>
  <c r="I14" i="64"/>
  <c r="I13" i="64"/>
  <c r="I12" i="64"/>
  <c r="I11" i="64"/>
  <c r="I10" i="64"/>
  <c r="I9" i="64"/>
  <c r="I8" i="64"/>
  <c r="I7" i="64"/>
  <c r="I6" i="64"/>
  <c r="I5" i="64"/>
  <c r="C20" i="47"/>
  <c r="B36" i="47" s="1"/>
  <c r="A108" i="47"/>
  <c r="A99" i="47"/>
  <c r="A90" i="47"/>
  <c r="A81" i="47"/>
  <c r="A72" i="47"/>
  <c r="A63" i="47"/>
  <c r="C23" i="63"/>
  <c r="B23" i="63"/>
  <c r="G6" i="63"/>
  <c r="G7" i="63"/>
  <c r="G5" i="63"/>
  <c r="D14" i="63"/>
  <c r="C14" i="63"/>
  <c r="A1" i="47"/>
  <c r="A20" i="47"/>
  <c r="K31" i="61"/>
  <c r="H45" i="47"/>
  <c r="I45" i="47"/>
  <c r="J45" i="47"/>
  <c r="K45" i="47"/>
  <c r="L45" i="47"/>
  <c r="D43" i="47"/>
  <c r="E43" i="47"/>
  <c r="F43" i="47"/>
  <c r="G43" i="47"/>
  <c r="A56" i="47"/>
  <c r="A57" i="47"/>
  <c r="A58" i="47"/>
  <c r="A59" i="47"/>
  <c r="A55" i="47"/>
  <c r="D52" i="47"/>
  <c r="E52" i="47"/>
  <c r="F52" i="47"/>
  <c r="G52" i="47"/>
  <c r="K27" i="61"/>
  <c r="J26" i="61"/>
  <c r="K26" i="61" s="1"/>
  <c r="J25" i="61"/>
  <c r="K25" i="61" s="1"/>
  <c r="J24" i="61"/>
  <c r="K24" i="61" s="1"/>
  <c r="J23" i="61"/>
  <c r="K23" i="61" s="1"/>
  <c r="T22" i="61"/>
  <c r="S22" i="61"/>
  <c r="R22" i="61"/>
  <c r="P22" i="61"/>
  <c r="J22" i="61"/>
  <c r="C19" i="47"/>
  <c r="M102" i="47" l="1"/>
  <c r="M111" i="47"/>
  <c r="M93" i="47"/>
  <c r="M84" i="47"/>
  <c r="M66" i="47"/>
  <c r="N9" i="61"/>
  <c r="T9" i="61" s="1"/>
  <c r="N10" i="61"/>
  <c r="T10" i="61" s="1"/>
  <c r="M12" i="61"/>
  <c r="M10" i="61"/>
  <c r="M11" i="61"/>
  <c r="N8" i="61"/>
  <c r="T8" i="61" s="1"/>
  <c r="M8" i="61"/>
  <c r="S8" i="61" s="1"/>
  <c r="B57" i="47" s="1"/>
  <c r="N12" i="61"/>
  <c r="T12" i="61" s="1"/>
  <c r="B55" i="47" s="1"/>
  <c r="V8" i="61"/>
  <c r="B59" i="47" s="1"/>
  <c r="L8" i="61"/>
  <c r="R8" i="61" s="1"/>
  <c r="H5" i="63"/>
  <c r="G13" i="61"/>
  <c r="G15" i="61"/>
  <c r="G8" i="63"/>
  <c r="G14" i="61"/>
  <c r="G12" i="61"/>
  <c r="R23" i="61"/>
  <c r="U22" i="61"/>
  <c r="O29" i="61"/>
  <c r="T29" i="61" s="1"/>
  <c r="S23" i="61"/>
  <c r="T23" i="61"/>
  <c r="N29" i="61"/>
  <c r="M29" i="61"/>
  <c r="O30" i="61"/>
  <c r="T30" i="61" s="1"/>
  <c r="M30" i="61"/>
  <c r="M28" i="61"/>
  <c r="O28" i="61"/>
  <c r="T28" i="61" s="1"/>
  <c r="N30" i="61"/>
  <c r="N16" i="61" s="1"/>
  <c r="T16" i="61" s="1"/>
  <c r="N28" i="61"/>
  <c r="N14" i="61" s="1"/>
  <c r="T14" i="61" s="1"/>
  <c r="L23" i="61"/>
  <c r="L25" i="61"/>
  <c r="M27" i="61"/>
  <c r="R26" i="61"/>
  <c r="T26" i="61"/>
  <c r="O27" i="61"/>
  <c r="T27" i="61" s="1"/>
  <c r="T31" i="61" s="1"/>
  <c r="O31" i="61" s="1"/>
  <c r="S26" i="61"/>
  <c r="N27" i="61"/>
  <c r="N13" i="61" s="1"/>
  <c r="T13" i="61" s="1"/>
  <c r="R25" i="61"/>
  <c r="S24" i="61"/>
  <c r="R24" i="61"/>
  <c r="N25" i="61"/>
  <c r="N11" i="61" s="1"/>
  <c r="T11" i="61" s="1"/>
  <c r="O25" i="61"/>
  <c r="T25" i="61" s="1"/>
  <c r="O24" i="61"/>
  <c r="T24" i="61" s="1"/>
  <c r="R27" i="61" l="1"/>
  <c r="R31" i="61" s="1"/>
  <c r="M31" i="61" s="1"/>
  <c r="M17" i="61" s="1"/>
  <c r="M13" i="61"/>
  <c r="R28" i="61"/>
  <c r="M14" i="61"/>
  <c r="R30" i="61"/>
  <c r="M16" i="61"/>
  <c r="R29" i="61"/>
  <c r="M15" i="61"/>
  <c r="S29" i="61"/>
  <c r="N15" i="61"/>
  <c r="T15" i="61" s="1"/>
  <c r="H8" i="63"/>
  <c r="H6" i="63"/>
  <c r="H7" i="63"/>
  <c r="B24" i="47" s="1"/>
  <c r="B25" i="47" s="1"/>
  <c r="P23" i="61"/>
  <c r="S27" i="61"/>
  <c r="S31" i="61" s="1"/>
  <c r="N31" i="61" s="1"/>
  <c r="S28" i="61"/>
  <c r="S30" i="61"/>
  <c r="S25" i="61"/>
  <c r="L26" i="61"/>
  <c r="Q23" i="61"/>
  <c r="U23" i="61" s="1"/>
  <c r="Q25" i="61"/>
  <c r="P25" i="61"/>
  <c r="L24" i="61"/>
  <c r="N17" i="61" l="1"/>
  <c r="T17" i="61" s="1"/>
  <c r="U25" i="61"/>
  <c r="P26" i="61"/>
  <c r="P28" i="61" s="1"/>
  <c r="Q26" i="61"/>
  <c r="U26" i="61" s="1"/>
  <c r="L27" i="61"/>
  <c r="L30" i="61"/>
  <c r="L28" i="61"/>
  <c r="L29" i="61"/>
  <c r="Q24" i="61"/>
  <c r="U24" i="61" s="1"/>
  <c r="P24" i="61"/>
  <c r="P29" i="61" l="1"/>
  <c r="P30" i="61"/>
  <c r="P27" i="61"/>
  <c r="Q27" i="61"/>
  <c r="Q31" i="61" s="1"/>
  <c r="L31" i="61" s="1"/>
  <c r="Q30" i="61"/>
  <c r="U30" i="61" s="1"/>
  <c r="Q29" i="61"/>
  <c r="U29" i="61" s="1"/>
  <c r="Q28" i="61"/>
  <c r="U28" i="61" s="1"/>
  <c r="U27" i="61"/>
  <c r="U31" i="61" s="1"/>
  <c r="P31" i="61" s="1"/>
  <c r="C21" i="47" l="1"/>
  <c r="A1" i="60"/>
  <c r="C33" i="60"/>
  <c r="C21" i="60"/>
  <c r="B21" i="60"/>
  <c r="C23" i="47" l="1"/>
  <c r="B41" i="47" l="1"/>
  <c r="C41" i="47" s="1"/>
  <c r="B40" i="47"/>
  <c r="C40" i="47" s="1"/>
  <c r="B39" i="47"/>
  <c r="C39" i="47" s="1"/>
  <c r="B38" i="47"/>
  <c r="C38" i="47" s="1"/>
  <c r="B37" i="47"/>
  <c r="H52" i="47"/>
  <c r="I52" i="47"/>
  <c r="J52" i="47"/>
  <c r="K52" i="47"/>
  <c r="L52"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E29" i="60"/>
  <c r="E39" i="60" s="1"/>
  <c r="N27" i="60"/>
  <c r="B25" i="60"/>
  <c r="B22" i="60"/>
  <c r="B24" i="60" s="1"/>
  <c r="C37" i="47" l="1"/>
  <c r="F39" i="60"/>
  <c r="B41" i="60"/>
  <c r="C36" i="60"/>
  <c r="C37" i="60" s="1"/>
  <c r="C45" i="60" s="1"/>
  <c r="C35" i="60"/>
  <c r="D35" i="60" s="1"/>
  <c r="E35" i="60" s="1"/>
  <c r="F35" i="60" s="1"/>
  <c r="G35" i="60" s="1"/>
  <c r="H35" i="60" s="1"/>
  <c r="I35" i="60" s="1"/>
  <c r="J35" i="60" s="1"/>
  <c r="K35" i="60" s="1"/>
  <c r="L35" i="60" s="1"/>
  <c r="E33" i="60"/>
  <c r="D34" i="60"/>
  <c r="D36" i="60" s="1"/>
  <c r="D37" i="60" s="1"/>
  <c r="D45" i="60" s="1"/>
  <c r="D46"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K36" i="60" l="1"/>
  <c r="K37" i="60" s="1"/>
  <c r="K45" i="60" s="1"/>
  <c r="K46" i="60" s="1"/>
  <c r="K44" i="60" s="1"/>
  <c r="K43" i="60" s="1"/>
  <c r="L34" i="60"/>
  <c r="L36" i="60" s="1"/>
  <c r="L37" i="60" l="1"/>
  <c r="L45" i="60" s="1"/>
  <c r="L46" i="60" l="1"/>
  <c r="L44" i="60" s="1"/>
  <c r="L43" i="60" s="1"/>
  <c r="H53" i="47" l="1"/>
  <c r="I53" i="47"/>
  <c r="J53" i="47"/>
  <c r="K53" i="47"/>
  <c r="L53" i="47"/>
  <c r="A60" i="47" l="1"/>
  <c r="I60" i="47" l="1"/>
  <c r="J60" i="47"/>
  <c r="K60" i="47"/>
  <c r="L60" i="47"/>
  <c r="H60" i="47"/>
  <c r="N62" i="47" l="1"/>
  <c r="N27" i="47"/>
  <c r="K58" i="47" l="1"/>
  <c r="L58" i="47"/>
  <c r="H58" i="47"/>
  <c r="J58" i="47"/>
  <c r="I58" i="47"/>
  <c r="H43" i="47"/>
  <c r="I43" i="47"/>
  <c r="J43" i="47"/>
  <c r="K43" i="47"/>
  <c r="L43" i="47"/>
  <c r="H44" i="47"/>
  <c r="I44" i="47"/>
  <c r="J44" i="47"/>
  <c r="K44" i="47"/>
  <c r="L44" i="47"/>
  <c r="G7" i="43" l="1"/>
  <c r="G8" i="43"/>
  <c r="G9" i="43"/>
  <c r="G10" i="43"/>
  <c r="G11" i="43"/>
  <c r="G6" i="43"/>
  <c r="H30" i="47" l="1"/>
  <c r="I30" i="47"/>
  <c r="J30" i="47"/>
  <c r="K30" i="47"/>
  <c r="L30" i="47"/>
  <c r="D30" i="47"/>
  <c r="E30" i="47"/>
  <c r="F30" i="47"/>
  <c r="G30" i="47"/>
  <c r="L140" i="47" l="1"/>
  <c r="K140" i="47"/>
  <c r="J140" i="47"/>
  <c r="I140" i="47"/>
  <c r="H140" i="47"/>
  <c r="A139" i="47"/>
  <c r="J139" i="47" s="1"/>
  <c r="A138" i="47"/>
  <c r="K138" i="47" s="1"/>
  <c r="A137" i="47"/>
  <c r="K137" i="47" s="1"/>
  <c r="A136" i="47"/>
  <c r="K136" i="47" s="1"/>
  <c r="A135" i="47"/>
  <c r="I135" i="47" s="1"/>
  <c r="A134" i="47"/>
  <c r="I134" i="47" s="1"/>
  <c r="A132" i="47"/>
  <c r="A131" i="47"/>
  <c r="A130" i="47"/>
  <c r="A129" i="47"/>
  <c r="A128" i="47"/>
  <c r="A127" i="47"/>
  <c r="L125" i="47"/>
  <c r="K125" i="47"/>
  <c r="J125" i="47"/>
  <c r="I125" i="47"/>
  <c r="H125" i="47"/>
  <c r="A124" i="47"/>
  <c r="A123" i="47"/>
  <c r="A122" i="47"/>
  <c r="A121" i="47"/>
  <c r="A120" i="47"/>
  <c r="A119" i="47"/>
  <c r="M73" i="47"/>
  <c r="A64" i="47"/>
  <c r="A53" i="47"/>
  <c r="A51" i="47"/>
  <c r="A50" i="47"/>
  <c r="A49" i="47"/>
  <c r="A48" i="47"/>
  <c r="A47" i="47"/>
  <c r="A46" i="47"/>
  <c r="A41" i="47"/>
  <c r="A40" i="47"/>
  <c r="A39" i="47"/>
  <c r="A38" i="47"/>
  <c r="A37" i="47"/>
  <c r="A36" i="47"/>
  <c r="C36" i="47" s="1"/>
  <c r="L35" i="47"/>
  <c r="K35" i="47"/>
  <c r="J35" i="47"/>
  <c r="I35" i="47"/>
  <c r="H35" i="47"/>
  <c r="L31" i="47"/>
  <c r="K31" i="47"/>
  <c r="J31" i="47"/>
  <c r="I31" i="47"/>
  <c r="H31" i="47"/>
  <c r="G31" i="47"/>
  <c r="F31" i="47"/>
  <c r="E31" i="47"/>
  <c r="D31" i="47"/>
  <c r="L29" i="47"/>
  <c r="K29" i="47"/>
  <c r="J29" i="47"/>
  <c r="I29" i="47"/>
  <c r="H29" i="47"/>
  <c r="G29" i="47"/>
  <c r="F29" i="47"/>
  <c r="E29" i="47"/>
  <c r="D29" i="47"/>
  <c r="F9" i="43"/>
  <c r="E6" i="43"/>
  <c r="E7" i="43" s="1"/>
  <c r="E11" i="43"/>
  <c r="J124" i="47" l="1"/>
  <c r="J130" i="47"/>
  <c r="K119" i="47"/>
  <c r="I121" i="47"/>
  <c r="K129" i="47"/>
  <c r="J132" i="47"/>
  <c r="J122" i="47"/>
  <c r="K127" i="47"/>
  <c r="A82" i="47"/>
  <c r="A83" i="47" s="1"/>
  <c r="A91" i="47"/>
  <c r="A92" i="47" s="1"/>
  <c r="A65" i="47"/>
  <c r="A67" i="47" s="1"/>
  <c r="J46" i="47"/>
  <c r="K51" i="47"/>
  <c r="H38" i="47"/>
  <c r="I39" i="47"/>
  <c r="I47" i="47"/>
  <c r="K41" i="47"/>
  <c r="I48" i="47"/>
  <c r="J37" i="47"/>
  <c r="I54" i="47"/>
  <c r="H54" i="47"/>
  <c r="L54" i="47"/>
  <c r="J54" i="47"/>
  <c r="K54" i="47"/>
  <c r="K132" i="47"/>
  <c r="J56" i="47"/>
  <c r="H56" i="47"/>
  <c r="I56" i="47"/>
  <c r="K56" i="47"/>
  <c r="L56" i="47"/>
  <c r="H57" i="47"/>
  <c r="J57" i="47"/>
  <c r="K57" i="47"/>
  <c r="I57" i="47"/>
  <c r="L57" i="47"/>
  <c r="H59" i="47"/>
  <c r="J59" i="47"/>
  <c r="K59" i="47"/>
  <c r="L59" i="47"/>
  <c r="I59" i="47"/>
  <c r="K49" i="47"/>
  <c r="H123" i="47"/>
  <c r="I120" i="47"/>
  <c r="I138" i="47"/>
  <c r="L40" i="47"/>
  <c r="H131" i="47"/>
  <c r="L136" i="47"/>
  <c r="A73" i="47"/>
  <c r="A74" i="47" s="1"/>
  <c r="H132" i="47"/>
  <c r="H138" i="47"/>
  <c r="K39" i="47"/>
  <c r="L39" i="47"/>
  <c r="I137" i="47"/>
  <c r="L49" i="47"/>
  <c r="L132" i="47"/>
  <c r="L137" i="47"/>
  <c r="K139" i="47"/>
  <c r="H40" i="47"/>
  <c r="I40" i="47"/>
  <c r="I41" i="47"/>
  <c r="L50" i="47"/>
  <c r="H122" i="47"/>
  <c r="H41" i="47"/>
  <c r="K40" i="47"/>
  <c r="L41" i="47"/>
  <c r="H128" i="47"/>
  <c r="I130" i="47"/>
  <c r="I128" i="47"/>
  <c r="H129" i="47"/>
  <c r="K130" i="47"/>
  <c r="K128" i="47"/>
  <c r="I129" i="47"/>
  <c r="L127" i="47"/>
  <c r="L128" i="47"/>
  <c r="L129" i="47"/>
  <c r="H137" i="47"/>
  <c r="I50" i="47"/>
  <c r="I51" i="47"/>
  <c r="J39" i="47"/>
  <c r="K50" i="47"/>
  <c r="L51" i="47"/>
  <c r="I139" i="47"/>
  <c r="K37" i="47"/>
  <c r="K46" i="47"/>
  <c r="K122" i="47"/>
  <c r="L138" i="47"/>
  <c r="H46" i="47"/>
  <c r="L46" i="47"/>
  <c r="L122" i="47"/>
  <c r="I124" i="47"/>
  <c r="H50" i="47"/>
  <c r="H51" i="47"/>
  <c r="L119" i="47"/>
  <c r="K124" i="47"/>
  <c r="H36" i="47"/>
  <c r="L37" i="47"/>
  <c r="I38" i="47"/>
  <c r="J40" i="47"/>
  <c r="K47" i="47"/>
  <c r="H48" i="47"/>
  <c r="J50" i="47"/>
  <c r="H120" i="47"/>
  <c r="K121" i="47"/>
  <c r="I123" i="47"/>
  <c r="L124" i="47"/>
  <c r="J128" i="47"/>
  <c r="L130" i="47"/>
  <c r="I131" i="47"/>
  <c r="K134" i="47"/>
  <c r="H135" i="47"/>
  <c r="J137" i="47"/>
  <c r="L139" i="47"/>
  <c r="L121" i="47"/>
  <c r="J123" i="47"/>
  <c r="J131" i="47"/>
  <c r="L134" i="47"/>
  <c r="L47" i="47"/>
  <c r="J36" i="47"/>
  <c r="K38" i="47"/>
  <c r="J48" i="47"/>
  <c r="J120" i="47"/>
  <c r="K123" i="47"/>
  <c r="K131" i="47"/>
  <c r="J135" i="47"/>
  <c r="J134" i="47"/>
  <c r="J38" i="47"/>
  <c r="K36" i="47"/>
  <c r="L38" i="47"/>
  <c r="H39" i="47"/>
  <c r="J41" i="47"/>
  <c r="I46" i="47"/>
  <c r="K48" i="47"/>
  <c r="H49" i="47"/>
  <c r="J51" i="47"/>
  <c r="H119" i="47"/>
  <c r="K120" i="47"/>
  <c r="I122" i="47"/>
  <c r="L123" i="47"/>
  <c r="H127" i="47"/>
  <c r="J129" i="47"/>
  <c r="L131" i="47"/>
  <c r="I132" i="47"/>
  <c r="K135" i="47"/>
  <c r="H136" i="47"/>
  <c r="J138" i="47"/>
  <c r="J47" i="47"/>
  <c r="I36" i="47"/>
  <c r="L36" i="47"/>
  <c r="H37" i="47"/>
  <c r="L48" i="47"/>
  <c r="I49" i="47"/>
  <c r="I119" i="47"/>
  <c r="L120" i="47"/>
  <c r="H124" i="47"/>
  <c r="I127" i="47"/>
  <c r="H130" i="47"/>
  <c r="L135" i="47"/>
  <c r="I136" i="47"/>
  <c r="H139" i="47"/>
  <c r="J121" i="47"/>
  <c r="I37" i="47"/>
  <c r="H47" i="47"/>
  <c r="J49" i="47"/>
  <c r="J119" i="47"/>
  <c r="H121" i="47"/>
  <c r="J127" i="47"/>
  <c r="H134" i="47"/>
  <c r="J136" i="47"/>
  <c r="C125" i="47" l="1"/>
  <c r="E67" i="47"/>
  <c r="G67" i="47"/>
  <c r="F67" i="47"/>
  <c r="A103" i="47"/>
  <c r="A76" i="47"/>
  <c r="A112" i="47"/>
  <c r="A85" i="47"/>
  <c r="A95" i="47"/>
  <c r="A94" i="47"/>
  <c r="A77" i="47"/>
  <c r="A104" i="47"/>
  <c r="A68" i="47"/>
  <c r="A86" i="47"/>
  <c r="A113" i="47"/>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E112" i="47" l="1"/>
  <c r="G112" i="47"/>
  <c r="F112" i="47"/>
  <c r="E85" i="47"/>
  <c r="F85" i="47"/>
  <c r="G85" i="47"/>
  <c r="G76" i="47"/>
  <c r="F76" i="47"/>
  <c r="E76" i="47"/>
  <c r="G103" i="47"/>
  <c r="F103" i="47"/>
  <c r="E103" i="47"/>
  <c r="G94" i="47"/>
  <c r="E94" i="47"/>
  <c r="F94" i="47"/>
  <c r="A69" i="47"/>
  <c r="A96" i="47" s="1"/>
  <c r="K68" i="47"/>
  <c r="L68" i="47"/>
  <c r="H68" i="47"/>
  <c r="J68" i="47"/>
  <c r="I68" i="47"/>
  <c r="H113" i="47"/>
  <c r="J113" i="47"/>
  <c r="K113" i="47"/>
  <c r="L113" i="47"/>
  <c r="I113" i="47"/>
  <c r="L104" i="47"/>
  <c r="J104" i="47"/>
  <c r="K104" i="47"/>
  <c r="H104" i="47"/>
  <c r="I104" i="47"/>
  <c r="K95" i="47"/>
  <c r="H95" i="47"/>
  <c r="J95" i="47"/>
  <c r="L95" i="47"/>
  <c r="I95" i="47"/>
  <c r="H86" i="47"/>
  <c r="K86" i="47"/>
  <c r="L86" i="47"/>
  <c r="I86" i="47"/>
  <c r="J86" i="47"/>
  <c r="J77" i="47"/>
  <c r="L77" i="47"/>
  <c r="H77" i="47"/>
  <c r="K77" i="47"/>
  <c r="I77" i="47"/>
  <c r="H103" i="47"/>
  <c r="I103" i="47"/>
  <c r="M103" i="47"/>
  <c r="L103" i="47"/>
  <c r="K103" i="47"/>
  <c r="J103" i="47"/>
  <c r="L85" i="47"/>
  <c r="K85" i="47"/>
  <c r="M85" i="47"/>
  <c r="J85" i="47"/>
  <c r="I85" i="47"/>
  <c r="H85" i="47"/>
  <c r="H67" i="47"/>
  <c r="I67" i="47"/>
  <c r="M67" i="47"/>
  <c r="L67" i="47"/>
  <c r="K67" i="47"/>
  <c r="J67" i="47"/>
  <c r="J76" i="47"/>
  <c r="I76" i="47"/>
  <c r="K76" i="47"/>
  <c r="H76" i="47"/>
  <c r="M76" i="47"/>
  <c r="L76" i="47"/>
  <c r="J112" i="47"/>
  <c r="I112" i="47"/>
  <c r="H112" i="47"/>
  <c r="M112" i="47"/>
  <c r="L112" i="47"/>
  <c r="K112" i="47"/>
  <c r="M94" i="47"/>
  <c r="L94" i="47"/>
  <c r="K94" i="47"/>
  <c r="J94" i="47"/>
  <c r="I94" i="47"/>
  <c r="H94" i="47"/>
  <c r="A105" i="47" l="1"/>
  <c r="A106" i="47" s="1"/>
  <c r="A114" i="47"/>
  <c r="A115" i="47" s="1"/>
  <c r="A78" i="47"/>
  <c r="A79" i="47" s="1"/>
  <c r="A87" i="47"/>
  <c r="A88" i="47" s="1"/>
  <c r="A70" i="47"/>
  <c r="A97" i="47"/>
  <c r="K97" i="47" l="1"/>
  <c r="L97" i="47"/>
  <c r="J97" i="47"/>
  <c r="I97" i="47"/>
  <c r="H97" i="47"/>
  <c r="I88" i="47"/>
  <c r="J88" i="47"/>
  <c r="H88" i="47"/>
  <c r="L88" i="47"/>
  <c r="K88" i="47"/>
  <c r="L79" i="47"/>
  <c r="H79" i="47"/>
  <c r="K79" i="47"/>
  <c r="J79" i="47"/>
  <c r="I79" i="47"/>
  <c r="L70" i="47"/>
  <c r="K70" i="47"/>
  <c r="J70" i="47"/>
  <c r="I70" i="47"/>
  <c r="H70" i="47"/>
  <c r="L106" i="47"/>
  <c r="K106" i="47"/>
  <c r="J106" i="47"/>
  <c r="I106" i="47"/>
  <c r="H106" i="47"/>
  <c r="L115" i="47"/>
  <c r="K115" i="47"/>
  <c r="J115" i="47"/>
  <c r="H115" i="47"/>
  <c r="I115"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38" i="60" l="1"/>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P5" i="41"/>
  <c r="C676" i="10" l="1"/>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C34" i="47" l="1"/>
  <c r="C33" i="47"/>
  <c r="C45" i="47" s="1"/>
  <c r="C43" i="47"/>
  <c r="C30" i="47"/>
  <c r="C31" i="47"/>
  <c r="C29" i="47"/>
  <c r="M121" i="47"/>
  <c r="M120" i="47"/>
  <c r="M39" i="60" l="1"/>
  <c r="M119" i="47"/>
  <c r="C46" i="47"/>
  <c r="C53" i="47" s="1"/>
  <c r="C54" i="47" s="1"/>
  <c r="C49" i="47"/>
  <c r="C50" i="47"/>
  <c r="C48" i="47"/>
  <c r="C51" i="47"/>
  <c r="C47" i="47"/>
  <c r="C57" i="47" l="1"/>
  <c r="C55" i="47"/>
  <c r="M55" i="47" s="1"/>
  <c r="C59" i="47"/>
  <c r="C113" i="47" s="1"/>
  <c r="M40" i="60"/>
  <c r="C68" i="47"/>
  <c r="C70" i="47" s="1"/>
  <c r="C134" i="47" s="1"/>
  <c r="D36" i="47" s="1"/>
  <c r="M57" i="47" l="1"/>
  <c r="M43" i="60"/>
  <c r="C95" i="47"/>
  <c r="C77" i="47"/>
  <c r="M41" i="60"/>
  <c r="M59" i="47"/>
  <c r="M45" i="60"/>
  <c r="C60" i="47"/>
  <c r="M46" i="60" s="1"/>
  <c r="C115" i="47" l="1"/>
  <c r="C139" i="47" s="1"/>
  <c r="C97" i="47"/>
  <c r="C137" i="47" s="1"/>
  <c r="C79" i="47"/>
  <c r="C135" i="47" s="1"/>
  <c r="D37" i="47" s="1"/>
  <c r="U8" i="61"/>
  <c r="Q8" i="61"/>
  <c r="S9" i="61"/>
  <c r="M123" i="47" l="1"/>
  <c r="B58" i="47"/>
  <c r="C58" i="47" s="1"/>
  <c r="W8" i="61"/>
  <c r="L9" i="61"/>
  <c r="M58" i="47" l="1"/>
  <c r="M44" i="60"/>
  <c r="C104" i="47"/>
  <c r="R9" i="61"/>
  <c r="W9" i="61" s="1"/>
  <c r="L14" i="61"/>
  <c r="S14" i="61"/>
  <c r="S16" i="61"/>
  <c r="S15" i="61"/>
  <c r="L15" i="61"/>
  <c r="R15" i="61" s="1"/>
  <c r="S13" i="61"/>
  <c r="S10" i="61"/>
  <c r="L10" i="61"/>
  <c r="R10" i="61" s="1"/>
  <c r="L17" i="61"/>
  <c r="S17" i="61"/>
  <c r="L12" i="61"/>
  <c r="S12" i="61"/>
  <c r="S11" i="61"/>
  <c r="C106" i="47" l="1"/>
  <c r="C138" i="47" s="1"/>
  <c r="W15" i="61"/>
  <c r="W10" i="61"/>
  <c r="R12" i="61"/>
  <c r="R14" i="61"/>
  <c r="W14" i="61" s="1"/>
  <c r="L11" i="61"/>
  <c r="L13" i="61"/>
  <c r="R17" i="61"/>
  <c r="W17" i="61" s="1"/>
  <c r="L16" i="61"/>
  <c r="B56" i="47" l="1"/>
  <c r="C56" i="47" s="1"/>
  <c r="W12" i="61"/>
  <c r="R13" i="61"/>
  <c r="W13" i="61" s="1"/>
  <c r="R16" i="61"/>
  <c r="W16" i="61" s="1"/>
  <c r="R11" i="61"/>
  <c r="W11" i="61" s="1"/>
  <c r="O9" i="61"/>
  <c r="Q9" i="61"/>
  <c r="O16" i="61"/>
  <c r="Q16" i="61" s="1"/>
  <c r="O11" i="61"/>
  <c r="Q11" i="61" s="1"/>
  <c r="O15" i="61"/>
  <c r="Q15" i="61" s="1"/>
  <c r="O17" i="61"/>
  <c r="Q17" i="61" s="1"/>
  <c r="O10" i="61"/>
  <c r="Q10" i="61" s="1"/>
  <c r="O12" i="61"/>
  <c r="Q12" i="61" s="1"/>
  <c r="O13" i="61"/>
  <c r="Q13" i="61" s="1"/>
  <c r="O14" i="61"/>
  <c r="Q14" i="61" s="1"/>
  <c r="M56" i="47" l="1"/>
  <c r="M54" i="47" s="1"/>
  <c r="M42" i="60"/>
  <c r="C86" i="47"/>
  <c r="M53" i="47"/>
  <c r="C88" i="47" l="1"/>
  <c r="C136" i="47" l="1"/>
  <c r="C141" i="47" s="1"/>
  <c r="D38" i="47" l="1"/>
  <c r="C94" i="47"/>
  <c r="C112" i="47"/>
  <c r="C85" i="47"/>
  <c r="C103" i="47"/>
  <c r="C76" i="47"/>
  <c r="C67" i="47"/>
  <c r="D40" i="47" l="1"/>
  <c r="D39" i="47"/>
  <c r="D41" i="47"/>
  <c r="C142" i="47" l="1"/>
  <c r="D34" i="47" s="1"/>
  <c r="D33" i="47"/>
  <c r="D45" i="47" s="1"/>
  <c r="D46" i="47" l="1"/>
  <c r="D53" i="47" s="1"/>
  <c r="D48" i="47"/>
  <c r="D49" i="47"/>
  <c r="D51" i="47"/>
  <c r="D47" i="47"/>
  <c r="D50" i="47"/>
  <c r="D54" i="47" l="1"/>
  <c r="D68" i="47"/>
  <c r="D70" i="47" s="1"/>
  <c r="D134" i="47" s="1"/>
  <c r="E36" i="47" l="1"/>
  <c r="D59" i="47"/>
  <c r="D55" i="47"/>
  <c r="D77" i="47" s="1"/>
  <c r="D56" i="47"/>
  <c r="D86" i="47" s="1"/>
  <c r="D88" i="47" s="1"/>
  <c r="D136" i="47" s="1"/>
  <c r="D58" i="47"/>
  <c r="D104" i="47" s="1"/>
  <c r="D57" i="47"/>
  <c r="D95" i="47" s="1"/>
  <c r="D97" i="47" s="1"/>
  <c r="D137" i="47" s="1"/>
  <c r="D79" i="47" l="1"/>
  <c r="D135" i="47" s="1"/>
  <c r="D106" i="47"/>
  <c r="D138" i="47" s="1"/>
  <c r="D60" i="47"/>
  <c r="D113" i="47"/>
  <c r="D115" i="47" s="1"/>
  <c r="D139" i="47" s="1"/>
  <c r="E38" i="47"/>
  <c r="E41" i="47" l="1"/>
  <c r="E40" i="47"/>
  <c r="E37" i="47"/>
  <c r="D94" i="47" l="1"/>
  <c r="D103" i="47"/>
  <c r="D67" i="47"/>
  <c r="D85" i="47"/>
  <c r="D76" i="47"/>
  <c r="D112" i="47"/>
  <c r="E39" i="47" l="1"/>
  <c r="D141" i="47"/>
  <c r="D142" i="47" l="1"/>
  <c r="E34" i="47" s="1"/>
  <c r="E33" i="47"/>
  <c r="E45" i="47" s="1"/>
  <c r="E49" i="47" l="1"/>
  <c r="E51" i="47"/>
  <c r="E50" i="47"/>
  <c r="E47" i="47"/>
  <c r="E48" i="47"/>
  <c r="E46" i="47"/>
  <c r="E53" i="47" s="1"/>
  <c r="E68" i="47" s="1"/>
  <c r="E70" i="47" s="1"/>
  <c r="E54" i="47" l="1"/>
  <c r="F36" i="47" l="1"/>
  <c r="E58" i="47"/>
  <c r="E104" i="47" s="1"/>
  <c r="E106" i="47" s="1"/>
  <c r="E56" i="47"/>
  <c r="E86" i="47" s="1"/>
  <c r="E88" i="47" s="1"/>
  <c r="E59" i="47"/>
  <c r="E113" i="47" s="1"/>
  <c r="E115" i="47" s="1"/>
  <c r="E55" i="47"/>
  <c r="E77" i="47" s="1"/>
  <c r="E79" i="47" s="1"/>
  <c r="E57" i="47"/>
  <c r="E95" i="47" s="1"/>
  <c r="E97" i="47" s="1"/>
  <c r="E141" i="47" l="1"/>
  <c r="E142" i="47" s="1"/>
  <c r="F34" i="47" s="1"/>
  <c r="E60" i="47"/>
  <c r="F41" i="47"/>
  <c r="F38" i="47"/>
  <c r="F40" i="47"/>
  <c r="F37" i="47"/>
  <c r="F33" i="47" l="1"/>
  <c r="F45" i="47" s="1"/>
  <c r="F50" i="47" s="1"/>
  <c r="F48" i="47" l="1"/>
  <c r="F51" i="47"/>
  <c r="F46" i="47"/>
  <c r="F53" i="47" s="1"/>
  <c r="F68" i="47" s="1"/>
  <c r="F70" i="47" s="1"/>
  <c r="F47" i="47"/>
  <c r="F39" i="47"/>
  <c r="F54" i="47" l="1"/>
  <c r="F56" i="47" s="1"/>
  <c r="F86" i="47" s="1"/>
  <c r="F88" i="47" s="1"/>
  <c r="G36" i="47"/>
  <c r="F49" i="47"/>
  <c r="F58" i="47" l="1"/>
  <c r="F104" i="47" s="1"/>
  <c r="F106" i="47" s="1"/>
  <c r="G40" i="47" s="1"/>
  <c r="F57" i="47"/>
  <c r="F95" i="47" s="1"/>
  <c r="F97" i="47" s="1"/>
  <c r="F59" i="47"/>
  <c r="F113" i="47" s="1"/>
  <c r="F115" i="47" s="1"/>
  <c r="G41" i="47" s="1"/>
  <c r="F55" i="47"/>
  <c r="F77" i="47" s="1"/>
  <c r="F79" i="47" s="1"/>
  <c r="G38" i="47"/>
  <c r="F141" i="47" l="1"/>
  <c r="F142" i="47" s="1"/>
  <c r="G34" i="47" s="1"/>
  <c r="G37" i="47"/>
  <c r="F60" i="47"/>
  <c r="M60" i="47" s="1"/>
  <c r="G39" i="47"/>
  <c r="G33" i="47" l="1"/>
  <c r="G45" i="47" s="1"/>
  <c r="G47" i="47" s="1"/>
  <c r="G48" i="47" l="1"/>
  <c r="G51" i="47"/>
  <c r="G49" i="47"/>
  <c r="G46" i="47"/>
  <c r="G53" i="47" s="1"/>
  <c r="G68" i="47" s="1"/>
  <c r="G70" i="47" s="1"/>
  <c r="G50" i="47"/>
  <c r="G54" i="47" l="1"/>
  <c r="G55" i="47" s="1"/>
  <c r="G77" i="47" s="1"/>
  <c r="G79" i="47" s="1"/>
  <c r="M124" i="47"/>
  <c r="G59" i="47" l="1"/>
  <c r="G113" i="47" s="1"/>
  <c r="G115" i="47" s="1"/>
  <c r="G56" i="47"/>
  <c r="G86" i="47" s="1"/>
  <c r="G88" i="47" s="1"/>
  <c r="G58" i="47"/>
  <c r="G104" i="47" s="1"/>
  <c r="G106" i="47" s="1"/>
  <c r="G57" i="47"/>
  <c r="G95" i="47" s="1"/>
  <c r="G97" i="47" s="1"/>
  <c r="G60" i="47"/>
  <c r="M122" i="47"/>
  <c r="G141" i="47" l="1"/>
  <c r="G142" i="47" s="1"/>
</calcChain>
</file>

<file path=xl/sharedStrings.xml><?xml version="1.0" encoding="utf-8"?>
<sst xmlns="http://schemas.openxmlformats.org/spreadsheetml/2006/main" count="675" uniqueCount="474">
  <si>
    <t>Year 1</t>
  </si>
  <si>
    <t>Year 2</t>
  </si>
  <si>
    <t>Year 3</t>
  </si>
  <si>
    <t>Year 4</t>
  </si>
  <si>
    <t>Year 5</t>
  </si>
  <si>
    <t>Year 6</t>
  </si>
  <si>
    <t>Year 7</t>
  </si>
  <si>
    <t>Year 8</t>
  </si>
  <si>
    <t>(USBR 2017, CRSS Model)</t>
  </si>
  <si>
    <t>Elevation (ft)</t>
  </si>
  <si>
    <t>Live Storage (ac-ft)</t>
  </si>
  <si>
    <t>Total Storage (ac-ft)</t>
  </si>
  <si>
    <t>Area (acres)</t>
  </si>
  <si>
    <t>Row</t>
  </si>
  <si>
    <t>Year 9</t>
  </si>
  <si>
    <t>Year 10</t>
  </si>
  <si>
    <t>Upper Basin</t>
  </si>
  <si>
    <t>Lower Basin</t>
  </si>
  <si>
    <t>Mexico</t>
  </si>
  <si>
    <t>Person</t>
  </si>
  <si>
    <t>Strategy</t>
  </si>
  <si>
    <t>Calculated cell</t>
  </si>
  <si>
    <t>Initialize</t>
  </si>
  <si>
    <t>Requested Citation</t>
  </si>
  <si>
    <t>Master</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</si>
  <si>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</si>
  <si>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</si>
  <si>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</si>
  <si>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</si>
  <si>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</si>
  <si>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</si>
  <si>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</si>
  <si>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</si>
  <si>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</si>
  <si>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</si>
  <si>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</si>
  <si>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Mead-Elevation-Area</t>
  </si>
  <si>
    <t>The Lake Mead storage volume-elevation-area curve data downloaded from CRSS.</t>
  </si>
  <si>
    <t xml:space="preserve">    Net transactions (should be zero)</t>
  </si>
  <si>
    <t>Colorado River Delta</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</si>
  <si>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</si>
  <si>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</si>
  <si>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</si>
  <si>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</si>
  <si>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</si>
  <si>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</si>
  <si>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</si>
  <si>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</si>
  <si>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</si>
  <si>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</si>
  <si>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</si>
  <si>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</si>
  <si>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Author Contact Information</t>
  </si>
  <si>
    <t>David E. Rosenberg</t>
  </si>
  <si>
    <t>Utah State University</t>
  </si>
  <si>
    <t>david.rosenberg@usu.edu, 435-797-8689</t>
  </si>
  <si>
    <t>http://rosenberg.usu.edu</t>
  </si>
  <si>
    <t>To Do List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</si>
  <si>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</si>
  <si>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</si>
  <si>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</si>
  <si>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</si>
  <si>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</si>
  <si>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</si>
  <si>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</si>
  <si>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</si>
  <si>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</si>
  <si>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</si>
  <si>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</si>
  <si>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</si>
  <si>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</si>
  <si>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</si>
  <si>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</si>
  <si>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</si>
  <si>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</si>
  <si>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</si>
  <si>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</si>
  <si>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</si>
  <si>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</si>
  <si>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</si>
  <si>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</si>
  <si>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</si>
  <si>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</si>
  <si>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</si>
  <si>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</si>
  <si>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</si>
  <si>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</si>
  <si>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</si>
  <si>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</si>
  <si>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</si>
  <si>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</si>
  <si>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</si>
  <si>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</si>
  <si>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</si>
  <si>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Help grow, reproduce, and survive</t>
  </si>
  <si>
    <t>Help grow + incubate</t>
  </si>
  <si>
    <t>Help all</t>
  </si>
  <si>
    <t>Mead to Imperial Dam intervening inflow</t>
  </si>
  <si>
    <t>Master-Plots</t>
  </si>
  <si>
    <t>Plots of Lower and Upper Basin consuptive use, account balance, and combined balance for the Master and Master-LawOfRiver worksheets</t>
  </si>
  <si>
    <t>Evap.</t>
  </si>
  <si>
    <t>Storage Volume (MAF)</t>
  </si>
  <si>
    <t>Purchases (+) and Sales (-) [in maf]</t>
  </si>
  <si>
    <t>Account Withdrawals [in maf]</t>
  </si>
  <si>
    <t>2. Specify natural inflow to Lake Powell.</t>
  </si>
  <si>
    <t>Calculate Powell + Mead Evaporation</t>
  </si>
  <si>
    <t>Calculate Mexico Water Allocation</t>
  </si>
  <si>
    <t>Water Budget Component (maf unless noted)</t>
  </si>
  <si>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</si>
  <si>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</si>
  <si>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</si>
  <si>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</si>
  <si>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</si>
  <si>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</si>
  <si>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</si>
  <si>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</si>
  <si>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</si>
  <si>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</si>
  <si>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</si>
  <si>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</si>
  <si>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</si>
  <si>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</si>
  <si>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</si>
  <si>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</si>
  <si>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</si>
  <si>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Release through Turbines (elevation 3,490 feet).</t>
  </si>
  <si>
    <t>WORKSHEET DESCRIPTIONS</t>
  </si>
  <si>
    <t xml:space="preserve">   Start storage (million acre feet)</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</si>
  <si>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</si>
  <si>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</si>
  <si>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</si>
  <si>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</si>
  <si>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</si>
  <si>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</si>
  <si>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</si>
  <si>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</si>
  <si>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</si>
  <si>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</si>
  <si>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</si>
  <si>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</si>
  <si>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</si>
  <si>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</si>
  <si>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</si>
  <si>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</si>
  <si>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</si>
  <si>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</si>
  <si>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</si>
  <si>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</si>
  <si>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</si>
  <si>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</si>
  <si>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</si>
  <si>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</si>
  <si>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</si>
  <si>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next year</t>
  </si>
  <si>
    <t>Help begin of year storage</t>
  </si>
  <si>
    <t>Help withdraw/consume</t>
  </si>
  <si>
    <t>HELP, CONTEXT, and SUGGESTIONS</t>
  </si>
  <si>
    <t xml:space="preserve">   Upper Basin pre-1922 water rights (maf)</t>
  </si>
  <si>
    <t>1922+Remain</t>
  </si>
  <si>
    <t>Year Value</t>
  </si>
  <si>
    <t>Help pre-1922 water rights</t>
  </si>
  <si>
    <t>Model Repository</t>
  </si>
  <si>
    <t>First Nations</t>
  </si>
  <si>
    <t>MandatoryConservation</t>
  </si>
  <si>
    <t>OVERVIEW</t>
  </si>
  <si>
    <t>REQUIREMENTS</t>
  </si>
  <si>
    <r>
      <rPr>
        <b/>
        <sz val="11"/>
        <color theme="1"/>
        <rFont val="Calibri"/>
        <family val="2"/>
        <scheme val="minor"/>
      </rPr>
      <t>Time:</t>
    </r>
    <r>
      <rPr>
        <sz val="11"/>
        <color theme="1"/>
        <rFont val="Calibri"/>
        <family val="2"/>
        <scheme val="minor"/>
      </rPr>
      <t xml:space="preserve"> 1 to 3 hours.</t>
    </r>
  </si>
  <si>
    <r>
      <t xml:space="preserve">Open the </t>
    </r>
    <r>
      <rPr>
        <b/>
        <sz val="11"/>
        <color theme="1"/>
        <rFont val="Calibri"/>
        <family val="2"/>
        <scheme val="minor"/>
      </rPr>
      <t>Versions</t>
    </r>
    <r>
      <rPr>
        <sz val="11"/>
        <color theme="1"/>
        <rFont val="Calibri"/>
        <family val="2"/>
        <scheme val="minor"/>
      </rPr>
      <t xml:space="preserve"> Worksheet to see updates.</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</si>
  <si>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</si>
  <si>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</si>
  <si>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</si>
  <si>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</si>
  <si>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</si>
  <si>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</si>
  <si>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</si>
  <si>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</si>
  <si>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</si>
  <si>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</si>
  <si>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</si>
  <si>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</si>
  <si>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</si>
  <si>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</si>
  <si>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</si>
  <si>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</si>
  <si>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</si>
  <si>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</si>
  <si>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</si>
  <si>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</si>
  <si>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</si>
  <si>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</si>
  <si>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</si>
  <si>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</si>
  <si>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</si>
  <si>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</si>
  <si>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</si>
  <si>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</si>
  <si>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</si>
  <si>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</si>
  <si>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SplitInflowPlot</t>
  </si>
  <si>
    <t>Plot that shows inflow assignment to each account based on basin natural flow. Data on SplitInflow worksheet. See more accurate plot in R.</t>
  </si>
  <si>
    <t>LETS START (visual directions as pdf)</t>
  </si>
  <si>
    <t>A participant's individual choices such as strategy, conservation, consumption, and purchaces from the account.</t>
  </si>
  <si>
    <t>California</t>
  </si>
  <si>
    <t>Arizona</t>
  </si>
  <si>
    <t>Nevada</t>
  </si>
  <si>
    <t>Elevation (feet)</t>
  </si>
  <si>
    <t>Volume (maf)</t>
  </si>
  <si>
    <t>2. Specify Lake Mead Inflow</t>
  </si>
  <si>
    <t>https://www.usbr.gov/lc/region/g4000/hourly/mead-elv.html</t>
  </si>
  <si>
    <t>Calculate Mead Evaporation</t>
  </si>
  <si>
    <t>End of 2023</t>
  </si>
  <si>
    <t>Share of Evap.</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</si>
  <si>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</si>
  <si>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</si>
  <si>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</si>
  <si>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</si>
  <si>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</si>
  <si>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</si>
  <si>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</si>
  <si>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</si>
  <si>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</si>
  <si>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</si>
  <si>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</si>
  <si>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</si>
  <si>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</si>
  <si>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</si>
  <si>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</si>
  <si>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</si>
  <si>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</si>
  <si>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[2]</t>
  </si>
  <si>
    <t>0.0 to 0.3</t>
  </si>
  <si>
    <t>[3]</t>
  </si>
  <si>
    <t>0.3 to 1.5</t>
  </si>
  <si>
    <t>[4]</t>
  </si>
  <si>
    <t>1.5 to 2.7</t>
  </si>
  <si>
    <t>To be determined</t>
  </si>
  <si>
    <t>[5]</t>
  </si>
  <si>
    <t>As Volume (maf per year)</t>
  </si>
  <si>
    <t>Reclamation - Protect Zone</t>
  </si>
  <si>
    <t>1.0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</si>
  <si>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</si>
  <si>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</si>
  <si>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</si>
  <si>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</si>
  <si>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</si>
  <si>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</si>
  <si>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</si>
  <si>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</si>
  <si>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</si>
  <si>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</si>
  <si>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</si>
  <si>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</si>
  <si>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</si>
  <si>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</si>
  <si>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</si>
  <si>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</si>
  <si>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</si>
  <si>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</si>
  <si>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User</t>
  </si>
  <si>
    <t>Vulnerability and Strategy to Manage Vulnerability</t>
  </si>
  <si>
    <t>Use March 2024 Lower Basin Alternative shortages to divide inflow among water users</t>
  </si>
  <si>
    <t>A transformation uses percentage splits of shortages to specify percentage splits of Lake Mead Inflow.</t>
  </si>
  <si>
    <t>Make a copy before use. Use to play. This worksheet allows comparison to current (Law of River) operations. See Today-Plots. [[Feature not yet enabled]]</t>
  </si>
  <si>
    <t>DivideInflow</t>
  </si>
  <si>
    <t>Defines percentage splits of Lake Mead Inflow based on percentage splits of shortages presented in the Lower Basin Alternative (2024).</t>
  </si>
  <si>
    <t>https://github.com/dzeke/ColoradoRiverCollaborate/tree/main/LakeMeadWaterBankDivideInflow</t>
  </si>
  <si>
    <t>Update for Lake Mead. Water Users, Remove Powell, Modify water balance, Update directions</t>
  </si>
  <si>
    <t>1.2</t>
  </si>
  <si>
    <t>Add Tribal water account</t>
  </si>
  <si>
    <r>
      <t xml:space="preserve">On </t>
    </r>
    <r>
      <rPr>
        <b/>
        <sz val="11"/>
        <color rgb="FF00B050"/>
        <rFont val="Calibri"/>
        <family val="2"/>
        <scheme val="minor"/>
      </rPr>
      <t>Row 20, Column B</t>
    </r>
    <r>
      <rPr>
        <sz val="11"/>
        <color theme="1"/>
        <rFont val="Calibri"/>
        <family val="2"/>
        <scheme val="minor"/>
      </rPr>
      <t>, the Reclamation user sets the elevation for the protection zone - Lake Mead will never fall below this level.</t>
    </r>
  </si>
  <si>
    <r>
      <t>Enter the Lake Mead Inflow for Year 1 in</t>
    </r>
    <r>
      <rPr>
        <b/>
        <sz val="11"/>
        <color theme="9" tint="-0.249977111117893"/>
        <rFont val="Calibri"/>
        <family val="2"/>
        <scheme val="minor"/>
      </rPr>
      <t xml:space="preserve"> </t>
    </r>
    <r>
      <rPr>
        <b/>
        <sz val="11"/>
        <color rgb="FF00B050"/>
        <rFont val="Calibri"/>
        <family val="2"/>
        <scheme val="minor"/>
      </rPr>
      <t>Cell C28</t>
    </r>
    <r>
      <rPr>
        <sz val="11"/>
        <color theme="1"/>
        <rFont val="Calibri"/>
        <family val="2"/>
        <scheme val="minor"/>
      </rPr>
      <t>. Cells below will populate.</t>
    </r>
  </si>
  <si>
    <r>
      <t xml:space="preserve">Move to </t>
    </r>
    <r>
      <rPr>
        <b/>
        <sz val="11"/>
        <color theme="1"/>
        <rFont val="Calibri"/>
        <family val="2"/>
        <scheme val="minor"/>
      </rPr>
      <t>Year 2</t>
    </r>
    <r>
      <rPr>
        <sz val="11"/>
        <color theme="1"/>
        <rFont val="Calibri"/>
        <family val="2"/>
        <scheme val="minor"/>
      </rPr>
      <t xml:space="preserve"> (</t>
    </r>
    <r>
      <rPr>
        <sz val="11"/>
        <color rgb="FF00B050"/>
        <rFont val="Calibri"/>
        <family val="2"/>
        <scheme val="minor"/>
      </rPr>
      <t>Column D</t>
    </r>
    <r>
      <rPr>
        <sz val="11"/>
        <color theme="1"/>
        <rFont val="Calibri"/>
        <family val="2"/>
        <scheme val="minor"/>
      </rPr>
      <t xml:space="preserve">). Enter Lake Powell natural flow in </t>
    </r>
    <r>
      <rPr>
        <b/>
        <sz val="11"/>
        <color rgb="FF00B050"/>
        <rFont val="Calibri"/>
        <family val="2"/>
        <scheme val="minor"/>
      </rPr>
      <t>Cell D28</t>
    </r>
    <r>
      <rPr>
        <sz val="11"/>
        <color theme="1"/>
        <rFont val="Calibri"/>
        <family val="2"/>
        <scheme val="minor"/>
      </rPr>
      <t>.</t>
    </r>
  </si>
  <si>
    <t>A.</t>
  </si>
  <si>
    <t>B.</t>
  </si>
  <si>
    <t>Additional Information and Help</t>
  </si>
  <si>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 [[This feature is not yet enabled]]</t>
    </r>
  </si>
  <si>
    <r>
      <t xml:space="preserve">Move this Excel file to your Google Drive. Open as a Google Sheet. In the Upper Right, click the </t>
    </r>
    <r>
      <rPr>
        <b/>
        <sz val="11"/>
        <color theme="1"/>
        <rFont val="Calibri"/>
        <family val="2"/>
        <scheme val="minor"/>
      </rPr>
      <t>Share</t>
    </r>
    <r>
      <rPr>
        <sz val="11"/>
        <color theme="1"/>
        <rFont val="Calibri"/>
        <family val="2"/>
        <scheme val="minor"/>
      </rPr>
      <t xml:space="preserve"> button. Add emails and set permissions so other participants can access the Google Sheets. Or copy and share the sheet's URL.</t>
    </r>
  </si>
  <si>
    <t xml:space="preserve">     Remaining Storage above Protect and ICS Balances (maf)</t>
  </si>
  <si>
    <t>Tribal Nations of the Lower Basin</t>
  </si>
  <si>
    <r>
      <t xml:space="preserve">Enter the Lake Mead starting storage in </t>
    </r>
    <r>
      <rPr>
        <b/>
        <sz val="11"/>
        <color rgb="FF00B050"/>
        <rFont val="Calibri"/>
        <family val="2"/>
        <scheme val="minor"/>
      </rPr>
      <t>Cell B19</t>
    </r>
    <r>
      <rPr>
        <sz val="11"/>
        <color theme="1"/>
        <rFont val="Calibri"/>
        <family val="2"/>
        <scheme val="minor"/>
      </rPr>
      <t>. Find the current storage at https://www.usbr.gov/lc/region/g4000/hourly/mead-elv.html</t>
    </r>
  </si>
  <si>
    <t>DIRECTIONS to GUIDE a MODEL SESSION</t>
  </si>
  <si>
    <r>
      <t xml:space="preserve">    1) As researchers we want to learn: </t>
    </r>
    <r>
      <rPr>
        <i/>
        <sz val="11"/>
        <color theme="1"/>
        <rFont val="Calibri"/>
        <family val="2"/>
        <scheme val="minor"/>
      </rPr>
      <t>Why</t>
    </r>
    <r>
      <rPr>
        <sz val="11"/>
        <color theme="1"/>
        <rFont val="Calibri"/>
        <family val="2"/>
        <scheme val="minor"/>
      </rPr>
      <t xml:space="preserve"> basin partners choose assumptions and </t>
    </r>
    <r>
      <rPr>
        <i/>
        <sz val="11"/>
        <color theme="1"/>
        <rFont val="Calibri"/>
        <family val="2"/>
        <scheme val="minor"/>
      </rPr>
      <t>how</t>
    </r>
    <r>
      <rPr>
        <sz val="11"/>
        <color theme="1"/>
        <rFont val="Calibri"/>
        <family val="2"/>
        <scheme val="minor"/>
      </rPr>
      <t xml:space="preserve"> extreme; </t>
    </r>
    <r>
      <rPr>
        <i/>
        <sz val="11"/>
        <color theme="1"/>
        <rFont val="Calibri"/>
        <family val="2"/>
        <scheme val="minor"/>
      </rPr>
      <t>Why</t>
    </r>
    <r>
      <rPr>
        <sz val="11"/>
        <color theme="1"/>
        <rFont val="Calibri"/>
        <family val="2"/>
        <scheme val="minor"/>
      </rPr>
      <t xml:space="preserve"> and </t>
    </r>
    <r>
      <rPr>
        <i/>
        <sz val="11"/>
        <color theme="1"/>
        <rFont val="Calibri"/>
        <family val="2"/>
        <scheme val="minor"/>
      </rPr>
      <t>how</t>
    </r>
    <r>
      <rPr>
        <sz val="11"/>
        <color theme="1"/>
        <rFont val="Calibri"/>
        <family val="2"/>
        <scheme val="minor"/>
      </rPr>
      <t xml:space="preserve"> basin partners articulate their risk of uncertain future water supply and manage their vulnerability; and </t>
    </r>
    <r>
      <rPr>
        <i/>
        <sz val="11"/>
        <color theme="1"/>
        <rFont val="Calibri"/>
        <family val="2"/>
        <scheme val="minor"/>
      </rPr>
      <t>Which</t>
    </r>
    <r>
      <rPr>
        <sz val="11"/>
        <color theme="1"/>
        <rFont val="Calibri"/>
        <family val="2"/>
        <scheme val="minor"/>
      </rPr>
      <t xml:space="preserve"> new insights they take from a model session. </t>
    </r>
  </si>
  <si>
    <r>
      <t xml:space="preserve">Session Guide: </t>
    </r>
    <r>
      <rPr>
        <sz val="11"/>
        <color theme="1"/>
        <rFont val="Calibri"/>
        <family val="2"/>
        <scheme val="minor"/>
      </rPr>
      <t>1 person to setup in Google Sheets (see Setup below), invite participants, and organize play.</t>
    </r>
  </si>
  <si>
    <r>
      <rPr>
        <b/>
        <sz val="11"/>
        <color theme="1"/>
        <rFont val="Calibri"/>
        <family val="2"/>
        <scheme val="minor"/>
      </rPr>
      <t>Number of People:</t>
    </r>
    <r>
      <rPr>
        <sz val="11"/>
        <color theme="1"/>
        <rFont val="Calibri"/>
        <family val="2"/>
        <scheme val="minor"/>
      </rPr>
      <t xml:space="preserve"> 2 or more (Session guide may also participate).</t>
    </r>
  </si>
  <si>
    <r>
      <rPr>
        <b/>
        <sz val="11"/>
        <color theme="1"/>
        <rFont val="Calibri"/>
        <family val="2"/>
        <scheme val="minor"/>
      </rPr>
      <t>Software:</t>
    </r>
    <r>
      <rPr>
        <sz val="11"/>
        <color theme="1"/>
        <rFont val="Calibri"/>
        <family val="2"/>
        <scheme val="minor"/>
      </rPr>
      <t xml:space="preserve"> Session Guide has a Google Account.</t>
    </r>
  </si>
  <si>
    <r>
      <t xml:space="preserve">Duplicate the </t>
    </r>
    <r>
      <rPr>
        <b/>
        <sz val="11"/>
        <color theme="1"/>
        <rFont val="Calibri"/>
        <family val="2"/>
        <scheme val="minor"/>
      </rPr>
      <t>Master</t>
    </r>
    <r>
      <rPr>
        <sz val="11"/>
        <color theme="1"/>
        <rFont val="Calibri"/>
        <family val="2"/>
        <scheme val="minor"/>
      </rPr>
      <t xml:space="preserve"> Worksheet to work on in this session and save a blank version for later use.</t>
    </r>
  </si>
  <si>
    <r>
      <t xml:space="preserve">In  Cell </t>
    </r>
    <r>
      <rPr>
        <b/>
        <sz val="11"/>
        <color rgb="FF00B050"/>
        <rFont val="Calibri"/>
        <family val="2"/>
        <scheme val="minor"/>
      </rPr>
      <t>B21</t>
    </r>
    <r>
      <rPr>
        <sz val="11"/>
        <color theme="1"/>
        <rFont val="Calibri"/>
        <family val="2"/>
        <scheme val="minor"/>
      </rPr>
      <t>, enter the total Water Conservation Account (Intentionally Created Surplus) Balance. This value includes California, Arizona, Nevada, and Mexico.</t>
    </r>
  </si>
  <si>
    <t>Help Water Conservation Program Total Balance</t>
  </si>
  <si>
    <t>Help storage above protect zone</t>
  </si>
  <si>
    <t>Help remaining storage above protect and ICS</t>
  </si>
  <si>
    <t>Help calculate Mead evaporation</t>
  </si>
  <si>
    <t>Help specify Lake Mead inflow</t>
  </si>
  <si>
    <t>1.3</t>
  </si>
  <si>
    <t>Start documenting model with instructions and user guide.</t>
  </si>
  <si>
    <t>Help split reservoir inflow</t>
  </si>
  <si>
    <t>Help Lake Mead end of year</t>
  </si>
  <si>
    <t>Immersive Model for Lake Mead based on the Principle of Divide Reservoir Inflow</t>
  </si>
  <si>
    <r>
      <t>The purpose of this tool is to give collaborators the opportunity to immerse in and personify water user roles for a Lake Mead model based on the principle of divide reservoir inflow. The process is:</t>
    </r>
    <r>
      <rPr>
        <b/>
        <sz val="11"/>
        <color theme="1"/>
        <rFont val="Calibri"/>
        <family val="2"/>
        <scheme val="minor"/>
      </rPr>
      <t xml:space="preserve"> A) Divide reservoir inflow</t>
    </r>
    <r>
      <rPr>
        <sz val="11"/>
        <color theme="1"/>
        <rFont val="Calibri"/>
        <family val="2"/>
        <scheme val="minor"/>
      </rPr>
      <t xml:space="preserve">, </t>
    </r>
    <r>
      <rPr>
        <b/>
        <sz val="11"/>
        <color theme="1"/>
        <rFont val="Calibri"/>
        <family val="2"/>
        <scheme val="minor"/>
      </rPr>
      <t>B) Subtract evaporation</t>
    </r>
    <r>
      <rPr>
        <sz val="11"/>
        <color theme="1"/>
        <rFont val="Calibri"/>
        <family val="2"/>
        <scheme val="minor"/>
      </rPr>
      <t>, and</t>
    </r>
    <r>
      <rPr>
        <b/>
        <sz val="11"/>
        <color theme="1"/>
        <rFont val="Calibri"/>
        <family val="2"/>
        <scheme val="minor"/>
      </rPr>
      <t xml:space="preserve"> C) Users withdraw and conserve within their available water</t>
    </r>
    <r>
      <rPr>
        <sz val="11"/>
        <color theme="1"/>
        <rFont val="Calibri"/>
        <family val="2"/>
        <scheme val="minor"/>
      </rPr>
      <t>, others choices, and real-time discussion of choices. We see uses of the tool for two purposes:</t>
    </r>
  </si>
  <si>
    <t xml:space="preserve">    2) Provoke thought and discussion to:</t>
  </si>
  <si>
    <r>
      <t xml:space="preserve">a) 	Stabilize and recover reservoir storage under conditions of low storage </t>
    </r>
    <r>
      <rPr>
        <b/>
        <sz val="11"/>
        <color theme="1"/>
        <rFont val="Calibri"/>
        <family val="2"/>
        <scheme val="minor"/>
      </rPr>
      <t>and</t>
    </r>
    <r>
      <rPr>
        <sz val="11"/>
        <color theme="1"/>
        <rFont val="Calibri"/>
        <family val="2"/>
        <scheme val="minor"/>
      </rPr>
      <t xml:space="preserve"> low inflow, and</t>
    </r>
  </si>
  <si>
    <t>b) Give users more autonomy to manage their conflicting vulnerabilities to water shortages.</t>
  </si>
  <si>
    <t>1.3.1</t>
  </si>
  <si>
    <t>Update text in ReadMe-Directions and Model Guide</t>
  </si>
  <si>
    <t>Add parameter to specify how much of allocation for Tribes of the Lower Basin comes from California vs. Arizona</t>
  </si>
  <si>
    <t xml:space="preserve">     Percent of Tribal Nation water in Arizona</t>
  </si>
  <si>
    <t xml:space="preserve">     Percent of Tribal Nation water in California</t>
  </si>
  <si>
    <t>1.4</t>
  </si>
  <si>
    <t>This worksheet shows water for Tribal Nations of the Lower Basin  (Ten Tribes Partnership, 2018)</t>
  </si>
  <si>
    <t>Tribal Nation</t>
  </si>
  <si>
    <t>State</t>
  </si>
  <si>
    <t>Decreed Diversion (acre-feet)</t>
  </si>
  <si>
    <t>Unresolved Diversion Claim (acre-feet)</t>
  </si>
  <si>
    <t>Fort Mojave Indian Tribe</t>
  </si>
  <si>
    <t>Table 5.11-B. Lower Basin Decreed Water Rights and Unresolved Claims</t>
  </si>
  <si>
    <t>Chemehuevi Indian Tribe</t>
  </si>
  <si>
    <t>Colorado River Indian Tribes</t>
  </si>
  <si>
    <t>Quechan Indian Tribe</t>
  </si>
  <si>
    <t>Cocopah Indian Tribe</t>
  </si>
  <si>
    <t>Volume (acre-feet)</t>
  </si>
  <si>
    <t>Percent</t>
  </si>
  <si>
    <t>Table 5.11-D. Total Annual Current Tribal Water Use (acre-feet)</t>
  </si>
  <si>
    <t>Water Use Category</t>
  </si>
  <si>
    <t>Diversion</t>
  </si>
  <si>
    <t>Consumptive Use</t>
  </si>
  <si>
    <t>Irrigatedd Agriculture &amp; Livestock</t>
  </si>
  <si>
    <t>Domestic, Commercial, Industrial</t>
  </si>
  <si>
    <t>Environmental, Cultural, Recreation</t>
  </si>
  <si>
    <t>Transfers, Leases, Exchanges</t>
  </si>
  <si>
    <t>TribalWater</t>
  </si>
  <si>
    <t>Shows settled water rights and current consumptive uses of Tribal Nations of the Lower Basin.</t>
  </si>
  <si>
    <t>Help assign parties and specify strategies</t>
  </si>
  <si>
    <t>Help percent of Tribal Nation water in CA</t>
  </si>
  <si>
    <t>Help percent of Tribal Nation water in AZ</t>
  </si>
  <si>
    <t>1.4.1</t>
  </si>
  <si>
    <t>Document Tribal parameter in Users Guide</t>
  </si>
  <si>
    <t>KEY IDEAS</t>
  </si>
  <si>
    <t>1)</t>
  </si>
  <si>
    <t>2)</t>
  </si>
  <si>
    <t>3)</t>
  </si>
  <si>
    <t>Lake Mead water level is the sum of the protection elevation and each user’s available water.</t>
  </si>
  <si>
    <t>Each user manages all their available water not just prior conserved water.</t>
  </si>
  <si>
    <t>Eric Porse</t>
  </si>
  <si>
    <t>University of California Agricultural and Natural Resources</t>
  </si>
  <si>
    <t>eporse@ucanr.edu</t>
  </si>
  <si>
    <t>See Let's Start Guide for visualizations of Key Ideas ---</t>
  </si>
  <si>
    <t>Here</t>
  </si>
  <si>
    <t>1.4.2</t>
  </si>
  <si>
    <t>Add images of key ideas to ReadMe</t>
  </si>
  <si>
    <t>CEE 6490 students; Akbar</t>
  </si>
  <si>
    <t>Dec, 2024</t>
  </si>
  <si>
    <t>1.4.3</t>
  </si>
  <si>
    <t>Add recent water use in Model Guide</t>
  </si>
  <si>
    <t>Ensemble</t>
  </si>
  <si>
    <t># of Traces</t>
  </si>
  <si>
    <t>Trace</t>
  </si>
  <si>
    <t>Position</t>
  </si>
  <si>
    <t xml:space="preserve">First </t>
  </si>
  <si>
    <t>Second</t>
  </si>
  <si>
    <t>Third</t>
  </si>
  <si>
    <t>Average</t>
  </si>
  <si>
    <t>CMIP5_LOCA</t>
  </si>
  <si>
    <t>RCP_85_100</t>
  </si>
  <si>
    <t>trace17</t>
  </si>
  <si>
    <t>AR1</t>
  </si>
  <si>
    <t>CMIP5_BCSD</t>
  </si>
  <si>
    <t>65</t>
  </si>
  <si>
    <t>CMIP3</t>
  </si>
  <si>
    <t>Trace55</t>
  </si>
  <si>
    <t>Drought_Mid20th</t>
  </si>
  <si>
    <t>Trace33</t>
  </si>
  <si>
    <t>RCP85_065</t>
  </si>
  <si>
    <t>NPC_1988_2020</t>
  </si>
  <si>
    <t>Trace1</t>
  </si>
  <si>
    <t>Drought_Paleo</t>
  </si>
  <si>
    <t>Trace42</t>
  </si>
  <si>
    <t>RCP45_100</t>
  </si>
  <si>
    <t>Drought_Millennium</t>
  </si>
  <si>
    <t>Trace46</t>
  </si>
  <si>
    <t>NPC_1906_2020</t>
  </si>
  <si>
    <t>Trace18</t>
  </si>
  <si>
    <t>NPC_2000_2020</t>
  </si>
  <si>
    <t>Trace94</t>
  </si>
  <si>
    <t>ISM_TRM17SK</t>
  </si>
  <si>
    <t>TreeRingFlows</t>
  </si>
  <si>
    <t>RCP45_065</t>
  </si>
  <si>
    <t>RCP85_030</t>
  </si>
  <si>
    <t>RCP45_030</t>
  </si>
  <si>
    <t>trace18</t>
  </si>
  <si>
    <t>Mill_5YrBlockRes</t>
  </si>
  <si>
    <t>Trace27</t>
  </si>
  <si>
    <t>ISM_Full</t>
  </si>
  <si>
    <t>ISM_PluvialRemoved</t>
  </si>
  <si>
    <t>ISM_StressTest</t>
  </si>
  <si>
    <t>Scenarios of Extreme Lake Mead Inflow</t>
  </si>
  <si>
    <t>Lake Mead Inflow Scenarios</t>
  </si>
  <si>
    <t>Extreme low inflow Lake Mead Scenarios. Lowest three year sequences from HydrologicScenarios (Salehabadi)</t>
  </si>
  <si>
    <t>Anabelle Myers</t>
  </si>
  <si>
    <t>A02369941@aggies.usu.edu</t>
  </si>
  <si>
    <t>David E. Rosenberg, Anabelle Myers, Hadia Akbar, Erik Porse (2025). "Immersive Model for Lake Mead Based on the Principle of Division of Reservoir Inflow." Utah State University, Logan, UT. https://github.com/dzeke/ColoradoRiverCollaborate/tree/main/LakeMeadWaterBankDivideInflow.</t>
  </si>
  <si>
    <t>Add extreme low Lake Mead inflow hydrologic scenarios</t>
  </si>
  <si>
    <t>Myers</t>
  </si>
  <si>
    <t>Collaborators in model session</t>
  </si>
  <si>
    <t>[1]</t>
  </si>
  <si>
    <t>[7]</t>
  </si>
  <si>
    <t>[8]</t>
  </si>
  <si>
    <t>[9]</t>
  </si>
  <si>
    <t>[10]</t>
  </si>
  <si>
    <t>Mexico
[F]</t>
  </si>
  <si>
    <t>Tribal
Nations [T]</t>
  </si>
  <si>
    <t>Lake Mead Inflow
(maf per year) [B]</t>
  </si>
  <si>
    <t>Total Shortage
(maf per year) [A]</t>
  </si>
  <si>
    <t>Arizona
[C]</t>
  </si>
  <si>
    <t>Nevada
[D]</t>
  </si>
  <si>
    <t>California
[E]</t>
  </si>
  <si>
    <t>Arizona
[H]</t>
  </si>
  <si>
    <t>Nevada
[I]</t>
  </si>
  <si>
    <t>California
[J]</t>
  </si>
  <si>
    <t>Mexico
[K]</t>
  </si>
  <si>
    <t>Collaborators in model session; Rosenberg</t>
  </si>
  <si>
    <t>Add Tribal Nations in Lake Mead inflow allocation</t>
  </si>
  <si>
    <t>Minimum Summation
of Ensemble</t>
  </si>
  <si>
    <r>
      <t xml:space="preserve">The annual Lake Mead inflow magnitude has been determined by using data from the data sheet, </t>
    </r>
    <r>
      <rPr>
        <i/>
        <sz val="12"/>
        <color theme="1"/>
        <rFont val="Aptos"/>
        <family val="2"/>
      </rPr>
      <t xml:space="preserve">HydrologicScenarios </t>
    </r>
    <r>
      <rPr>
        <sz val="12"/>
        <color theme="1"/>
        <rFont val="Aptos"/>
        <family val="2"/>
      </rPr>
      <t>(Salehabadi 2023). 
All Ensembles and traces were used in determining Lake Mead’s inflow. Using code written in Python, three consecutive smallest values in each trace were found.</t>
    </r>
  </si>
  <si>
    <t>X</t>
  </si>
  <si>
    <t>Chosen</t>
  </si>
  <si>
    <t>Based Off of 2024 Lower Basin Shortage Agreement: Tribal Nations Included in Lake Mead Inflow Allocation</t>
  </si>
  <si>
    <t>Standardized</t>
  </si>
  <si>
    <t>[6]</t>
  </si>
  <si>
    <r>
      <t xml:space="preserve">a. For example, in Rows 4-10, particants select a </t>
    </r>
    <r>
      <rPr>
        <b/>
        <sz val="11"/>
        <color theme="1"/>
        <rFont val="Calibri"/>
        <family val="2"/>
        <scheme val="minor"/>
      </rPr>
      <t>User,</t>
    </r>
    <r>
      <rPr>
        <sz val="11"/>
        <color theme="1"/>
        <rFont val="Calibri"/>
        <family val="2"/>
        <scheme val="minor"/>
      </rPr>
      <t xml:space="preserve"> articulate the </t>
    </r>
    <r>
      <rPr>
        <b/>
        <sz val="11"/>
        <color theme="1"/>
        <rFont val="Calibri"/>
        <family val="2"/>
        <scheme val="minor"/>
      </rPr>
      <t>User's vulnerability to water shortages,</t>
    </r>
    <r>
      <rPr>
        <sz val="11"/>
        <color theme="1"/>
        <rFont val="Calibri"/>
        <family val="2"/>
        <scheme val="minor"/>
      </rPr>
      <t xml:space="preserve"> and define a </t>
    </r>
    <r>
      <rPr>
        <b/>
        <sz val="11"/>
        <color theme="1"/>
        <rFont val="Calibri"/>
        <family val="2"/>
        <scheme val="minor"/>
      </rPr>
      <t>strategy to manage vulnerability</t>
    </r>
    <r>
      <rPr>
        <sz val="11"/>
        <color theme="1"/>
        <rFont val="Calibri"/>
        <family val="2"/>
        <scheme val="minor"/>
      </rPr>
      <t>. If fewer than 6 participants, participants select multiple users.</t>
    </r>
  </si>
  <si>
    <t>Blank template. Duplicate this worksheet before using. See directions above for use.</t>
  </si>
  <si>
    <t>If percentage shares of total shortages for 0.3 to 1.5 maf per year specified in Lower Basin Alternative (2024) continue to total shortages for 1.5 to 2.7 maf per year.</t>
  </si>
  <si>
    <t>If percentage shares of total shortages for 0.3 to 1.5 maf per year specified in Lower Basin Alternative (2024) continue to total shortages for 8.0 maf per year.</t>
  </si>
  <si>
    <t>Chosen for model Calculations. California has a higher priority.</t>
  </si>
  <si>
    <t>Historical allocations</t>
  </si>
  <si>
    <t>Add new images for Tribal allocation</t>
  </si>
  <si>
    <t>1.6.1</t>
  </si>
  <si>
    <t>Add new row for unit price</t>
  </si>
  <si>
    <t>2021 to 2022</t>
  </si>
  <si>
    <t>500+ Plan - Lower Basin</t>
  </si>
  <si>
    <t>None yet</t>
  </si>
  <si>
    <t>Desalination at the Sea of Cortez</t>
  </si>
  <si>
    <t>$700 to $1,000</t>
  </si>
  <si>
    <t>Lower Basin agricultural value</t>
  </si>
  <si>
    <t>Comparison Options</t>
  </si>
  <si>
    <t>None</t>
  </si>
  <si>
    <t>2019 to 2023</t>
  </si>
  <si>
    <t>Mandatory Conservation - Not ICS</t>
  </si>
  <si>
    <t>2007 to 2023</t>
  </si>
  <si>
    <t>Lake Mead Water Conservation Accounts</t>
  </si>
  <si>
    <t>Existing Programs</t>
  </si>
  <si>
    <t>$161 to $670</t>
  </si>
  <si>
    <t>2015 to 2017</t>
  </si>
  <si>
    <t xml:space="preserve">    Upper Basin</t>
  </si>
  <si>
    <t>$150 to $611</t>
  </si>
  <si>
    <t>$77 to $240</t>
  </si>
  <si>
    <t>2015 to 2019</t>
  </si>
  <si>
    <t xml:space="preserve">    Lower Basin</t>
  </si>
  <si>
    <t>System Conservation Pilot Programs</t>
  </si>
  <si>
    <t>Compensation ($ million)</t>
  </si>
  <si>
    <t>Cost ($ per acre-foot)</t>
  </si>
  <si>
    <t>Volume (million acre-feet)</t>
  </si>
  <si>
    <t>Years</t>
  </si>
  <si>
    <t>Program</t>
  </si>
  <si>
    <t>Colorado River Conservation Programs</t>
  </si>
  <si>
    <t xml:space="preserve">   Enter volume to Buy(+) or Sell(-) [maf]</t>
  </si>
  <si>
    <t xml:space="preserve">   Enter price per acre-foot to Buy(-) or Sell(+)</t>
  </si>
  <si>
    <t xml:space="preserve">   Compensation [Mill]</t>
  </si>
  <si>
    <r>
      <rPr>
        <b/>
        <sz val="11"/>
        <color rgb="FF0000FF"/>
        <rFont val="Calibri"/>
        <family val="2"/>
        <scheme val="minor"/>
      </rPr>
      <t>Participant Dashboards</t>
    </r>
    <r>
      <rPr>
        <sz val="11"/>
        <color theme="1"/>
        <rFont val="Calibri"/>
        <family val="2"/>
        <scheme val="minor"/>
      </rPr>
      <t xml:space="preserve"> and Rows with </t>
    </r>
    <r>
      <rPr>
        <b/>
        <sz val="11"/>
        <color rgb="FF0000FF"/>
        <rFont val="Calibri"/>
        <family val="2"/>
        <scheme val="minor"/>
      </rPr>
      <t>Blue Text</t>
    </r>
    <r>
      <rPr>
        <sz val="11"/>
        <color theme="1"/>
        <rFont val="Calibri"/>
        <family val="2"/>
        <scheme val="minor"/>
      </rPr>
      <t xml:space="preserve"> (Rows 62 to 116): Participants </t>
    </r>
    <r>
      <rPr>
        <sz val="11"/>
        <rFont val="Calibri"/>
        <family val="2"/>
        <scheme val="minor"/>
      </rPr>
      <t>enter their choices to withdraw, conserve, and trade water in response to their available water, others choices, and the real-time discussion by participants.</t>
    </r>
  </si>
  <si>
    <t>Tribal Nations of the Lower Basin manage their own settled water rights (82.2% is from Arizona, 1.3% is from Nevada, 16.4% is from California).</t>
  </si>
  <si>
    <t>Lookup table of Lower Basin and Mexico mandatory cuts versus Lake Mead elevation (for reference; not
used in the Lake Mead Water Bank)</t>
  </si>
  <si>
    <t>Help pricing</t>
  </si>
  <si>
    <t>1.8</t>
  </si>
  <si>
    <t>Fixed errors in OFFSETs at summary at bottom of the master sheet</t>
  </si>
  <si>
    <t>1.9</t>
  </si>
  <si>
    <t>Fixed ICS starting storage so that when there is less storage above the Reclamation protection volume than ICS balances, the model prorates the user's starting storages. When there is more available water above the protection volume than ICS balances, each user gets their ICS balance and Tribal Nations get the remainder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</si>
</sst>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6" formatCode="&quot;$&quot;#,##0_);[Red]\(&quot;$&quot;#,##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3" formatCode="#,##0.0"/>
  </numFmts>
  <fonts count="32"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i/>
      <sz val="11"/>
      <color theme="1"/>
      <name val="Calibri"/>
      <family val="2"/>
      <scheme val="minor"/>
    </font>
    <font>
      <b/>
      <sz val="11"/>
      <color theme="9" tint="-0.249977111117893"/>
      <name val="Calibri"/>
      <family val="2"/>
      <scheme val="minor"/>
    </font>
    <font>
      <sz val="11"/>
      <color rgb="FF00B050"/>
      <name val="Calibri"/>
      <family val="2"/>
      <scheme val="minor"/>
    </font>
    <font>
      <b/>
      <sz val="16"/>
      <color rgb="FF0000FF"/>
      <name val="Calibri"/>
      <family val="2"/>
      <scheme val="minor"/>
    </font>
    <font>
      <b/>
      <sz val="11"/>
      <name val="Calibri"/>
      <family val="2"/>
      <scheme val="minor"/>
    </font>
    <font>
      <b/>
      <sz val="11"/>
      <color rgb="FF000000"/>
      <name val="Calibri"/>
      <family val="2"/>
      <scheme val="minor"/>
    </font>
    <font>
      <b/>
      <sz val="11"/>
      <name val="Calibri"/>
      <family val="2"/>
    </font>
    <font>
      <sz val="11"/>
      <color rgb="FF000000"/>
      <name val="Calibri"/>
      <family val="2"/>
      <scheme val="minor"/>
    </font>
    <font>
      <sz val="12"/>
      <color theme="1"/>
      <name val="Aptos"/>
      <family val="2"/>
    </font>
    <font>
      <i/>
      <sz val="12"/>
      <color theme="1"/>
      <name val="Aptos"/>
      <family val="2"/>
    </font>
    <font>
      <b/>
      <sz val="11"/>
      <color theme="5"/>
      <name val="Calibri"/>
      <family val="2"/>
      <scheme val="minor"/>
    </font>
  </fonts>
  <fills count="32">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3" tint="0.89999084444715716"/>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rgb="FFF1ECFF"/>
        <bgColor indexed="64"/>
      </patternFill>
    </fill>
    <fill>
      <patternFill patternType="solid">
        <fgColor rgb="FFF2F2F2"/>
        <bgColor rgb="FF000000"/>
      </patternFill>
    </fill>
  </fills>
  <borders count="38">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auto="1"/>
      </left>
      <right/>
      <top style="medium">
        <color indexed="64"/>
      </top>
      <bottom style="thin">
        <color indexed="64"/>
      </bottom>
      <diagonal/>
    </border>
    <border>
      <left style="thin">
        <color auto="1"/>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rgb="FF7F7F7F"/>
      </right>
      <top/>
      <bottom style="thin">
        <color rgb="FF7F7F7F"/>
      </bottom>
      <diagonal/>
    </border>
    <border>
      <left style="thin">
        <color rgb="FF7F7F7F"/>
      </left>
      <right style="thin">
        <color rgb="FF7F7F7F"/>
      </right>
      <top style="thin">
        <color rgb="FF7F7F7F"/>
      </top>
      <bottom style="thin">
        <color theme="2" tint="-0.249977111117893"/>
      </bottom>
      <diagonal/>
    </border>
    <border>
      <left style="thin">
        <color rgb="FF7F7F7F"/>
      </left>
      <right style="thin">
        <color rgb="FF7F7F7F"/>
      </right>
      <top style="thin">
        <color theme="2" tint="-0.249977111117893"/>
      </top>
      <bottom style="thin">
        <color rgb="FF7F7F7F"/>
      </bottom>
      <diagonal/>
    </border>
    <border>
      <left/>
      <right style="thin">
        <color rgb="FF7F7F7F"/>
      </right>
      <top style="thin">
        <color rgb="FF7F7F7F"/>
      </top>
      <bottom style="thin">
        <color rgb="FFAEAAAA"/>
      </bottom>
      <diagonal/>
    </border>
    <border>
      <left/>
      <right style="thin">
        <color rgb="FF7F7F7F"/>
      </right>
      <top style="thin">
        <color rgb="FFAEAAAA"/>
      </top>
      <bottom style="thin">
        <color rgb="FF7F7F7F"/>
      </bottom>
      <diagonal/>
    </border>
    <border>
      <left style="thin">
        <color theme="6" tint="-0.249977111117893"/>
      </left>
      <right/>
      <top/>
      <bottom/>
      <diagonal/>
    </border>
    <border>
      <left style="thin">
        <color theme="6" tint="-0.249977111117893"/>
      </left>
      <right/>
      <top style="thin">
        <color rgb="FF7F7F7F"/>
      </top>
      <bottom style="thin">
        <color rgb="FF7F7F7F"/>
      </bottom>
      <diagonal/>
    </border>
  </borders>
  <cellStyleXfs count="14">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5"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cellStyleXfs>
  <cellXfs count="446">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4" fontId="3" fillId="2" borderId="1" xfId="3" applyNumberFormat="1" applyFont="1" applyFill="1" applyBorder="1" applyAlignment="1">
      <alignment horizontal="center"/>
    </xf>
    <xf numFmtId="0" fontId="5"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0" fontId="1" fillId="0" borderId="0" xfId="0" applyFont="1" applyAlignment="1">
      <alignment vertical="top"/>
    </xf>
    <xf numFmtId="0" fontId="0" fillId="0" borderId="0" xfId="0" applyAlignment="1">
      <alignment vertical="top"/>
    </xf>
    <xf numFmtId="0" fontId="6"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0" fontId="1" fillId="0" borderId="0" xfId="0" applyFont="1" applyAlignment="1">
      <alignment horizontal="left"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7"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5"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9" fillId="0" borderId="0" xfId="0" applyFont="1"/>
    <xf numFmtId="0" fontId="10" fillId="0" borderId="0" xfId="0" applyFont="1"/>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1"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7" xfId="3" applyNumberFormat="1" applyFont="1" applyFill="1" applyBorder="1" applyAlignment="1">
      <alignment horizontal="center"/>
    </xf>
    <xf numFmtId="164" fontId="3" fillId="2" borderId="9" xfId="3" applyNumberFormat="1" applyFont="1" applyFill="1" applyBorder="1" applyAlignment="1">
      <alignment horizontal="center"/>
    </xf>
    <xf numFmtId="0" fontId="12" fillId="20" borderId="0" xfId="13" applyFont="1" applyFill="1" applyAlignment="1">
      <alignment horizontal="center" wrapText="1"/>
    </xf>
    <xf numFmtId="0" fontId="12" fillId="20" borderId="9" xfId="13" applyFont="1" applyFill="1" applyBorder="1" applyAlignment="1">
      <alignment horizontal="center" vertical="top"/>
    </xf>
    <xf numFmtId="0" fontId="14" fillId="19" borderId="0" xfId="6" applyFont="1" applyFill="1" applyAlignment="1">
      <alignment horizontal="center" vertical="top"/>
    </xf>
    <xf numFmtId="164" fontId="14" fillId="19" borderId="0" xfId="6" applyNumberFormat="1" applyFont="1" applyFill="1" applyAlignment="1">
      <alignment horizontal="center" vertical="top"/>
    </xf>
    <xf numFmtId="0" fontId="5"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5" fillId="19" borderId="0" xfId="6" applyNumberFormat="1" applyFill="1" applyBorder="1" applyAlignment="1">
      <alignment horizontal="center" vertical="top"/>
    </xf>
    <xf numFmtId="167" fontId="5" fillId="19" borderId="0" xfId="6" applyNumberFormat="1" applyFill="1" applyBorder="1" applyAlignment="1">
      <alignment horizontal="center" vertical="top"/>
    </xf>
    <xf numFmtId="164" fontId="13"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8"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0" borderId="0" xfId="0" applyNumberFormat="1" applyAlignment="1">
      <alignment vertical="top"/>
    </xf>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6"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8"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5" fillId="19" borderId="0" xfId="6" applyNumberFormat="1" applyFill="1" applyAlignment="1">
      <alignment horizontal="center" vertical="top"/>
    </xf>
    <xf numFmtId="3" fontId="2" fillId="13" borderId="9" xfId="9" applyNumberFormat="1" applyBorder="1" applyAlignment="1">
      <alignment horizontal="center"/>
    </xf>
    <xf numFmtId="2" fontId="1" fillId="0" borderId="0" xfId="0" applyNumberFormat="1" applyFont="1"/>
    <xf numFmtId="9" fontId="4" fillId="4" borderId="9" xfId="4" applyFont="1" applyFill="1" applyBorder="1" applyAlignment="1">
      <alignment vertical="top"/>
    </xf>
    <xf numFmtId="0" fontId="19" fillId="0" borderId="0" xfId="0" applyFont="1" applyAlignment="1">
      <alignment wrapText="1"/>
    </xf>
    <xf numFmtId="0" fontId="18" fillId="5" borderId="9" xfId="0" applyFont="1" applyFill="1" applyBorder="1" applyAlignment="1">
      <alignment horizontal="center" vertical="center" wrapText="1"/>
    </xf>
    <xf numFmtId="0" fontId="18" fillId="19" borderId="9" xfId="0" applyFont="1" applyFill="1" applyBorder="1" applyAlignment="1">
      <alignment horizontal="center" vertical="center" wrapText="1"/>
    </xf>
    <xf numFmtId="0" fontId="18" fillId="7" borderId="9" xfId="0" applyFont="1" applyFill="1" applyBorder="1" applyAlignment="1">
      <alignment horizontal="center" vertical="center" wrapText="1"/>
    </xf>
    <xf numFmtId="0" fontId="19" fillId="0" borderId="9" xfId="0" applyFont="1" applyBorder="1" applyAlignment="1">
      <alignment horizontal="center" vertical="top"/>
    </xf>
    <xf numFmtId="164" fontId="19" fillId="0" borderId="9" xfId="0" applyNumberFormat="1" applyFont="1" applyBorder="1" applyAlignment="1">
      <alignment horizontal="center" vertical="top"/>
    </xf>
    <xf numFmtId="172" fontId="19" fillId="0" borderId="9" xfId="4" applyNumberFormat="1" applyFont="1" applyBorder="1" applyAlignment="1">
      <alignment horizontal="center" vertical="top"/>
    </xf>
    <xf numFmtId="9" fontId="19" fillId="0" borderId="9" xfId="0" applyNumberFormat="1" applyFont="1" applyBorder="1" applyAlignment="1">
      <alignment horizontal="center" vertical="top"/>
    </xf>
    <xf numFmtId="0" fontId="19" fillId="0" borderId="0" xfId="0" applyFont="1"/>
    <xf numFmtId="0" fontId="19" fillId="0" borderId="9" xfId="0" applyFont="1" applyBorder="1" applyAlignment="1">
      <alignment horizontal="center"/>
    </xf>
    <xf numFmtId="172" fontId="19" fillId="0" borderId="9" xfId="4" applyNumberFormat="1" applyFont="1" applyBorder="1" applyAlignment="1">
      <alignment horizontal="center"/>
    </xf>
    <xf numFmtId="164" fontId="19" fillId="0" borderId="9" xfId="0" applyNumberFormat="1" applyFont="1" applyBorder="1" applyAlignment="1">
      <alignment horizontal="center"/>
    </xf>
    <xf numFmtId="2" fontId="19" fillId="0" borderId="9" xfId="0" applyNumberFormat="1" applyFont="1" applyBorder="1" applyAlignment="1">
      <alignment horizontal="center"/>
    </xf>
    <xf numFmtId="172" fontId="19" fillId="0" borderId="9" xfId="0" applyNumberFormat="1" applyFont="1" applyBorder="1" applyAlignment="1">
      <alignment horizontal="center"/>
    </xf>
    <xf numFmtId="0" fontId="19" fillId="0" borderId="9" xfId="4" applyNumberFormat="1" applyFont="1" applyBorder="1" applyAlignment="1">
      <alignment horizontal="center"/>
    </xf>
    <xf numFmtId="172" fontId="4" fillId="4" borderId="9" xfId="4" applyNumberFormat="1" applyFont="1" applyFill="1" applyBorder="1" applyAlignment="1">
      <alignment horizontal="center"/>
    </xf>
    <xf numFmtId="2" fontId="9" fillId="0" borderId="0" xfId="0" applyNumberFormat="1" applyFont="1"/>
    <xf numFmtId="2" fontId="9" fillId="2" borderId="1" xfId="2" applyNumberFormat="1" applyFont="1" applyAlignment="1">
      <alignment horizontal="center"/>
    </xf>
    <xf numFmtId="3" fontId="2" fillId="15" borderId="9" xfId="11" applyNumberFormat="1" applyBorder="1" applyAlignment="1">
      <alignment horizontal="center"/>
    </xf>
    <xf numFmtId="173" fontId="3" fillId="2" borderId="1" xfId="2" applyNumberFormat="1" applyAlignment="1">
      <alignment horizontal="center"/>
    </xf>
    <xf numFmtId="173" fontId="3" fillId="2" borderId="1" xfId="1" applyNumberFormat="1" applyFont="1" applyFill="1" applyBorder="1" applyAlignment="1">
      <alignment horizontal="center" vertical="top"/>
    </xf>
    <xf numFmtId="172" fontId="0" fillId="0" borderId="0" xfId="4" applyNumberFormat="1" applyFont="1" applyAlignment="1">
      <alignment horizontal="center"/>
    </xf>
    <xf numFmtId="9" fontId="19" fillId="0" borderId="9" xfId="4" applyFont="1" applyBorder="1" applyAlignment="1">
      <alignment horizontal="center" vertical="top"/>
    </xf>
    <xf numFmtId="164" fontId="2" fillId="15" borderId="20" xfId="11" applyNumberFormat="1" applyBorder="1" applyAlignment="1">
      <alignment horizontal="center"/>
    </xf>
    <xf numFmtId="0" fontId="1" fillId="0" borderId="9" xfId="0" applyFont="1" applyBorder="1" applyAlignment="1">
      <alignment horizontal="center" wrapText="1"/>
    </xf>
    <xf numFmtId="171" fontId="0" fillId="27" borderId="5" xfId="0" applyNumberFormat="1" applyFill="1" applyBorder="1" applyAlignment="1">
      <alignment vertical="top" wrapText="1"/>
    </xf>
    <xf numFmtId="0" fontId="0" fillId="27" borderId="0" xfId="0" applyFill="1" applyAlignment="1">
      <alignment horizontal="left" vertical="top" wrapText="1"/>
    </xf>
    <xf numFmtId="0" fontId="0" fillId="27" borderId="6" xfId="0" applyFill="1" applyBorder="1" applyAlignment="1">
      <alignment horizontal="left" vertical="top" wrapText="1"/>
    </xf>
    <xf numFmtId="171" fontId="0" fillId="27" borderId="5" xfId="0" applyNumberFormat="1" applyFill="1" applyBorder="1" applyAlignment="1">
      <alignment horizontal="right" vertical="top"/>
    </xf>
    <xf numFmtId="171" fontId="0" fillId="27" borderId="16" xfId="0" applyNumberFormat="1" applyFill="1" applyBorder="1" applyAlignment="1">
      <alignment horizontal="right" vertical="top"/>
    </xf>
    <xf numFmtId="0" fontId="0" fillId="19" borderId="5" xfId="0" applyFill="1" applyBorder="1" applyAlignment="1">
      <alignment horizontal="left" vertical="top" wrapText="1"/>
    </xf>
    <xf numFmtId="0" fontId="0" fillId="19" borderId="16" xfId="0" applyFill="1" applyBorder="1" applyAlignment="1">
      <alignment horizontal="left" vertical="top" wrapText="1"/>
    </xf>
    <xf numFmtId="0" fontId="5" fillId="21" borderId="16" xfId="6" applyFill="1" applyBorder="1"/>
    <xf numFmtId="9" fontId="3" fillId="2" borderId="10" xfId="2" applyNumberFormat="1" applyBorder="1" applyAlignment="1">
      <alignment horizontal="center"/>
    </xf>
    <xf numFmtId="0" fontId="1" fillId="19" borderId="9" xfId="0" applyFont="1" applyFill="1" applyBorder="1"/>
    <xf numFmtId="0" fontId="1" fillId="19" borderId="9" xfId="0" applyFont="1" applyFill="1" applyBorder="1" applyAlignment="1">
      <alignment horizontal="center" wrapText="1"/>
    </xf>
    <xf numFmtId="0" fontId="1" fillId="21" borderId="9" xfId="0" applyFont="1" applyFill="1" applyBorder="1"/>
    <xf numFmtId="166" fontId="1" fillId="21" borderId="9" xfId="1" applyNumberFormat="1" applyFont="1" applyFill="1" applyBorder="1" applyAlignment="1">
      <alignment horizontal="center"/>
    </xf>
    <xf numFmtId="172" fontId="0" fillId="0" borderId="9" xfId="4" applyNumberFormat="1" applyFont="1" applyBorder="1" applyAlignment="1">
      <alignment horizontal="center"/>
    </xf>
    <xf numFmtId="166" fontId="1" fillId="21" borderId="9" xfId="1" applyNumberFormat="1" applyFont="1" applyFill="1" applyBorder="1"/>
    <xf numFmtId="172" fontId="1" fillId="21" borderId="9" xfId="4" applyNumberFormat="1" applyFont="1" applyFill="1" applyBorder="1" applyAlignment="1">
      <alignment horizontal="center"/>
    </xf>
    <xf numFmtId="0" fontId="1" fillId="21" borderId="9" xfId="0" applyFont="1" applyFill="1" applyBorder="1" applyAlignment="1">
      <alignment horizontal="center"/>
    </xf>
    <xf numFmtId="0" fontId="1" fillId="19" borderId="9" xfId="0" applyFont="1" applyFill="1" applyBorder="1" applyAlignment="1">
      <alignment horizontal="center"/>
    </xf>
    <xf numFmtId="0" fontId="0" fillId="21" borderId="5" xfId="0" applyFill="1" applyBorder="1" applyAlignment="1">
      <alignment horizontal="right" vertical="top" wrapText="1"/>
    </xf>
    <xf numFmtId="0" fontId="11" fillId="0" borderId="0" xfId="6" applyFont="1"/>
    <xf numFmtId="0" fontId="25" fillId="0" borderId="0" xfId="6" applyFont="1"/>
    <xf numFmtId="0" fontId="1" fillId="21" borderId="7" xfId="0" applyFont="1" applyFill="1" applyBorder="1" applyAlignment="1">
      <alignment vertical="top" wrapText="1"/>
    </xf>
    <xf numFmtId="0" fontId="1" fillId="21" borderId="8" xfId="0" applyFont="1" applyFill="1" applyBorder="1" applyAlignment="1">
      <alignment vertical="top" wrapText="1"/>
    </xf>
    <xf numFmtId="0" fontId="5" fillId="21" borderId="7" xfId="6" applyFill="1" applyBorder="1" applyAlignment="1">
      <alignmen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1" fillId="21" borderId="5" xfId="0" applyFont="1" applyFill="1" applyBorder="1" applyAlignment="1">
      <alignment horizontal="right" vertical="top" wrapText="1"/>
    </xf>
    <xf numFmtId="1" fontId="5" fillId="0" borderId="0" xfId="6" applyNumberFormat="1"/>
    <xf numFmtId="0" fontId="28" fillId="0" borderId="0" xfId="0" applyFont="1"/>
    <xf numFmtId="164" fontId="0" fillId="0" borderId="21" xfId="0" applyNumberFormat="1" applyBorder="1"/>
    <xf numFmtId="0" fontId="28" fillId="0" borderId="0" xfId="0" applyFont="1" applyAlignment="1">
      <alignment horizontal="center"/>
    </xf>
    <xf numFmtId="0" fontId="28" fillId="0" borderId="22" xfId="0" applyFont="1" applyBorder="1"/>
    <xf numFmtId="0" fontId="0" fillId="0" borderId="22" xfId="0" applyBorder="1"/>
    <xf numFmtId="0" fontId="0" fillId="0" borderId="22" xfId="0" applyBorder="1" applyAlignment="1">
      <alignment horizontal="center"/>
    </xf>
    <xf numFmtId="164" fontId="0" fillId="0" borderId="23" xfId="0" applyNumberFormat="1" applyBorder="1"/>
    <xf numFmtId="0" fontId="19" fillId="0" borderId="9" xfId="0" applyFont="1" applyBorder="1" applyAlignment="1">
      <alignment horizontal="center" vertical="center"/>
    </xf>
    <xf numFmtId="2" fontId="19" fillId="0" borderId="9" xfId="0" applyNumberFormat="1" applyFont="1" applyBorder="1" applyAlignment="1">
      <alignment horizontal="center" vertical="center"/>
    </xf>
    <xf numFmtId="164" fontId="19" fillId="0" borderId="9" xfId="0" applyNumberFormat="1" applyFont="1" applyBorder="1" applyAlignment="1">
      <alignment horizontal="center" vertical="center"/>
    </xf>
    <xf numFmtId="0" fontId="18" fillId="7" borderId="9" xfId="0" applyFont="1" applyFill="1" applyBorder="1" applyAlignment="1">
      <alignment horizontal="center" vertical="center"/>
    </xf>
    <xf numFmtId="43" fontId="0" fillId="0" borderId="0" xfId="0" applyNumberFormat="1"/>
    <xf numFmtId="0" fontId="18" fillId="0" borderId="0" xfId="0" applyFont="1" applyAlignment="1">
      <alignment horizontal="center" vertical="center" wrapText="1"/>
    </xf>
    <xf numFmtId="0" fontId="19" fillId="0" borderId="0" xfId="0" applyFont="1" applyAlignment="1">
      <alignment horizontal="center"/>
    </xf>
    <xf numFmtId="0" fontId="18" fillId="0" borderId="0" xfId="0" applyFont="1" applyAlignment="1">
      <alignment vertical="center" wrapText="1"/>
    </xf>
    <xf numFmtId="0" fontId="19" fillId="0" borderId="0" xfId="0" applyFont="1" applyAlignment="1">
      <alignment horizontal="center" vertical="center"/>
    </xf>
    <xf numFmtId="164" fontId="19" fillId="0" borderId="0" xfId="0" applyNumberFormat="1" applyFont="1" applyAlignment="1">
      <alignment horizontal="center" vertical="center"/>
    </xf>
    <xf numFmtId="2" fontId="19" fillId="0" borderId="0" xfId="0" applyNumberFormat="1" applyFont="1" applyAlignment="1">
      <alignment horizontal="center" vertical="center"/>
    </xf>
    <xf numFmtId="172" fontId="19" fillId="0" borderId="0" xfId="4" applyNumberFormat="1" applyFont="1" applyFill="1" applyBorder="1" applyAlignment="1">
      <alignment horizontal="center" vertical="center"/>
    </xf>
    <xf numFmtId="9" fontId="19" fillId="0" borderId="0" xfId="4" applyFont="1" applyFill="1" applyBorder="1" applyAlignment="1">
      <alignment horizontal="center" vertical="center"/>
    </xf>
    <xf numFmtId="0" fontId="18" fillId="0" borderId="0" xfId="0" applyFont="1" applyAlignment="1">
      <alignment horizontal="center" vertical="center"/>
    </xf>
    <xf numFmtId="0" fontId="18" fillId="0" borderId="0" xfId="0" applyFont="1" applyAlignment="1">
      <alignment vertical="center"/>
    </xf>
    <xf numFmtId="9" fontId="19" fillId="0" borderId="9" xfId="4" applyFont="1" applyBorder="1" applyAlignment="1">
      <alignment horizontal="center" vertical="center"/>
    </xf>
    <xf numFmtId="172" fontId="19" fillId="0" borderId="9" xfId="4" applyNumberFormat="1" applyFont="1" applyBorder="1" applyAlignment="1">
      <alignment horizontal="center" vertical="center"/>
    </xf>
    <xf numFmtId="0" fontId="18" fillId="19" borderId="9" xfId="0" applyFont="1" applyFill="1" applyBorder="1" applyAlignment="1">
      <alignment horizontal="center" vertical="center"/>
    </xf>
    <xf numFmtId="0" fontId="26" fillId="28" borderId="24" xfId="0" applyFont="1" applyFill="1" applyBorder="1" applyAlignment="1">
      <alignment horizontal="center" vertical="top"/>
    </xf>
    <xf numFmtId="0" fontId="26" fillId="28" borderId="25" xfId="0" applyFont="1" applyFill="1" applyBorder="1" applyAlignment="1">
      <alignment horizontal="center" vertical="top"/>
    </xf>
    <xf numFmtId="0" fontId="27" fillId="28" borderId="26" xfId="0" applyFont="1" applyFill="1" applyBorder="1" applyAlignment="1">
      <alignment horizontal="center" vertical="top" wrapText="1"/>
    </xf>
    <xf numFmtId="0" fontId="27" fillId="28" borderId="26" xfId="0" applyFont="1" applyFill="1" applyBorder="1" applyAlignment="1">
      <alignment horizontal="center" vertical="top"/>
    </xf>
    <xf numFmtId="0" fontId="27" fillId="28" borderId="27" xfId="0" applyFont="1" applyFill="1" applyBorder="1" applyAlignment="1">
      <alignment horizontal="center" vertical="top"/>
    </xf>
    <xf numFmtId="0" fontId="26" fillId="5" borderId="28" xfId="0" applyFont="1" applyFill="1" applyBorder="1"/>
    <xf numFmtId="0" fontId="26" fillId="5" borderId="29" xfId="0" applyFont="1" applyFill="1" applyBorder="1"/>
    <xf numFmtId="0" fontId="26" fillId="5" borderId="30" xfId="0" applyFont="1" applyFill="1" applyBorder="1"/>
    <xf numFmtId="0" fontId="0" fillId="0" borderId="0" xfId="0" applyAlignment="1">
      <alignment horizontal="center" vertical="center"/>
    </xf>
    <xf numFmtId="2" fontId="3" fillId="2" borderId="18" xfId="2" applyNumberFormat="1" applyBorder="1" applyAlignment="1">
      <alignment horizontal="center"/>
    </xf>
    <xf numFmtId="2" fontId="3" fillId="2" borderId="31" xfId="2" applyNumberFormat="1" applyBorder="1" applyAlignment="1">
      <alignment horizontal="center"/>
    </xf>
    <xf numFmtId="2" fontId="3" fillId="2" borderId="9" xfId="2" applyNumberFormat="1" applyBorder="1" applyAlignment="1">
      <alignment horizontal="center"/>
    </xf>
    <xf numFmtId="9" fontId="18" fillId="0" borderId="0" xfId="4" applyFont="1" applyAlignment="1">
      <alignment vertical="center"/>
    </xf>
    <xf numFmtId="9" fontId="0" fillId="0" borderId="0" xfId="4" applyFont="1"/>
    <xf numFmtId="0" fontId="18" fillId="0" borderId="0" xfId="0" applyFont="1" applyAlignment="1">
      <alignment horizontal="center"/>
    </xf>
    <xf numFmtId="172" fontId="19" fillId="0" borderId="0" xfId="4" applyNumberFormat="1" applyFont="1" applyBorder="1" applyAlignment="1">
      <alignment horizontal="center" vertical="center"/>
    </xf>
    <xf numFmtId="2" fontId="19" fillId="0" borderId="0" xfId="0" applyNumberFormat="1" applyFont="1" applyAlignment="1">
      <alignment horizontal="center"/>
    </xf>
    <xf numFmtId="9" fontId="19" fillId="0" borderId="0" xfId="4" applyFont="1" applyFill="1" applyBorder="1" applyAlignment="1">
      <alignment horizontal="center"/>
    </xf>
    <xf numFmtId="0" fontId="18" fillId="0" borderId="0" xfId="0" applyFont="1"/>
    <xf numFmtId="172" fontId="19" fillId="0" borderId="0" xfId="4" applyNumberFormat="1" applyFont="1" applyFill="1" applyBorder="1" applyAlignment="1">
      <alignment horizontal="center"/>
    </xf>
    <xf numFmtId="172" fontId="19" fillId="0" borderId="0" xfId="0" applyNumberFormat="1" applyFont="1" applyAlignment="1">
      <alignment horizontal="center"/>
    </xf>
    <xf numFmtId="0" fontId="19" fillId="0" borderId="0" xfId="4" applyNumberFormat="1" applyFont="1" applyFill="1" applyBorder="1" applyAlignment="1">
      <alignment horizontal="center"/>
    </xf>
    <xf numFmtId="0" fontId="19" fillId="0" borderId="0" xfId="0" applyFont="1" applyAlignment="1">
      <alignment horizontal="center" vertical="top"/>
    </xf>
    <xf numFmtId="2" fontId="19" fillId="0" borderId="0" xfId="0" applyNumberFormat="1" applyFont="1"/>
    <xf numFmtId="164" fontId="19" fillId="0" borderId="0" xfId="0" applyNumberFormat="1" applyFont="1"/>
    <xf numFmtId="172" fontId="19" fillId="0" borderId="0" xfId="4" applyNumberFormat="1" applyFont="1" applyFill="1" applyBorder="1"/>
    <xf numFmtId="0" fontId="19" fillId="29" borderId="9" xfId="0" applyFont="1" applyFill="1" applyBorder="1" applyAlignment="1">
      <alignment horizontal="center" vertical="top"/>
    </xf>
    <xf numFmtId="164" fontId="19" fillId="29" borderId="9" xfId="0" applyNumberFormat="1" applyFont="1" applyFill="1" applyBorder="1" applyAlignment="1">
      <alignment horizontal="center" vertical="top"/>
    </xf>
    <xf numFmtId="172" fontId="19" fillId="29" borderId="9" xfId="4" applyNumberFormat="1" applyFont="1" applyFill="1" applyBorder="1" applyAlignment="1">
      <alignment horizontal="center" vertical="top"/>
    </xf>
    <xf numFmtId="9" fontId="19" fillId="29" borderId="9" xfId="0" applyNumberFormat="1" applyFont="1" applyFill="1" applyBorder="1" applyAlignment="1">
      <alignment horizontal="center" vertical="top"/>
    </xf>
    <xf numFmtId="164" fontId="19" fillId="29" borderId="9" xfId="0" applyNumberFormat="1" applyFont="1" applyFill="1" applyBorder="1" applyAlignment="1">
      <alignment horizontal="center" vertical="center"/>
    </xf>
    <xf numFmtId="2" fontId="19" fillId="29" borderId="9" xfId="0" applyNumberFormat="1" applyFont="1" applyFill="1" applyBorder="1" applyAlignment="1">
      <alignment horizontal="center" vertical="center"/>
    </xf>
    <xf numFmtId="172" fontId="19" fillId="29" borderId="9" xfId="4" applyNumberFormat="1" applyFont="1" applyFill="1" applyBorder="1" applyAlignment="1">
      <alignment horizontal="center" vertical="center"/>
    </xf>
    <xf numFmtId="9" fontId="19" fillId="29" borderId="9" xfId="4" applyFont="1" applyFill="1" applyBorder="1" applyAlignment="1">
      <alignment horizontal="center" vertical="center"/>
    </xf>
    <xf numFmtId="172" fontId="19" fillId="0" borderId="9" xfId="4" applyNumberFormat="1" applyFont="1" applyFill="1" applyBorder="1" applyAlignment="1">
      <alignment horizontal="center" vertical="top"/>
    </xf>
    <xf numFmtId="0" fontId="19" fillId="29" borderId="9" xfId="0" applyFont="1" applyFill="1" applyBorder="1" applyAlignment="1">
      <alignment horizontal="center" vertical="center" wrapText="1"/>
    </xf>
    <xf numFmtId="2" fontId="19" fillId="29" borderId="9" xfId="0" applyNumberFormat="1" applyFont="1" applyFill="1" applyBorder="1" applyAlignment="1">
      <alignment horizontal="center" vertical="top"/>
    </xf>
    <xf numFmtId="0" fontId="19" fillId="30" borderId="9" xfId="0" applyFont="1" applyFill="1" applyBorder="1" applyAlignment="1">
      <alignment horizontal="center" vertical="center"/>
    </xf>
    <xf numFmtId="164" fontId="19" fillId="30" borderId="9" xfId="0" applyNumberFormat="1" applyFont="1" applyFill="1" applyBorder="1" applyAlignment="1">
      <alignment horizontal="center" vertical="center"/>
    </xf>
    <xf numFmtId="2" fontId="19" fillId="30" borderId="9" xfId="0" applyNumberFormat="1" applyFont="1" applyFill="1" applyBorder="1" applyAlignment="1">
      <alignment horizontal="center" vertical="center"/>
    </xf>
    <xf numFmtId="172" fontId="19" fillId="30" borderId="9" xfId="4" applyNumberFormat="1" applyFont="1" applyFill="1" applyBorder="1" applyAlignment="1">
      <alignment horizontal="center" vertical="center"/>
    </xf>
    <xf numFmtId="9" fontId="19" fillId="30" borderId="9" xfId="4" applyFont="1" applyFill="1" applyBorder="1" applyAlignment="1">
      <alignment horizontal="center" vertical="center"/>
    </xf>
    <xf numFmtId="0" fontId="20" fillId="0" borderId="5" xfId="0" applyFont="1" applyBorder="1" applyAlignment="1">
      <alignment horizontal="left" vertical="top"/>
    </xf>
    <xf numFmtId="2" fontId="19" fillId="0" borderId="0" xfId="0" applyNumberFormat="1" applyFont="1" applyAlignment="1">
      <alignment horizontal="center" vertical="top"/>
    </xf>
    <xf numFmtId="9" fontId="19" fillId="0" borderId="0" xfId="4" applyFont="1" applyFill="1" applyBorder="1" applyAlignment="1">
      <alignment horizontal="left"/>
    </xf>
    <xf numFmtId="0" fontId="20" fillId="0" borderId="0" xfId="0" applyFont="1" applyAlignment="1">
      <alignment vertical="top"/>
    </xf>
    <xf numFmtId="0" fontId="20" fillId="0" borderId="0" xfId="0" applyFont="1" applyAlignment="1">
      <alignment horizontal="left" vertical="top"/>
    </xf>
    <xf numFmtId="167" fontId="0" fillId="0" borderId="9" xfId="0" applyNumberFormat="1" applyBorder="1" applyAlignment="1">
      <alignment horizontal="center" vertical="top"/>
    </xf>
    <xf numFmtId="6" fontId="0" fillId="0" borderId="9" xfId="0" applyNumberFormat="1" applyBorder="1" applyAlignment="1">
      <alignment horizontal="center" vertical="top"/>
    </xf>
    <xf numFmtId="2" fontId="0" fillId="0" borderId="9" xfId="0" applyNumberFormat="1" applyBorder="1" applyAlignment="1">
      <alignment horizontal="center" vertical="top"/>
    </xf>
    <xf numFmtId="6" fontId="0" fillId="0" borderId="9" xfId="0" applyNumberFormat="1" applyBorder="1" applyAlignment="1">
      <alignment horizontal="center"/>
    </xf>
    <xf numFmtId="167" fontId="1" fillId="0" borderId="0" xfId="0" applyNumberFormat="1" applyFont="1" applyAlignment="1">
      <alignment horizontal="center" vertical="top"/>
    </xf>
    <xf numFmtId="167" fontId="1" fillId="19" borderId="9" xfId="0" applyNumberFormat="1" applyFont="1" applyFill="1" applyBorder="1" applyAlignment="1">
      <alignment horizontal="center" vertical="top"/>
    </xf>
    <xf numFmtId="0" fontId="1" fillId="19" borderId="9" xfId="0" applyFont="1" applyFill="1" applyBorder="1" applyAlignment="1">
      <alignment horizontal="center" vertical="top"/>
    </xf>
    <xf numFmtId="2" fontId="1" fillId="19" borderId="9" xfId="0" applyNumberFormat="1" applyFont="1" applyFill="1" applyBorder="1" applyAlignment="1">
      <alignment horizontal="center" vertical="top"/>
    </xf>
    <xf numFmtId="0" fontId="1" fillId="19" borderId="9" xfId="0" applyFont="1" applyFill="1" applyBorder="1" applyAlignment="1">
      <alignment vertical="top" wrapText="1"/>
    </xf>
    <xf numFmtId="167" fontId="0" fillId="0" borderId="0" xfId="0" applyNumberFormat="1" applyAlignment="1">
      <alignment horizontal="center" vertical="top"/>
    </xf>
    <xf numFmtId="0" fontId="0" fillId="0" borderId="13" xfId="0" applyBorder="1" applyAlignment="1">
      <alignment vertical="top"/>
    </xf>
    <xf numFmtId="0" fontId="0" fillId="0" borderId="12" xfId="0" applyBorder="1" applyAlignment="1">
      <alignment vertical="top"/>
    </xf>
    <xf numFmtId="0" fontId="1" fillId="0" borderId="0" xfId="0" applyFont="1" applyAlignment="1">
      <alignment horizontal="center" vertical="center" wrapText="1"/>
    </xf>
    <xf numFmtId="0" fontId="1" fillId="19" borderId="9" xfId="0" applyFont="1" applyFill="1" applyBorder="1" applyAlignment="1">
      <alignment horizontal="center" vertical="center" wrapText="1"/>
    </xf>
    <xf numFmtId="0" fontId="1" fillId="19" borderId="9" xfId="0" applyFont="1" applyFill="1" applyBorder="1" applyAlignment="1">
      <alignment vertical="center" wrapText="1"/>
    </xf>
    <xf numFmtId="167" fontId="2" fillId="25" borderId="1" xfId="9" applyNumberFormat="1" applyFill="1" applyBorder="1" applyAlignment="1">
      <alignment horizontal="center"/>
    </xf>
    <xf numFmtId="167" fontId="2" fillId="13" borderId="17" xfId="9" applyNumberFormat="1" applyBorder="1" applyAlignment="1">
      <alignment horizontal="center"/>
    </xf>
    <xf numFmtId="167" fontId="3" fillId="0" borderId="0" xfId="3" applyNumberFormat="1" applyFont="1" applyFill="1" applyBorder="1" applyAlignment="1">
      <alignment horizontal="center"/>
    </xf>
    <xf numFmtId="167" fontId="31" fillId="25" borderId="1" xfId="9" applyNumberFormat="1" applyFont="1" applyFill="1" applyBorder="1" applyAlignment="1">
      <alignment horizontal="center"/>
    </xf>
    <xf numFmtId="164" fontId="31" fillId="25" borderId="1" xfId="9" applyNumberFormat="1" applyFont="1" applyFill="1" applyBorder="1" applyAlignment="1">
      <alignment horizontal="center"/>
    </xf>
    <xf numFmtId="164" fontId="3" fillId="2" borderId="32" xfId="3" applyNumberFormat="1" applyFont="1" applyFill="1" applyBorder="1" applyAlignment="1">
      <alignment horizontal="center"/>
    </xf>
    <xf numFmtId="167" fontId="3" fillId="2" borderId="33" xfId="3" applyNumberFormat="1" applyFont="1" applyFill="1" applyBorder="1" applyAlignment="1">
      <alignment horizontal="center"/>
    </xf>
    <xf numFmtId="164" fontId="3" fillId="31" borderId="34" xfId="0" applyNumberFormat="1" applyFont="1" applyFill="1" applyBorder="1" applyAlignment="1">
      <alignment horizontal="center"/>
    </xf>
    <xf numFmtId="167" fontId="3" fillId="0" borderId="0" xfId="0" applyNumberFormat="1" applyFont="1" applyAlignment="1">
      <alignment horizontal="center"/>
    </xf>
    <xf numFmtId="167" fontId="3" fillId="31" borderId="35" xfId="0" applyNumberFormat="1" applyFont="1" applyFill="1" applyBorder="1" applyAlignment="1">
      <alignment horizontal="center"/>
    </xf>
    <xf numFmtId="0" fontId="19" fillId="0" borderId="0" xfId="0" applyFont="1" applyAlignment="1">
      <alignment horizontal="left"/>
    </xf>
    <xf numFmtId="0" fontId="20" fillId="0" borderId="0" xfId="0" applyFont="1" applyAlignment="1">
      <alignment horizontal="left" vertical="top" wrapText="1"/>
    </xf>
    <xf numFmtId="172" fontId="19" fillId="0" borderId="0" xfId="4" applyNumberFormat="1" applyFont="1"/>
    <xf numFmtId="2" fontId="19" fillId="0" borderId="0" xfId="0" applyNumberFormat="1" applyFont="1" applyAlignment="1">
      <alignment wrapText="1"/>
    </xf>
    <xf numFmtId="0" fontId="5" fillId="19" borderId="0" xfId="6" applyFill="1" applyAlignment="1">
      <alignment horizontal="center"/>
    </xf>
    <xf numFmtId="164" fontId="3" fillId="2" borderId="1" xfId="1" applyNumberFormat="1" applyFont="1" applyFill="1" applyBorder="1" applyAlignment="1">
      <alignment horizontal="center" vertical="top"/>
    </xf>
    <xf numFmtId="164" fontId="2" fillId="15" borderId="37" xfId="11" applyNumberFormat="1" applyBorder="1" applyAlignment="1">
      <alignment horizontal="center"/>
    </xf>
    <xf numFmtId="164" fontId="0" fillId="0" borderId="36" xfId="0" applyNumberFormat="1" applyBorder="1" applyAlignment="1">
      <alignment horizontal="left"/>
    </xf>
    <xf numFmtId="0" fontId="0" fillId="7" borderId="0" xfId="0" applyFill="1" applyAlignment="1">
      <alignment horizontal="left" vertical="top" wrapText="1"/>
    </xf>
    <xf numFmtId="0" fontId="0" fillId="7" borderId="0" xfId="0" applyFill="1" applyAlignment="1">
      <alignment horizontal="left" vertical="top"/>
    </xf>
    <xf numFmtId="0" fontId="0" fillId="7" borderId="6" xfId="0" applyFill="1" applyBorder="1" applyAlignment="1">
      <alignment horizontal="left" vertical="top"/>
    </xf>
    <xf numFmtId="0" fontId="1" fillId="27" borderId="5" xfId="0" applyFont="1" applyFill="1" applyBorder="1" applyAlignment="1">
      <alignment horizontal="left" vertical="top" wrapText="1"/>
    </xf>
    <xf numFmtId="0" fontId="1" fillId="27" borderId="0" xfId="0" applyFont="1" applyFill="1" applyAlignment="1">
      <alignment horizontal="left" vertical="top" wrapText="1"/>
    </xf>
    <xf numFmtId="0" fontId="1" fillId="27" borderId="6" xfId="0" applyFont="1" applyFill="1" applyBorder="1" applyAlignment="1">
      <alignment horizontal="left" vertical="top" wrapText="1"/>
    </xf>
    <xf numFmtId="0" fontId="8" fillId="26" borderId="0" xfId="0" applyFont="1" applyFill="1" applyAlignment="1">
      <alignment horizontal="center"/>
    </xf>
    <xf numFmtId="0" fontId="0" fillId="19" borderId="2" xfId="0" applyFill="1" applyBorder="1" applyAlignment="1">
      <alignment horizontal="left" vertical="top" wrapText="1"/>
    </xf>
    <xf numFmtId="0" fontId="0" fillId="19" borderId="3" xfId="0" applyFill="1" applyBorder="1" applyAlignment="1">
      <alignment horizontal="left" vertical="top" wrapText="1"/>
    </xf>
    <xf numFmtId="0" fontId="0" fillId="19" borderId="4" xfId="0" applyFill="1" applyBorder="1" applyAlignment="1">
      <alignment horizontal="left" vertical="top" wrapText="1"/>
    </xf>
    <xf numFmtId="0" fontId="0" fillId="0" borderId="0" xfId="0" applyAlignment="1">
      <alignment horizontal="left" vertical="top" wrapText="1"/>
    </xf>
    <xf numFmtId="0" fontId="0" fillId="19" borderId="5" xfId="0" applyFill="1" applyBorder="1" applyAlignment="1">
      <alignment horizontal="left" vertical="top" wrapText="1"/>
    </xf>
    <xf numFmtId="0" fontId="0" fillId="19" borderId="0" xfId="0" applyFill="1" applyAlignment="1">
      <alignment horizontal="left" vertical="top" wrapText="1"/>
    </xf>
    <xf numFmtId="0" fontId="0" fillId="19" borderId="6"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6" xfId="0" applyFill="1" applyBorder="1" applyAlignment="1">
      <alignment horizontal="left" vertical="top" wrapText="1"/>
    </xf>
    <xf numFmtId="0" fontId="0" fillId="7" borderId="16"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1" fillId="27" borderId="2" xfId="0" applyFont="1" applyFill="1" applyBorder="1" applyAlignment="1">
      <alignment horizontal="left" vertical="top" wrapText="1"/>
    </xf>
    <xf numFmtId="0" fontId="1" fillId="27" borderId="3" xfId="0" applyFont="1" applyFill="1" applyBorder="1" applyAlignment="1">
      <alignment horizontal="left" vertical="top" wrapText="1"/>
    </xf>
    <xf numFmtId="0" fontId="1" fillId="27" borderId="4" xfId="0" applyFont="1"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1" fillId="21" borderId="2" xfId="0" applyFont="1" applyFill="1" applyBorder="1" applyAlignment="1">
      <alignment horizontal="left" vertical="top" wrapText="1"/>
    </xf>
    <xf numFmtId="0" fontId="1" fillId="21" borderId="3" xfId="0" applyFont="1" applyFill="1" applyBorder="1" applyAlignment="1">
      <alignment horizontal="left" vertical="top" wrapText="1"/>
    </xf>
    <xf numFmtId="0" fontId="1" fillId="21" borderId="4" xfId="0" applyFont="1" applyFill="1" applyBorder="1" applyAlignment="1">
      <alignment horizontal="left" vertical="top" wrapText="1"/>
    </xf>
    <xf numFmtId="0" fontId="1" fillId="21" borderId="0" xfId="0" applyFont="1" applyFill="1" applyAlignment="1">
      <alignment horizontal="left" vertical="top" wrapText="1"/>
    </xf>
    <xf numFmtId="0" fontId="1" fillId="21" borderId="6" xfId="0" applyFont="1" applyFill="1" applyBorder="1" applyAlignment="1">
      <alignment horizontal="left" vertical="top" wrapText="1"/>
    </xf>
    <xf numFmtId="0" fontId="0" fillId="27" borderId="0" xfId="0" applyFill="1" applyAlignment="1">
      <alignment vertical="top" wrapText="1"/>
    </xf>
    <xf numFmtId="0" fontId="0" fillId="27" borderId="6" xfId="0" applyFill="1" applyBorder="1" applyAlignment="1">
      <alignment vertical="top" wrapText="1"/>
    </xf>
    <xf numFmtId="0" fontId="0" fillId="27" borderId="0" xfId="0" applyFill="1" applyAlignment="1">
      <alignment horizontal="left" vertical="top" wrapText="1"/>
    </xf>
    <xf numFmtId="0" fontId="0" fillId="27" borderId="6" xfId="0" applyFill="1" applyBorder="1" applyAlignment="1">
      <alignment horizontal="left" vertical="top" wrapText="1"/>
    </xf>
    <xf numFmtId="171" fontId="1" fillId="27" borderId="5" xfId="0" applyNumberFormat="1" applyFont="1" applyFill="1" applyBorder="1" applyAlignment="1">
      <alignment horizontal="left" vertical="top" wrapText="1"/>
    </xf>
    <xf numFmtId="171" fontId="1" fillId="27" borderId="0" xfId="0" applyNumberFormat="1" applyFont="1" applyFill="1" applyAlignment="1">
      <alignment horizontal="left" vertical="top" wrapText="1"/>
    </xf>
    <xf numFmtId="171" fontId="1" fillId="27" borderId="6" xfId="0" applyNumberFormat="1" applyFont="1" applyFill="1" applyBorder="1" applyAlignment="1">
      <alignment horizontal="left" vertical="top" wrapText="1"/>
    </xf>
    <xf numFmtId="0" fontId="1" fillId="21" borderId="16" xfId="0" applyFont="1" applyFill="1" applyBorder="1" applyAlignment="1">
      <alignment horizontal="left" vertical="top" wrapText="1"/>
    </xf>
    <xf numFmtId="0" fontId="1" fillId="21" borderId="7" xfId="0" applyFont="1" applyFill="1" applyBorder="1" applyAlignment="1">
      <alignment horizontal="lef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0" fillId="0" borderId="0" xfId="0" applyAlignment="1">
      <alignment horizontal="left" wrapText="1"/>
    </xf>
    <xf numFmtId="0" fontId="0" fillId="27" borderId="7" xfId="0" applyFill="1" applyBorder="1" applyAlignment="1">
      <alignment horizontal="left" vertical="top" wrapText="1"/>
    </xf>
    <xf numFmtId="0" fontId="0" fillId="27" borderId="8" xfId="0" applyFill="1" applyBorder="1" applyAlignment="1">
      <alignment horizontal="left" vertical="top" wrapText="1"/>
    </xf>
    <xf numFmtId="0" fontId="5" fillId="21" borderId="2" xfId="6" applyFill="1" applyBorder="1" applyAlignment="1">
      <alignment horizontal="left"/>
    </xf>
    <xf numFmtId="0" fontId="5" fillId="21" borderId="3" xfId="6" applyFill="1" applyBorder="1" applyAlignment="1">
      <alignment horizontal="left"/>
    </xf>
    <xf numFmtId="0" fontId="5" fillId="21" borderId="4" xfId="6" applyFill="1" applyBorder="1" applyAlignment="1">
      <alignment horizontal="left"/>
    </xf>
    <xf numFmtId="0" fontId="24" fillId="0" borderId="0" xfId="0" applyFont="1" applyAlignment="1">
      <alignment horizontal="center"/>
    </xf>
    <xf numFmtId="0" fontId="7" fillId="4" borderId="11" xfId="5" applyFont="1" applyBorder="1" applyAlignment="1">
      <alignment horizontal="center"/>
    </xf>
    <xf numFmtId="0" fontId="7" fillId="4" borderId="12" xfId="5" applyFont="1" applyBorder="1" applyAlignment="1">
      <alignment horizontal="center"/>
    </xf>
    <xf numFmtId="0" fontId="7"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9"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8" fillId="19" borderId="11" xfId="0" applyFont="1" applyFill="1" applyBorder="1" applyAlignment="1">
      <alignment horizontal="center" vertical="center" wrapText="1"/>
    </xf>
    <xf numFmtId="0" fontId="18" fillId="19" borderId="12" xfId="0" applyFont="1" applyFill="1" applyBorder="1" applyAlignment="1">
      <alignment horizontal="center" vertical="center" wrapText="1"/>
    </xf>
    <xf numFmtId="0" fontId="18" fillId="19" borderId="13" xfId="0" applyFont="1" applyFill="1" applyBorder="1" applyAlignment="1">
      <alignment horizontal="center" vertical="center" wrapText="1"/>
    </xf>
    <xf numFmtId="0" fontId="18" fillId="19" borderId="9" xfId="0" applyFont="1" applyFill="1" applyBorder="1" applyAlignment="1">
      <alignment horizontal="center"/>
    </xf>
    <xf numFmtId="0" fontId="19" fillId="0" borderId="11" xfId="0" applyFont="1" applyBorder="1" applyAlignment="1">
      <alignment horizontal="center"/>
    </xf>
    <xf numFmtId="0" fontId="19" fillId="0" borderId="12" xfId="0" applyFont="1" applyBorder="1" applyAlignment="1">
      <alignment horizontal="center"/>
    </xf>
    <xf numFmtId="0" fontId="19" fillId="0" borderId="13" xfId="0" applyFont="1" applyBorder="1" applyAlignment="1">
      <alignment horizontal="center"/>
    </xf>
    <xf numFmtId="0" fontId="18" fillId="21" borderId="9" xfId="0" applyFont="1" applyFill="1" applyBorder="1" applyAlignment="1">
      <alignment horizontal="center"/>
    </xf>
    <xf numFmtId="0" fontId="18" fillId="21" borderId="11" xfId="0" applyFont="1" applyFill="1" applyBorder="1" applyAlignment="1">
      <alignment horizontal="center" vertical="center"/>
    </xf>
    <xf numFmtId="0" fontId="18" fillId="21" borderId="12" xfId="0" applyFont="1" applyFill="1" applyBorder="1" applyAlignment="1">
      <alignment horizontal="center" vertical="center"/>
    </xf>
    <xf numFmtId="0" fontId="18" fillId="21" borderId="13" xfId="0" applyFont="1" applyFill="1" applyBorder="1" applyAlignment="1">
      <alignment horizontal="center" vertical="center"/>
    </xf>
    <xf numFmtId="0" fontId="18" fillId="5" borderId="19" xfId="0" applyFont="1" applyFill="1" applyBorder="1" applyAlignment="1">
      <alignment horizontal="center" vertical="center"/>
    </xf>
    <xf numFmtId="0" fontId="18" fillId="5" borderId="20" xfId="0" applyFont="1" applyFill="1" applyBorder="1" applyAlignment="1">
      <alignment horizontal="center" vertical="center"/>
    </xf>
    <xf numFmtId="0" fontId="18" fillId="5" borderId="19" xfId="0" applyFont="1" applyFill="1" applyBorder="1" applyAlignment="1">
      <alignment horizontal="center" vertical="center" wrapText="1"/>
    </xf>
    <xf numFmtId="0" fontId="18" fillId="19" borderId="11" xfId="0" applyFont="1" applyFill="1" applyBorder="1" applyAlignment="1">
      <alignment horizontal="center" vertical="center"/>
    </xf>
    <xf numFmtId="0" fontId="18" fillId="19" borderId="12" xfId="0" applyFont="1" applyFill="1" applyBorder="1" applyAlignment="1">
      <alignment horizontal="center" vertical="center"/>
    </xf>
    <xf numFmtId="0" fontId="18" fillId="19" borderId="13" xfId="0" applyFont="1" applyFill="1" applyBorder="1" applyAlignment="1">
      <alignment horizontal="center" vertical="center"/>
    </xf>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xf>
    <xf numFmtId="0" fontId="18" fillId="7" borderId="13" xfId="0" applyFont="1" applyFill="1" applyBorder="1" applyAlignment="1">
      <alignment horizontal="center" vertical="center"/>
    </xf>
    <xf numFmtId="0" fontId="18" fillId="5" borderId="20" xfId="0" applyFont="1" applyFill="1" applyBorder="1" applyAlignment="1">
      <alignment horizontal="center" vertical="center" wrapText="1"/>
    </xf>
    <xf numFmtId="0" fontId="8" fillId="0" borderId="0" xfId="0" applyFont="1" applyAlignment="1">
      <alignment horizontal="center"/>
    </xf>
    <xf numFmtId="0" fontId="4" fillId="4" borderId="9" xfId="5" applyBorder="1" applyAlignment="1">
      <alignment horizontal="left"/>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7"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xf numFmtId="0" fontId="29" fillId="0" borderId="0" xfId="0" applyFont="1" applyAlignment="1">
      <alignment horizontal="left" wrapText="1"/>
    </xf>
    <xf numFmtId="0" fontId="29" fillId="0" borderId="0" xfId="0" applyFont="1" applyAlignment="1">
      <alignment horizontal="left"/>
    </xf>
  </cellXfs>
  <cellStyles count="14">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Normal" xfId="0" builtinId="0"/>
    <cellStyle name="Percent" xfId="4" builtinId="5"/>
  </cellStyles>
  <dxfs count="56">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BAE83"/>
      <color rgb="FFFAA599"/>
      <color rgb="FFFE976D"/>
      <color rgb="FFFDA579"/>
      <color rgb="FFF9B9B5"/>
      <color rgb="FFFB9A99"/>
      <color rgb="FFFC8F91"/>
      <color rgb="FFF08D87"/>
      <color rgb="FFFF948E"/>
      <color rgb="FFFFB0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SplitInflowForPlot!$A$45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SplitInflowForPlot!$C$45:$L$45</c15:sqref>
                  </c15:fullRef>
                </c:ext>
              </c:extLst>
              <c:f>(SplitInflowForPlot!$C$45:$D$45,SplitInflowForPlot!$F$45:$L$45)</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5F8-479A-9BB1-FC2B5DB3EE23}"/>
            </c:ext>
          </c:extLst>
        </c:ser>
        <c:ser>
          <c:idx val="6"/>
          <c:order val="1"/>
          <c:tx>
            <c:strRef>
              <c:f>SplitInflowForPlot!$A$46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SplitInflowForPlot!$C$46:$L$46</c15:sqref>
                  </c15:fullRef>
                </c:ext>
              </c:extLst>
              <c:f>(SplitInflowForPlot!$C$46:$D$46,SplitInflowForPlot!$F$46:$L$46)</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20E1-4D64-A6CF-38348431E39C}"/>
            </c:ext>
          </c:extLst>
        </c:ser>
        <c:ser>
          <c:idx val="4"/>
          <c:order val="2"/>
          <c:tx>
            <c:strRef>
              <c:f>SplitInflowForPlot!$A$44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SplitInflowForPlot!$C$44:$L$44</c15:sqref>
                  </c15:fullRef>
                </c:ext>
              </c:extLst>
              <c:f>(SplitInflowForPlot!$C$44:$D$44,SplitInflowForPlot!$F$44:$L$44)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5F8-479A-9BB1-FC2B5DB3EE23}"/>
            </c:ext>
          </c:extLst>
        </c:ser>
        <c:ser>
          <c:idx val="3"/>
          <c:order val="3"/>
          <c:tx>
            <c:strRef>
              <c:f>SplitInflowForPlot!$A$43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SplitInflowForPlot!$C$43:$L$43</c15:sqref>
                  </c15:fullRef>
                </c:ext>
              </c:extLst>
              <c:f>(SplitInflowForPlot!$C$43:$D$43,SplitInflowForPlot!$F$43:$L$43)</c:f>
              <c:numCache>
                <c:formatCode>0.000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55F8-479A-9BB1-FC2B5DB3EE23}"/>
            </c:ext>
          </c:extLst>
        </c:ser>
        <c:ser>
          <c:idx val="2"/>
          <c:order val="4"/>
          <c:tx>
            <c:strRef>
              <c:f>SplitInflowForPlot!$A$42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SplitInflowForPlot!$C$42:$L$42</c15:sqref>
                  </c15:fullRef>
                </c:ext>
              </c:extLst>
              <c:f>(SplitInflowForPlot!$C$42:$D$42,SplitInflowForPlot!$F$42:$L$42)</c:f>
              <c:numCache>
                <c:formatCode>0.00</c:formatCode>
                <c:ptCount val="9"/>
                <c:pt idx="0">
                  <c:v>0</c:v>
                </c:pt>
                <c:pt idx="1">
                  <c:v>0</c:v>
                </c:pt>
                <c:pt idx="2">
                  <c:v>0</c:v>
                </c:pt>
                <c:pt idx="3">
                  <c:v>0</c:v>
                </c:pt>
                <c:pt idx="4">
                  <c:v>0</c:v>
                </c:pt>
                <c:pt idx="5" formatCode="0.0">
                  <c:v>0</c:v>
                </c:pt>
                <c:pt idx="6" formatCode="0.0">
                  <c:v>0</c:v>
                </c:pt>
                <c:pt idx="7" formatCode="0.0">
                  <c:v>0</c:v>
                </c:pt>
                <c:pt idx="8" formatCode="0.0">
                  <c:v>0</c:v>
                </c:pt>
              </c:numCache>
            </c:numRef>
          </c:val>
          <c:extLst>
            <c:ext xmlns:c16="http://schemas.microsoft.com/office/drawing/2014/chart" uri="{C3380CC4-5D6E-409C-BE32-E72D297353CC}">
              <c16:uniqueId val="{00000002-55F8-479A-9BB1-FC2B5DB3EE23}"/>
            </c:ext>
          </c:extLst>
        </c:ser>
        <c:ser>
          <c:idx val="1"/>
          <c:order val="5"/>
          <c:tx>
            <c:strRef>
              <c:f>SplitInflowForPlot!$A$41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SplitInflowForPlot!$C$41:$L$41</c15:sqref>
                  </c15:fullRef>
                </c:ext>
              </c:extLst>
              <c:f>(SplitInflowForPlot!$C$41:$D$41,SplitInflowForPlot!$F$41:$L$41)</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55F8-479A-9BB1-FC2B5DB3EE23}"/>
            </c:ext>
          </c:extLst>
        </c:ser>
        <c:ser>
          <c:idx val="0"/>
          <c:order val="6"/>
          <c:tx>
            <c:strRef>
              <c:f>SplitInflowForPlot!$A$40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SplitInflowForPlot!$C$40:$L$40</c15:sqref>
                  </c15:fullRef>
                </c:ext>
              </c:extLst>
              <c:f>(SplitInflowForPlot!$C$40:$D$40,SplitInflowForPlot!$F$40:$L$40)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11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321469</xdr:colOff>
      <xdr:row>13</xdr:row>
      <xdr:rowOff>11906</xdr:rowOff>
    </xdr:from>
    <xdr:to>
      <xdr:col>9</xdr:col>
      <xdr:colOff>406644</xdr:colOff>
      <xdr:row>14</xdr:row>
      <xdr:rowOff>22141</xdr:rowOff>
    </xdr:to>
    <xdr:pic>
      <xdr:nvPicPr>
        <xdr:cNvPr id="16" name="Picture 15">
          <a:extLst>
            <a:ext uri="{FF2B5EF4-FFF2-40B4-BE49-F238E27FC236}">
              <a16:creationId xmlns:a16="http://schemas.microsoft.com/office/drawing/2014/main" id="{D4E4771B-F3CD-1D28-8876-667B9E51458D}"/>
            </a:ext>
          </a:extLst>
        </xdr:cNvPr>
        <xdr:cNvPicPr>
          <a:picLocks noChangeAspect="1"/>
        </xdr:cNvPicPr>
      </xdr:nvPicPr>
      <xdr:blipFill>
        <a:blip xmlns:r="http://schemas.openxmlformats.org/officeDocument/2006/relationships" r:embed="rId1"/>
        <a:stretch>
          <a:fillRect/>
        </a:stretch>
      </xdr:blipFill>
      <xdr:spPr>
        <a:xfrm>
          <a:off x="571500" y="2988469"/>
          <a:ext cx="5791047" cy="1165141"/>
        </a:xfrm>
        <a:prstGeom prst="rect">
          <a:avLst/>
        </a:prstGeom>
      </xdr:spPr>
    </xdr:pic>
    <xdr:clientData/>
  </xdr:twoCellAnchor>
  <xdr:twoCellAnchor editAs="oneCell">
    <xdr:from>
      <xdr:col>1</xdr:col>
      <xdr:colOff>428625</xdr:colOff>
      <xdr:row>11</xdr:row>
      <xdr:rowOff>46832</xdr:rowOff>
    </xdr:from>
    <xdr:to>
      <xdr:col>4</xdr:col>
      <xdr:colOff>121840</xdr:colOff>
      <xdr:row>11</xdr:row>
      <xdr:rowOff>1983971</xdr:rowOff>
    </xdr:to>
    <xdr:pic>
      <xdr:nvPicPr>
        <xdr:cNvPr id="2" name="Picture 1">
          <a:extLst>
            <a:ext uri="{FF2B5EF4-FFF2-40B4-BE49-F238E27FC236}">
              <a16:creationId xmlns:a16="http://schemas.microsoft.com/office/drawing/2014/main" id="{C0AA5991-F5F4-C122-D4F5-6224E459D14D}"/>
            </a:ext>
          </a:extLst>
        </xdr:cNvPr>
        <xdr:cNvPicPr>
          <a:picLocks noChangeAspect="1"/>
        </xdr:cNvPicPr>
      </xdr:nvPicPr>
      <xdr:blipFill>
        <a:blip xmlns:r="http://schemas.openxmlformats.org/officeDocument/2006/relationships" r:embed="rId2"/>
        <a:stretch>
          <a:fillRect/>
        </a:stretch>
      </xdr:blipFill>
      <xdr:spPr>
        <a:xfrm>
          <a:off x="678656" y="2844801"/>
          <a:ext cx="2821781" cy="1937139"/>
        </a:xfrm>
        <a:prstGeom prst="rect">
          <a:avLst/>
        </a:prstGeom>
        <a:ln>
          <a:solidFill>
            <a:sysClr val="windowText" lastClr="000000"/>
          </a:solidFill>
        </a:ln>
      </xdr:spPr>
    </xdr:pic>
    <xdr:clientData/>
  </xdr:twoCellAnchor>
  <xdr:twoCellAnchor editAs="oneCell">
    <xdr:from>
      <xdr:col>1</xdr:col>
      <xdr:colOff>1336343</xdr:colOff>
      <xdr:row>14</xdr:row>
      <xdr:rowOff>261635</xdr:rowOff>
    </xdr:from>
    <xdr:to>
      <xdr:col>6</xdr:col>
      <xdr:colOff>483358</xdr:colOff>
      <xdr:row>15</xdr:row>
      <xdr:rowOff>3301237</xdr:rowOff>
    </xdr:to>
    <xdr:pic>
      <xdr:nvPicPr>
        <xdr:cNvPr id="8" name="Picture 7">
          <a:extLst>
            <a:ext uri="{FF2B5EF4-FFF2-40B4-BE49-F238E27FC236}">
              <a16:creationId xmlns:a16="http://schemas.microsoft.com/office/drawing/2014/main" id="{50FE1A22-24E2-B501-EB63-C9AD4F716CF6}"/>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2121" r="6132"/>
        <a:stretch/>
      </xdr:blipFill>
      <xdr:spPr>
        <a:xfrm>
          <a:off x="1601716" y="6412605"/>
          <a:ext cx="3686791" cy="3409229"/>
        </a:xfrm>
        <a:prstGeom prst="rect">
          <a:avLst/>
        </a:prstGeom>
        <a:ln>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65221" cy="6271327"/>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A02369941@aggies.usu.edu" TargetMode="External"/><Relationship Id="rId3" Type="http://schemas.openxmlformats.org/officeDocument/2006/relationships/hyperlink" Target="https://github.com/dzeke/ColoradoRiverCollaborate/tree/main/LakeMeadWaterBankDivideInflow" TargetMode="External"/><Relationship Id="rId7" Type="http://schemas.openxmlformats.org/officeDocument/2006/relationships/hyperlink" Target="https://github.com/dzeke/ColoradoRiverCollaborate/blob/main/LakeMeadWaterBankDivideInflow/ImmersiveModelLakeMeadDivideInflow-LetsStart.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mailto:eporse@ucanr.edu" TargetMode="External"/><Relationship Id="rId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ImmersiveModelLakeMeadDivideInflow-LetsStart.pdf" TargetMode="Externa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llaborate/blob/main/LakeMeadWaterBankDivideInflow/ModelGuide/ModelGuide-LakeMeadWaterBank.md" TargetMode="External"/><Relationship Id="rId21" Type="http://schemas.openxmlformats.org/officeDocument/2006/relationships/hyperlink" Target="https://github.com/dzeke/ColoradoRiverCollaborate/blob/main/LakeMeadWaterBankDivideInflow/ModelGuide/ModelGuide-LakeMeadWaterBank.md" TargetMode="External"/><Relationship Id="rId42" Type="http://schemas.openxmlformats.org/officeDocument/2006/relationships/hyperlink" Target="https://github.com/dzeke/ColoradoRiverCollaborate/blob/main/LakeMeadWaterBankDivideInflow/ModelGuide/ModelGuide-LakeMeadWaterBank.md" TargetMode="External"/><Relationship Id="rId47" Type="http://schemas.openxmlformats.org/officeDocument/2006/relationships/hyperlink" Target="https://github.com/dzeke/ColoradoRiverCollaborate/blob/main/LakeMeadWaterBankDivideInflow/ModelGuide/ModelGuide-LakeMeadWaterBank.md" TargetMode="External"/><Relationship Id="rId63" Type="http://schemas.openxmlformats.org/officeDocument/2006/relationships/hyperlink" Target="https://github.com/dzeke/ColoradoRiverCollaborate/blob/main/LakeMeadWaterBankDivideInflow/ModelGuide/ModelGuide-LakeMeadWaterBank.md" TargetMode="External"/><Relationship Id="rId68" Type="http://schemas.openxmlformats.org/officeDocument/2006/relationships/hyperlink" Target="https://github.com/dzeke/ColoradoRiverCollaborate/blob/main/LakeMeadWaterBankDivideInflow/ModelGuide/ModelGuide-LakeMeadWaterBank.md" TargetMode="External"/><Relationship Id="rId7" Type="http://schemas.openxmlformats.org/officeDocument/2006/relationships/hyperlink" Target="https://github.com/dzeke/ColoradoRiverCollaborate/blob/main/LakeMeadWaterBankDivideInflow/ModelGuide/ModelGuide-LakeMeadWaterBank.md" TargetMode="External"/><Relationship Id="rId71" Type="http://schemas.openxmlformats.org/officeDocument/2006/relationships/hyperlink" Target="https://github.com/dzeke/ColoradoRiverCollaborate/blob/main/LakeMeadWaterBankDivideInflow/ModelGuide/ModelGuide-LakeMeadWaterBank.md" TargetMode="External"/><Relationship Id="rId2" Type="http://schemas.openxmlformats.org/officeDocument/2006/relationships/hyperlink" Target="https://github.com/dzeke/ColoradoRiverCollaborate/blob/main/LakeMeadWaterBankDivideInflow/ModelGuide/ModelGuide-LakeMeadWaterBank.md" TargetMode="External"/><Relationship Id="rId16" Type="http://schemas.openxmlformats.org/officeDocument/2006/relationships/hyperlink" Target="https://github.com/dzeke/ColoradoRiverCollaborate/blob/main/LakeMeadWaterBankDivideInflow/ModelGuide/ModelGuide-LakeMeadWaterBank.md" TargetMode="External"/><Relationship Id="rId29" Type="http://schemas.openxmlformats.org/officeDocument/2006/relationships/hyperlink" Target="https://www.usbr.gov/lc/region/g4000/hourly/mead-elv.html"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llaborate/blob/main/LakeMeadWaterBankDivideInflow/ModelGuide/ModelGuide-LakeMeadWaterBank.md" TargetMode="External"/><Relationship Id="rId32" Type="http://schemas.openxmlformats.org/officeDocument/2006/relationships/hyperlink" Target="https://github.com/dzeke/ColoradoRiverCollaborate/blob/main/LakeMeadWaterBankDivideInflow/ModelGuide/ModelGuide-LakeMeadWaterBank.md" TargetMode="External"/><Relationship Id="rId37" Type="http://schemas.openxmlformats.org/officeDocument/2006/relationships/hyperlink" Target="https://github.com/dzeke/ColoradoRiverCollaborate/blob/main/LakeMeadWaterBankDivideInflow/ModelGuide/ModelGuide-LakeMeadWaterBank.md" TargetMode="External"/><Relationship Id="rId40" Type="http://schemas.openxmlformats.org/officeDocument/2006/relationships/hyperlink" Target="https://github.com/dzeke/ColoradoRiverCollaborate/blob/main/LakeMeadWaterBankDivideInflow/ModelGuide/ModelGuide-LakeMeadWaterBank.md" TargetMode="External"/><Relationship Id="rId45" Type="http://schemas.openxmlformats.org/officeDocument/2006/relationships/hyperlink" Target="https://github.com/dzeke/ColoradoRiverCollaborate/blob/main/LakeMeadWaterBankDivideInflow/ModelGuide/ModelGuide-LakeMeadWaterBank.md" TargetMode="External"/><Relationship Id="rId53" Type="http://schemas.openxmlformats.org/officeDocument/2006/relationships/hyperlink" Target="https://github.com/dzeke/ColoradoRiverCollaborate/blob/main/LakeMeadWaterBankDivideInflow/ModelGuide/ModelGuide-LakeMeadWaterBank.md" TargetMode="External"/><Relationship Id="rId58" Type="http://schemas.openxmlformats.org/officeDocument/2006/relationships/hyperlink" Target="https://github.com/dzeke/ColoradoRiverCollaborate/blob/main/LakeMeadWaterBankDivideInflow/ModelGuide/ModelGuide-LakeMeadWaterBank.md" TargetMode="External"/><Relationship Id="rId66" Type="http://schemas.openxmlformats.org/officeDocument/2006/relationships/hyperlink" Target="https://github.com/dzeke/ColoradoRiverCollaborate/blob/main/LakeMeadWaterBankDivideInflow/ModelGuide/ModelGuide-LakeMeadWaterBank.md" TargetMode="External"/><Relationship Id="rId5" Type="http://schemas.openxmlformats.org/officeDocument/2006/relationships/hyperlink" Target="https://github.com/dzeke/ColoradoRiverCollaborate/blob/main/LakeMeadWaterBankDivideInflow/ModelGuide/ModelGuide-LakeMeadWaterBank.md" TargetMode="External"/><Relationship Id="rId61" Type="http://schemas.openxmlformats.org/officeDocument/2006/relationships/hyperlink" Target="https://github.com/dzeke/ColoradoRiverCollaborate/blob/main/LakeMeadWaterBankDivideInflow/ModelGuide/ModelGuide-LakeMeadWaterBank.md" TargetMode="External"/><Relationship Id="rId19" Type="http://schemas.openxmlformats.org/officeDocument/2006/relationships/hyperlink" Target="https://github.com/dzeke/ColoradoRiverCollaborate/blob/main/LakeMeadWaterBankDivideInflow/ModelGuide/ModelGuide-LakeMeadWaterBank.md" TargetMode="External"/><Relationship Id="rId14" Type="http://schemas.openxmlformats.org/officeDocument/2006/relationships/hyperlink" Target="https://github.com/dzeke/ColoradoRiverCollaborate/blob/main/LakeMeadWaterBankDivideInflow/ModelGuide/ModelGuide-LakeMeadWaterBank.md" TargetMode="External"/><Relationship Id="rId22" Type="http://schemas.openxmlformats.org/officeDocument/2006/relationships/hyperlink" Target="https://github.com/dzeke/ColoradoRiverCollaborate/blob/main/LakeMeadWaterBankDivideInflow/ModelGuide/ModelGuide-LakeMeadWaterBank.md" TargetMode="External"/><Relationship Id="rId27" Type="http://schemas.openxmlformats.org/officeDocument/2006/relationships/hyperlink" Target="https://github.com/dzeke/ColoradoRiverCollaborate/blob/main/LakeMeadWaterBankDivideInflow/ModelGuide/ModelGuide-LakeMeadWaterBank.md" TargetMode="External"/><Relationship Id="rId30" Type="http://schemas.openxmlformats.org/officeDocument/2006/relationships/hyperlink" Target="https://github.com/dzeke/ColoradoRiverCollaborate/blob/main/LakeMeadWaterBankDivideInflow/ModelGuide/ModelGuide-LakeMeadWaterBank.md" TargetMode="External"/><Relationship Id="rId35" Type="http://schemas.openxmlformats.org/officeDocument/2006/relationships/hyperlink" Target="https://github.com/dzeke/ColoradoRiverCollaborate/blob/main/LakeMeadWaterBankDivideInflow/ModelGuide/ModelGuide-LakeMeadWaterBank.md" TargetMode="External"/><Relationship Id="rId43" Type="http://schemas.openxmlformats.org/officeDocument/2006/relationships/hyperlink" Target="https://github.com/dzeke/ColoradoRiverCollaborate/blob/main/LakeMeadWaterBankDivideInflow/ModelGuide/ModelGuide-LakeMeadWaterBank.md" TargetMode="External"/><Relationship Id="rId48" Type="http://schemas.openxmlformats.org/officeDocument/2006/relationships/hyperlink" Target="https://github.com/dzeke/ColoradoRiverCollaborate/blob/main/LakeMeadWaterBankDivideInflow/ModelGuide/ModelGuide-LakeMeadWaterBank.md" TargetMode="External"/><Relationship Id="rId56" Type="http://schemas.openxmlformats.org/officeDocument/2006/relationships/hyperlink" Target="https://github.com/dzeke/ColoradoRiverCollaborate/blob/main/LakeMeadWaterBankDivideInflow/ModelGuide/ModelGuide-LakeMeadWaterBank.md" TargetMode="External"/><Relationship Id="rId64" Type="http://schemas.openxmlformats.org/officeDocument/2006/relationships/hyperlink" Target="https://github.com/dzeke/ColoradoRiverCollaborate/blob/main/LakeMeadWaterBankDivideInflow/ModelGuide/ModelGuide-LakeMeadWaterBank.md" TargetMode="External"/><Relationship Id="rId69" Type="http://schemas.openxmlformats.org/officeDocument/2006/relationships/hyperlink" Target="https://github.com/dzeke/ColoradoRiverCollaborate/blob/main/LakeMeadWaterBankDivideInflow/ModelGuide/ModelGuide-LakeMeadWaterBank.md" TargetMode="External"/><Relationship Id="rId8" Type="http://schemas.openxmlformats.org/officeDocument/2006/relationships/hyperlink" Target="https://github.com/dzeke/ColoradoRiverCollaborate/blob/main/LakeMeadWaterBankDivideInflow/ModelGuide/ModelGuide-LakeMeadWaterBank.md" TargetMode="External"/><Relationship Id="rId51" Type="http://schemas.openxmlformats.org/officeDocument/2006/relationships/hyperlink" Target="https://github.com/dzeke/ColoradoRiverCollaborate/blob/main/LakeMeadWaterBankDivideInflow/ModelGuide/ModelGuide-LakeMeadWaterBank.md" TargetMode="External"/><Relationship Id="rId3" Type="http://schemas.openxmlformats.org/officeDocument/2006/relationships/hyperlink" Target="https://github.com/dzeke/ColoradoRiverCollaborate/blob/main/LakeMeadWaterBankDivideInflow/ModelGuide/ModelGuide-LakeMeadWaterBank.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llaborate/blob/main/LakeMeadWaterBankDivideInflow/ModelGuide/ModelGuide-LakeMeadWaterBank.md" TargetMode="External"/><Relationship Id="rId25" Type="http://schemas.openxmlformats.org/officeDocument/2006/relationships/hyperlink" Target="https://github.com/dzeke/ColoradoRiverCollaborate/blob/main/LakeMeadWaterBankDivideInflow/ModelGuide/ModelGuide-LakeMeadWaterBank.md" TargetMode="External"/><Relationship Id="rId33" Type="http://schemas.openxmlformats.org/officeDocument/2006/relationships/hyperlink" Target="https://github.com/dzeke/ColoradoRiverCollaborate/blob/main/LakeMeadWaterBankDivideInflow/ModelGuide/ModelGuide-LakeMeadWaterBank.md" TargetMode="External"/><Relationship Id="rId38" Type="http://schemas.openxmlformats.org/officeDocument/2006/relationships/hyperlink" Target="https://github.com/dzeke/ColoradoRiverCollaborate/blob/main/LakeMeadWaterBankDivideInflow/ModelGuide/ModelGuide-LakeMeadWaterBank.md" TargetMode="External"/><Relationship Id="rId46" Type="http://schemas.openxmlformats.org/officeDocument/2006/relationships/hyperlink" Target="https://github.com/dzeke/ColoradoRiverCollaborate/blob/main/LakeMeadWaterBankDivideInflow/ModelGuide/ModelGuide-LakeMeadWaterBank.md" TargetMode="External"/><Relationship Id="rId59" Type="http://schemas.openxmlformats.org/officeDocument/2006/relationships/hyperlink" Target="https://github.com/dzeke/ColoradoRiverCollaborate/blob/main/LakeMeadWaterBankDivideInflow/ModelGuide/ModelGuide-LakeMeadWaterBank.md" TargetMode="External"/><Relationship Id="rId67" Type="http://schemas.openxmlformats.org/officeDocument/2006/relationships/hyperlink" Target="https://github.com/dzeke/ColoradoRiverCollaborate/blob/main/LakeMeadWaterBankDivideInflow/ModelGuide/ModelGuide-LakeMeadWaterBank.md" TargetMode="External"/><Relationship Id="rId20" Type="http://schemas.openxmlformats.org/officeDocument/2006/relationships/hyperlink" Target="https://github.com/dzeke/ColoradoRiverCollaborate/blob/main/LakeMeadWaterBankDivideInflow/ModelGuide/ModelGuide-LakeMeadWaterBank.md" TargetMode="External"/><Relationship Id="rId41" Type="http://schemas.openxmlformats.org/officeDocument/2006/relationships/hyperlink" Target="https://github.com/dzeke/ColoradoRiverCollaborate/blob/main/LakeMeadWaterBankDivideInflow/ModelGuide/ModelGuide-LakeMeadWaterBank.md" TargetMode="External"/><Relationship Id="rId54" Type="http://schemas.openxmlformats.org/officeDocument/2006/relationships/hyperlink" Target="https://github.com/dzeke/ColoradoRiverCollaborate/blob/main/LakeMeadWaterBankDivideInflow/ModelGuide/ModelGuide-LakeMeadWaterBank.md" TargetMode="External"/><Relationship Id="rId62" Type="http://schemas.openxmlformats.org/officeDocument/2006/relationships/hyperlink" Target="https://github.com/dzeke/ColoradoRiverCollaborate/blob/main/LakeMeadWaterBankDivideInflow/ModelGuide/ModelGuide-LakeMeadWaterBank.md" TargetMode="External"/><Relationship Id="rId70" Type="http://schemas.openxmlformats.org/officeDocument/2006/relationships/hyperlink" Target="https://github.com/dzeke/ColoradoRiverCollaborate/blob/main/LakeMeadWaterBankDivideInflow/ModelGuide/ModelGuide-LakeMeadWaterBank.md" TargetMode="External"/><Relationship Id="rId1" Type="http://schemas.openxmlformats.org/officeDocument/2006/relationships/hyperlink" Target="https://github.com/dzeke/ColoradoRiverCollaborate/blob/main/LakeMeadWaterBankDivideInflow/ModelGuide/ModelGuide-LakeMeadWaterBank.md" TargetMode="External"/><Relationship Id="rId6" Type="http://schemas.openxmlformats.org/officeDocument/2006/relationships/hyperlink" Target="https://github.com/dzeke/ColoradoRiverCollaborate/blob/main/LakeMeadWaterBankDivideInflow/ModelGuide/ModelGuide-LakeMeadWaterBank.md" TargetMode="External"/><Relationship Id="rId15" Type="http://schemas.openxmlformats.org/officeDocument/2006/relationships/hyperlink" Target="https://github.com/dzeke/ColoradoRiverCollaborate/blob/main/LakeMeadWaterBankDivideInflow/ModelGuide/ModelGuide-LakeMeadWaterBank.md" TargetMode="External"/><Relationship Id="rId23" Type="http://schemas.openxmlformats.org/officeDocument/2006/relationships/hyperlink" Target="https://github.com/dzeke/ColoradoRiverCollaborate/blob/main/LakeMeadWaterBankDivideInflow/ModelGuide/ModelGuide-LakeMeadWaterBank.md" TargetMode="External"/><Relationship Id="rId28" Type="http://schemas.openxmlformats.org/officeDocument/2006/relationships/hyperlink" Target="https://github.com/dzeke/ColoradoRiverCollaborate/blob/main/LakeMeadWaterBankDivideInflow/ModelGuide/ModelGuide-LakeMeadWaterBank.md" TargetMode="External"/><Relationship Id="rId36" Type="http://schemas.openxmlformats.org/officeDocument/2006/relationships/hyperlink" Target="https://github.com/dzeke/ColoradoRiverCollaborate/blob/main/LakeMeadWaterBankDivideInflow/ModelGuide/ModelGuide-LakeMeadWaterBank.md" TargetMode="External"/><Relationship Id="rId49" Type="http://schemas.openxmlformats.org/officeDocument/2006/relationships/hyperlink" Target="https://github.com/dzeke/ColoradoRiverCollaborate/blob/main/LakeMeadWaterBankDivideInflow/ModelGuide/ModelGuide-LakeMeadWaterBank.md" TargetMode="External"/><Relationship Id="rId57" Type="http://schemas.openxmlformats.org/officeDocument/2006/relationships/hyperlink" Target="https://github.com/dzeke/ColoradoRiverCollaborate/blob/main/LakeMeadWaterBankDivideInflow/ModelGuide/ModelGuide-LakeMeadWaterBank.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llaborate/blob/main/LakeMeadWaterBankDivideInflow/ModelGuide/ModelGuide-LakeMeadWaterBank.md" TargetMode="External"/><Relationship Id="rId44" Type="http://schemas.openxmlformats.org/officeDocument/2006/relationships/hyperlink" Target="https://github.com/dzeke/ColoradoRiverCollaborate/blob/main/LakeMeadWaterBankDivideInflow/ModelGuide/ModelGuide-LakeMeadWaterBank.md" TargetMode="External"/><Relationship Id="rId52" Type="http://schemas.openxmlformats.org/officeDocument/2006/relationships/hyperlink" Target="https://github.com/dzeke/ColoradoRiverCollaborate/blob/main/LakeMeadWaterBankDivideInflow/ModelGuide/ModelGuide-LakeMeadWaterBank.md" TargetMode="External"/><Relationship Id="rId60" Type="http://schemas.openxmlformats.org/officeDocument/2006/relationships/hyperlink" Target="https://github.com/dzeke/ColoradoRiverCollaborate/blob/main/LakeMeadWaterBankDivideInflow/ModelGuide/ModelGuide-LakeMeadWaterBank.md" TargetMode="External"/><Relationship Id="rId6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ModelGuide/ModelGuide-LakeMeadWaterBank.md" TargetMode="External"/><Relationship Id="rId9" Type="http://schemas.openxmlformats.org/officeDocument/2006/relationships/hyperlink" Target="https://github.com/dzeke/ColoradoRiverCollaborate/blob/main/LakeMeadWaterBankDivideInflow/ModelGuide/ModelGuide-LakeMeadWaterBank.md" TargetMode="External"/><Relationship Id="rId13" Type="http://schemas.openxmlformats.org/officeDocument/2006/relationships/hyperlink" Target="https://github.com/dzeke/ColoradoRiverCollaborate/blob/main/LakeMeadWaterBankDivideInflow/ModelGuide/ModelGuide-LakeMeadWaterBank.md" TargetMode="External"/><Relationship Id="rId18" Type="http://schemas.openxmlformats.org/officeDocument/2006/relationships/hyperlink" Target="https://github.com/dzeke/ColoradoRiverCollaborate/blob/main/LakeMeadWaterBankDivideInflow/ModelGuide/ModelGuide-LakeMeadWaterBank.md" TargetMode="External"/><Relationship Id="rId39" Type="http://schemas.openxmlformats.org/officeDocument/2006/relationships/hyperlink" Target="https://github.com/dzeke/ColoradoRiverCollaborate/blob/main/LakeMeadWaterBankDivideInflow/ModelGuide/ModelGuide-LakeMeadWaterBank.md" TargetMode="External"/><Relationship Id="rId34" Type="http://schemas.openxmlformats.org/officeDocument/2006/relationships/hyperlink" Target="https://github.com/dzeke/ColoradoRiverCollaborate/blob/main/LakeMeadWaterBankDivideInflow/ModelGuide/ModelGuide-LakeMeadWaterBank.md" TargetMode="External"/><Relationship Id="rId50" Type="http://schemas.openxmlformats.org/officeDocument/2006/relationships/hyperlink" Target="https://github.com/dzeke/ColoradoRiverCollaborate/blob/main/LakeMeadWaterBankDivideInflow/ModelGuide/ModelGuide-LakeMeadWaterBank.md" TargetMode="External"/><Relationship Id="rId55" Type="http://schemas.openxmlformats.org/officeDocument/2006/relationships/hyperlink" Target="https://github.com/dzeke/ColoradoRiverCollaborate/blob/main/LakeMeadWaterBankDivideInflow/ModelGuide/ModelGuide-LakeMeadWaterBank.md"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02F4-5F19-409C-8BC6-A0D8FEB3A90D}">
  <dimension ref="A1:R88"/>
  <sheetViews>
    <sheetView tabSelected="1" zoomScale="170" zoomScaleNormal="170" workbookViewId="0">
      <selection sqref="A1:L1"/>
    </sheetView>
  </sheetViews>
  <sheetFormatPr defaultColWidth="8.81640625" defaultRowHeight="14.5" x14ac:dyDescent="0.35"/>
  <cols>
    <col min="1" max="1" width="3.453125" customWidth="1"/>
    <col min="2" max="2" width="30" customWidth="1"/>
    <col min="3" max="3" width="7.81640625" customWidth="1"/>
    <col min="4" max="4" width="7" style="2" customWidth="1"/>
    <col min="5" max="5" width="7.453125" customWidth="1"/>
    <col min="6" max="6" width="7.36328125" customWidth="1"/>
    <col min="7" max="7" width="7.453125" customWidth="1"/>
    <col min="8" max="8" width="7.1796875" customWidth="1"/>
    <col min="9" max="9" width="7.453125" customWidth="1"/>
    <col min="10" max="10" width="7.6328125" customWidth="1"/>
    <col min="12" max="12" width="12.453125" customWidth="1"/>
    <col min="13" max="13" width="3.81640625" customWidth="1"/>
  </cols>
  <sheetData>
    <row r="1" spans="1:18" ht="15.5" x14ac:dyDescent="0.35">
      <c r="A1" s="348" t="s">
        <v>296</v>
      </c>
      <c r="B1" s="348"/>
      <c r="C1" s="348"/>
      <c r="D1" s="348"/>
      <c r="E1" s="348"/>
      <c r="F1" s="348"/>
      <c r="G1" s="348"/>
      <c r="H1" s="348"/>
      <c r="I1" s="348"/>
      <c r="J1" s="348"/>
      <c r="K1" s="348"/>
      <c r="L1" s="348"/>
    </row>
    <row r="2" spans="1:18" x14ac:dyDescent="0.35">
      <c r="A2" s="1"/>
      <c r="B2" s="1"/>
      <c r="C2" s="2"/>
      <c r="D2"/>
    </row>
    <row r="3" spans="1:18" x14ac:dyDescent="0.35">
      <c r="A3" s="151" t="s">
        <v>164</v>
      </c>
      <c r="B3" s="152"/>
      <c r="C3" s="153"/>
      <c r="D3" s="154"/>
      <c r="E3" s="154"/>
      <c r="F3" s="154"/>
      <c r="G3" s="154"/>
      <c r="H3" s="154"/>
      <c r="I3" s="154"/>
      <c r="J3" s="154"/>
      <c r="K3" s="154"/>
      <c r="L3" s="155"/>
      <c r="N3" s="1"/>
    </row>
    <row r="4" spans="1:18" s="52" customFormat="1" ht="53.5" customHeight="1" x14ac:dyDescent="0.35">
      <c r="A4" s="349" t="s">
        <v>297</v>
      </c>
      <c r="B4" s="350"/>
      <c r="C4" s="350"/>
      <c r="D4" s="350"/>
      <c r="E4" s="350"/>
      <c r="F4" s="350"/>
      <c r="G4" s="350"/>
      <c r="H4" s="350"/>
      <c r="I4" s="350"/>
      <c r="J4" s="350"/>
      <c r="K4" s="350"/>
      <c r="L4" s="351"/>
      <c r="N4" s="352"/>
      <c r="O4" s="352"/>
      <c r="P4" s="352"/>
      <c r="Q4" s="352"/>
      <c r="R4" s="352"/>
    </row>
    <row r="5" spans="1:18" s="52" customFormat="1" ht="35" customHeight="1" x14ac:dyDescent="0.35">
      <c r="A5" s="353" t="s">
        <v>281</v>
      </c>
      <c r="B5" s="354"/>
      <c r="C5" s="354"/>
      <c r="D5" s="354"/>
      <c r="E5" s="354"/>
      <c r="F5" s="354"/>
      <c r="G5" s="354"/>
      <c r="H5" s="354"/>
      <c r="I5" s="354"/>
      <c r="J5" s="354"/>
      <c r="K5" s="354"/>
      <c r="L5" s="355"/>
      <c r="N5" s="110"/>
      <c r="O5" s="110"/>
      <c r="P5" s="110"/>
      <c r="Q5" s="110"/>
      <c r="R5" s="110"/>
    </row>
    <row r="6" spans="1:18" s="52" customFormat="1" ht="14" customHeight="1" x14ac:dyDescent="0.35">
      <c r="A6" s="353" t="s">
        <v>298</v>
      </c>
      <c r="B6" s="354"/>
      <c r="C6" s="354"/>
      <c r="D6" s="354"/>
      <c r="E6" s="354"/>
      <c r="F6" s="354"/>
      <c r="G6" s="354"/>
      <c r="H6" s="354"/>
      <c r="I6" s="354"/>
      <c r="J6" s="354"/>
      <c r="K6" s="354"/>
      <c r="L6" s="355"/>
      <c r="N6" s="110"/>
      <c r="O6" s="110"/>
      <c r="P6" s="110"/>
      <c r="Q6" s="110"/>
      <c r="R6" s="110"/>
    </row>
    <row r="7" spans="1:18" s="52" customFormat="1" ht="14" customHeight="1" x14ac:dyDescent="0.35">
      <c r="A7" s="214"/>
      <c r="B7" s="354" t="s">
        <v>299</v>
      </c>
      <c r="C7" s="354"/>
      <c r="D7" s="354"/>
      <c r="E7" s="354"/>
      <c r="F7" s="354"/>
      <c r="G7" s="354"/>
      <c r="H7" s="354"/>
      <c r="I7" s="354"/>
      <c r="J7" s="354"/>
      <c r="K7" s="354"/>
      <c r="L7" s="355"/>
      <c r="N7" s="110"/>
      <c r="O7" s="110"/>
      <c r="P7" s="110"/>
      <c r="Q7" s="110"/>
      <c r="R7" s="110"/>
    </row>
    <row r="8" spans="1:18" s="52" customFormat="1" ht="14" customHeight="1" x14ac:dyDescent="0.35">
      <c r="A8" s="215"/>
      <c r="B8" s="370" t="s">
        <v>300</v>
      </c>
      <c r="C8" s="370"/>
      <c r="D8" s="370"/>
      <c r="E8" s="370"/>
      <c r="F8" s="370"/>
      <c r="G8" s="370"/>
      <c r="H8" s="370"/>
      <c r="I8" s="370"/>
      <c r="J8" s="370"/>
      <c r="K8" s="370"/>
      <c r="L8" s="371"/>
      <c r="N8" s="110"/>
      <c r="O8" s="110"/>
      <c r="P8" s="110"/>
      <c r="Q8" s="110"/>
      <c r="R8" s="110"/>
    </row>
    <row r="9" spans="1:18" s="57" customFormat="1" ht="14.5" customHeight="1" x14ac:dyDescent="0.35">
      <c r="A9" s="110"/>
      <c r="B9" s="110"/>
      <c r="C9" s="110"/>
      <c r="D9" s="110"/>
      <c r="E9" s="110"/>
      <c r="F9" s="110"/>
      <c r="G9" s="110"/>
      <c r="H9" s="110"/>
      <c r="I9" s="110"/>
      <c r="J9" s="110"/>
      <c r="K9" s="110"/>
      <c r="L9" s="110"/>
    </row>
    <row r="10" spans="1:18" s="57" customFormat="1" ht="14.5" customHeight="1" x14ac:dyDescent="0.35">
      <c r="A10" s="372" t="s">
        <v>335</v>
      </c>
      <c r="B10" s="373"/>
      <c r="C10" s="373"/>
      <c r="D10" s="373"/>
      <c r="E10" s="373"/>
      <c r="F10" s="373"/>
      <c r="G10" s="373"/>
      <c r="H10" s="373"/>
      <c r="I10" s="373"/>
      <c r="J10" s="373"/>
      <c r="K10" s="373"/>
      <c r="L10" s="374"/>
    </row>
    <row r="11" spans="1:18" s="56" customFormat="1" ht="14.5" customHeight="1" x14ac:dyDescent="0.35">
      <c r="A11" s="235" t="s">
        <v>336</v>
      </c>
      <c r="B11" s="375" t="s">
        <v>339</v>
      </c>
      <c r="C11" s="375"/>
      <c r="D11" s="375"/>
      <c r="E11" s="375"/>
      <c r="F11" s="375"/>
      <c r="G11" s="375"/>
      <c r="H11" s="375"/>
      <c r="I11" s="375"/>
      <c r="J11" s="375"/>
      <c r="K11" s="375"/>
      <c r="L11" s="376"/>
    </row>
    <row r="12" spans="1:18" s="57" customFormat="1" ht="161.5" customHeight="1" x14ac:dyDescent="0.35">
      <c r="A12" s="227"/>
      <c r="B12" s="233"/>
      <c r="C12" s="233"/>
      <c r="D12" s="233"/>
      <c r="E12" s="233"/>
      <c r="F12" s="233"/>
      <c r="G12" s="233"/>
      <c r="H12" s="233"/>
      <c r="I12" s="233"/>
      <c r="J12" s="233"/>
      <c r="K12" s="233"/>
      <c r="L12" s="234"/>
    </row>
    <row r="13" spans="1:18" s="56" customFormat="1" ht="14.5" customHeight="1" x14ac:dyDescent="0.35">
      <c r="A13" s="235" t="s">
        <v>337</v>
      </c>
      <c r="B13" s="375" t="s">
        <v>340</v>
      </c>
      <c r="C13" s="375"/>
      <c r="D13" s="375"/>
      <c r="E13" s="375"/>
      <c r="F13" s="375"/>
      <c r="G13" s="375"/>
      <c r="H13" s="375"/>
      <c r="I13" s="375"/>
      <c r="J13" s="375"/>
      <c r="K13" s="375"/>
      <c r="L13" s="376"/>
    </row>
    <row r="14" spans="1:18" s="57" customFormat="1" ht="90.5" customHeight="1" x14ac:dyDescent="0.35">
      <c r="A14" s="227"/>
      <c r="B14" s="386"/>
      <c r="C14" s="386"/>
      <c r="D14" s="386"/>
      <c r="E14" s="386"/>
      <c r="F14" s="386"/>
      <c r="G14" s="386"/>
      <c r="H14" s="386"/>
      <c r="I14" s="386"/>
      <c r="J14" s="386"/>
      <c r="K14" s="386"/>
      <c r="L14" s="387"/>
    </row>
    <row r="15" spans="1:18" s="56" customFormat="1" ht="29" customHeight="1" x14ac:dyDescent="0.35">
      <c r="A15" s="235" t="s">
        <v>338</v>
      </c>
      <c r="B15" s="375" t="s">
        <v>467</v>
      </c>
      <c r="C15" s="375"/>
      <c r="D15" s="375"/>
      <c r="E15" s="375"/>
      <c r="F15" s="375"/>
      <c r="G15" s="375"/>
      <c r="H15" s="375"/>
      <c r="I15" s="375"/>
      <c r="J15" s="375"/>
      <c r="K15" s="375"/>
      <c r="L15" s="376"/>
    </row>
    <row r="16" spans="1:18" s="57" customFormat="1" ht="269" customHeight="1" x14ac:dyDescent="0.35">
      <c r="A16" s="227"/>
      <c r="B16" s="233"/>
      <c r="C16" s="233"/>
      <c r="D16" s="233"/>
      <c r="E16" s="233"/>
      <c r="F16" s="233"/>
      <c r="G16" s="233"/>
      <c r="H16" s="233"/>
      <c r="I16" s="233"/>
      <c r="J16" s="233"/>
      <c r="K16" s="233"/>
      <c r="L16" s="234"/>
    </row>
    <row r="17" spans="1:14" s="57" customFormat="1" ht="14.5" customHeight="1" x14ac:dyDescent="0.35">
      <c r="A17" s="384" t="s">
        <v>344</v>
      </c>
      <c r="B17" s="385"/>
      <c r="C17" s="385"/>
      <c r="D17" s="385"/>
      <c r="E17" s="232" t="s">
        <v>345</v>
      </c>
      <c r="F17" s="230"/>
      <c r="G17" s="230"/>
      <c r="H17" s="230"/>
      <c r="I17" s="230"/>
      <c r="J17" s="230"/>
      <c r="K17" s="230"/>
      <c r="L17" s="231"/>
    </row>
    <row r="18" spans="1:14" s="57" customFormat="1" ht="14.5" customHeight="1" x14ac:dyDescent="0.35">
      <c r="A18" s="110"/>
      <c r="B18" s="110"/>
      <c r="C18" s="110"/>
      <c r="D18" s="110"/>
      <c r="E18" s="110"/>
      <c r="F18" s="110"/>
      <c r="G18" s="110"/>
      <c r="H18" s="110"/>
      <c r="I18" s="110"/>
      <c r="J18" s="110"/>
      <c r="K18" s="110"/>
      <c r="L18" s="110"/>
    </row>
    <row r="19" spans="1:14" s="57" customFormat="1" ht="14.5" customHeight="1" x14ac:dyDescent="0.35">
      <c r="A19" s="356" t="s">
        <v>165</v>
      </c>
      <c r="B19" s="357"/>
      <c r="C19" s="357"/>
      <c r="D19" s="357"/>
      <c r="E19" s="357"/>
      <c r="F19" s="357"/>
      <c r="G19" s="357"/>
      <c r="H19" s="357"/>
      <c r="I19" s="357"/>
      <c r="J19" s="357"/>
      <c r="K19" s="357"/>
      <c r="L19" s="358"/>
    </row>
    <row r="20" spans="1:14" s="57" customFormat="1" ht="14.5" customHeight="1" x14ac:dyDescent="0.35">
      <c r="A20" s="359" t="s">
        <v>282</v>
      </c>
      <c r="B20" s="360"/>
      <c r="C20" s="360"/>
      <c r="D20" s="360"/>
      <c r="E20" s="360"/>
      <c r="F20" s="360"/>
      <c r="G20" s="360"/>
      <c r="H20" s="360"/>
      <c r="I20" s="360"/>
      <c r="J20" s="360"/>
      <c r="K20" s="360"/>
      <c r="L20" s="361"/>
    </row>
    <row r="21" spans="1:14" s="57" customFormat="1" ht="14.5" customHeight="1" x14ac:dyDescent="0.35">
      <c r="A21" s="362" t="s">
        <v>283</v>
      </c>
      <c r="B21" s="342"/>
      <c r="C21" s="342"/>
      <c r="D21" s="342"/>
      <c r="E21" s="342"/>
      <c r="F21" s="342"/>
      <c r="G21" s="342"/>
      <c r="H21" s="342"/>
      <c r="I21" s="342"/>
      <c r="J21" s="342"/>
      <c r="K21" s="342"/>
      <c r="L21" s="363"/>
    </row>
    <row r="22" spans="1:14" s="57" customFormat="1" ht="14.5" customHeight="1" x14ac:dyDescent="0.35">
      <c r="A22" s="362" t="s">
        <v>166</v>
      </c>
      <c r="B22" s="342"/>
      <c r="C22" s="342"/>
      <c r="D22" s="342"/>
      <c r="E22" s="342"/>
      <c r="F22" s="342"/>
      <c r="G22" s="342"/>
      <c r="H22" s="342"/>
      <c r="I22" s="342"/>
      <c r="J22" s="342"/>
      <c r="K22" s="342"/>
      <c r="L22" s="363"/>
    </row>
    <row r="23" spans="1:14" s="57" customFormat="1" ht="14.5" customHeight="1" x14ac:dyDescent="0.35">
      <c r="A23" s="364" t="s">
        <v>284</v>
      </c>
      <c r="B23" s="365"/>
      <c r="C23" s="365"/>
      <c r="D23" s="365"/>
      <c r="E23" s="365"/>
      <c r="F23" s="365"/>
      <c r="G23" s="365"/>
      <c r="H23" s="365"/>
      <c r="I23" s="365"/>
      <c r="J23" s="365"/>
      <c r="K23" s="365"/>
      <c r="L23" s="366"/>
    </row>
    <row r="24" spans="1:14" s="57" customFormat="1" ht="14.5" customHeight="1" x14ac:dyDescent="0.35">
      <c r="A24" s="110"/>
      <c r="B24" s="110"/>
      <c r="C24" s="110"/>
      <c r="D24" s="110"/>
      <c r="E24" s="110"/>
      <c r="F24" s="110"/>
      <c r="G24" s="110"/>
      <c r="H24" s="110"/>
      <c r="I24" s="110"/>
      <c r="J24" s="110"/>
      <c r="K24" s="110"/>
      <c r="L24" s="110"/>
    </row>
    <row r="25" spans="1:14" s="57" customFormat="1" ht="16.5" customHeight="1" x14ac:dyDescent="0.35">
      <c r="A25" s="367" t="s">
        <v>280</v>
      </c>
      <c r="B25" s="368"/>
      <c r="C25" s="368"/>
      <c r="D25" s="368"/>
      <c r="E25" s="368"/>
      <c r="F25" s="368"/>
      <c r="G25" s="368"/>
      <c r="H25" s="368"/>
      <c r="I25" s="368"/>
      <c r="J25" s="368"/>
      <c r="K25" s="368"/>
      <c r="L25" s="369"/>
      <c r="N25" s="1"/>
    </row>
    <row r="26" spans="1:14" s="57" customFormat="1" ht="16.5" customHeight="1" x14ac:dyDescent="0.35">
      <c r="A26" s="345" t="s">
        <v>175</v>
      </c>
      <c r="B26" s="346"/>
      <c r="C26" s="346"/>
      <c r="D26" s="346"/>
      <c r="E26" s="346"/>
      <c r="F26" s="346"/>
      <c r="G26" s="346"/>
      <c r="H26" s="346"/>
      <c r="I26" s="346"/>
      <c r="J26" s="346"/>
      <c r="K26" s="346"/>
      <c r="L26" s="347"/>
      <c r="N26" s="1"/>
    </row>
    <row r="27" spans="1:14" s="57" customFormat="1" ht="15" customHeight="1" x14ac:dyDescent="0.35">
      <c r="A27" s="209">
        <v>1</v>
      </c>
      <c r="B27" s="379" t="s">
        <v>174</v>
      </c>
      <c r="C27" s="379"/>
      <c r="D27" s="379"/>
      <c r="E27" s="379"/>
      <c r="F27" s="379"/>
      <c r="G27" s="379"/>
      <c r="H27" s="379"/>
      <c r="I27" s="379"/>
      <c r="J27" s="379"/>
      <c r="K27" s="379"/>
      <c r="L27" s="380"/>
    </row>
    <row r="28" spans="1:14" s="57" customFormat="1" ht="30" customHeight="1" x14ac:dyDescent="0.35">
      <c r="A28" s="209">
        <v>2</v>
      </c>
      <c r="B28" s="379" t="s">
        <v>276</v>
      </c>
      <c r="C28" s="379"/>
      <c r="D28" s="379"/>
      <c r="E28" s="379"/>
      <c r="F28" s="379"/>
      <c r="G28" s="379"/>
      <c r="H28" s="379"/>
      <c r="I28" s="379"/>
      <c r="J28" s="379"/>
      <c r="K28" s="379"/>
      <c r="L28" s="380"/>
      <c r="N28" s="104"/>
    </row>
    <row r="29" spans="1:14" s="57" customFormat="1" ht="15" customHeight="1" x14ac:dyDescent="0.35">
      <c r="A29" s="209">
        <v>3</v>
      </c>
      <c r="B29" s="379" t="s">
        <v>167</v>
      </c>
      <c r="C29" s="379"/>
      <c r="D29" s="379"/>
      <c r="E29" s="379"/>
      <c r="F29" s="379"/>
      <c r="G29" s="379"/>
      <c r="H29" s="379"/>
      <c r="I29" s="379"/>
      <c r="J29" s="379"/>
      <c r="K29" s="379"/>
      <c r="L29" s="380"/>
      <c r="N29" s="104"/>
    </row>
    <row r="30" spans="1:14" s="57" customFormat="1" ht="15" customHeight="1" x14ac:dyDescent="0.35">
      <c r="A30" s="209">
        <v>4</v>
      </c>
      <c r="B30" s="379" t="s">
        <v>285</v>
      </c>
      <c r="C30" s="379"/>
      <c r="D30" s="379"/>
      <c r="E30" s="379"/>
      <c r="F30" s="379"/>
      <c r="G30" s="379"/>
      <c r="H30" s="379"/>
      <c r="I30" s="379"/>
      <c r="J30" s="379"/>
      <c r="K30" s="379"/>
      <c r="L30" s="380"/>
      <c r="N30" s="104"/>
    </row>
    <row r="31" spans="1:14" s="57" customFormat="1" ht="15" customHeight="1" x14ac:dyDescent="0.35">
      <c r="A31" s="209">
        <v>5</v>
      </c>
      <c r="B31" s="379" t="s">
        <v>168</v>
      </c>
      <c r="C31" s="379"/>
      <c r="D31" s="379"/>
      <c r="E31" s="379"/>
      <c r="F31" s="379"/>
      <c r="G31" s="379"/>
      <c r="H31" s="379"/>
      <c r="I31" s="379"/>
      <c r="J31" s="379"/>
      <c r="K31" s="379"/>
      <c r="L31" s="380"/>
      <c r="N31" s="104"/>
    </row>
    <row r="32" spans="1:14" s="57" customFormat="1" ht="15" customHeight="1" x14ac:dyDescent="0.35">
      <c r="A32" s="209"/>
      <c r="B32" s="379" t="s">
        <v>169</v>
      </c>
      <c r="C32" s="379"/>
      <c r="D32" s="379"/>
      <c r="E32" s="379"/>
      <c r="F32" s="379"/>
      <c r="G32" s="379"/>
      <c r="H32" s="379"/>
      <c r="I32" s="379"/>
      <c r="J32" s="379"/>
      <c r="K32" s="379"/>
      <c r="L32" s="380"/>
      <c r="N32" s="104"/>
    </row>
    <row r="33" spans="1:14" s="57" customFormat="1" ht="15" customHeight="1" x14ac:dyDescent="0.35">
      <c r="A33" s="209"/>
      <c r="B33" s="379" t="s">
        <v>170</v>
      </c>
      <c r="C33" s="379"/>
      <c r="D33" s="379"/>
      <c r="E33" s="379"/>
      <c r="F33" s="379"/>
      <c r="G33" s="379"/>
      <c r="H33" s="379"/>
      <c r="I33" s="379"/>
      <c r="J33" s="379"/>
      <c r="K33" s="379"/>
      <c r="L33" s="380"/>
      <c r="N33" s="104"/>
    </row>
    <row r="34" spans="1:14" s="57" customFormat="1" ht="15" customHeight="1" x14ac:dyDescent="0.35">
      <c r="A34" s="381" t="s">
        <v>176</v>
      </c>
      <c r="B34" s="382"/>
      <c r="C34" s="382"/>
      <c r="D34" s="382"/>
      <c r="E34" s="382"/>
      <c r="F34" s="382"/>
      <c r="G34" s="382"/>
      <c r="H34" s="382"/>
      <c r="I34" s="382"/>
      <c r="J34" s="382"/>
      <c r="K34" s="382"/>
      <c r="L34" s="383"/>
      <c r="N34" s="104"/>
    </row>
    <row r="35" spans="1:14" s="57" customFormat="1" ht="15" customHeight="1" x14ac:dyDescent="0.35">
      <c r="A35" s="209">
        <v>1</v>
      </c>
      <c r="B35" s="379" t="s">
        <v>171</v>
      </c>
      <c r="C35" s="379"/>
      <c r="D35" s="379"/>
      <c r="E35" s="379"/>
      <c r="F35" s="379"/>
      <c r="G35" s="379"/>
      <c r="H35" s="379"/>
      <c r="I35" s="379"/>
      <c r="J35" s="379"/>
      <c r="K35" s="379"/>
      <c r="L35" s="380"/>
      <c r="N35" s="104"/>
    </row>
    <row r="36" spans="1:14" s="57" customFormat="1" ht="30.75" customHeight="1" x14ac:dyDescent="0.35">
      <c r="A36" s="209"/>
      <c r="B36" s="377" t="s">
        <v>427</v>
      </c>
      <c r="C36" s="377"/>
      <c r="D36" s="377"/>
      <c r="E36" s="377"/>
      <c r="F36" s="377"/>
      <c r="G36" s="377"/>
      <c r="H36" s="377"/>
      <c r="I36" s="377"/>
      <c r="J36" s="377"/>
      <c r="K36" s="377"/>
      <c r="L36" s="378"/>
      <c r="N36" s="104"/>
    </row>
    <row r="37" spans="1:14" s="57" customFormat="1" ht="29.5" customHeight="1" x14ac:dyDescent="0.35">
      <c r="A37" s="209">
        <v>2</v>
      </c>
      <c r="B37" s="379" t="s">
        <v>279</v>
      </c>
      <c r="C37" s="379"/>
      <c r="D37" s="379"/>
      <c r="E37" s="379"/>
      <c r="F37" s="379"/>
      <c r="G37" s="379"/>
      <c r="H37" s="379"/>
      <c r="I37" s="379"/>
      <c r="J37" s="379"/>
      <c r="K37" s="379"/>
      <c r="L37" s="380"/>
      <c r="N37" s="104"/>
    </row>
    <row r="38" spans="1:14" s="57" customFormat="1" ht="26.5" customHeight="1" x14ac:dyDescent="0.35">
      <c r="A38" s="209">
        <v>3</v>
      </c>
      <c r="B38" s="379" t="s">
        <v>269</v>
      </c>
      <c r="C38" s="379"/>
      <c r="D38" s="379"/>
      <c r="E38" s="379"/>
      <c r="F38" s="379"/>
      <c r="G38" s="379"/>
      <c r="H38" s="379"/>
      <c r="I38" s="379"/>
      <c r="J38" s="379"/>
      <c r="K38" s="379"/>
      <c r="L38" s="380"/>
      <c r="N38" s="104"/>
    </row>
    <row r="39" spans="1:14" s="57" customFormat="1" ht="26.5" customHeight="1" x14ac:dyDescent="0.35">
      <c r="A39" s="209">
        <v>4</v>
      </c>
      <c r="B39" s="379" t="s">
        <v>286</v>
      </c>
      <c r="C39" s="379"/>
      <c r="D39" s="379"/>
      <c r="E39" s="379"/>
      <c r="F39" s="379"/>
      <c r="G39" s="379"/>
      <c r="H39" s="379"/>
      <c r="I39" s="379"/>
      <c r="J39" s="379"/>
      <c r="K39" s="379"/>
      <c r="L39" s="380"/>
      <c r="N39" s="104"/>
    </row>
    <row r="40" spans="1:14" s="57" customFormat="1" ht="15" customHeight="1" x14ac:dyDescent="0.35">
      <c r="A40" s="209">
        <v>5</v>
      </c>
      <c r="B40" s="377" t="s">
        <v>270</v>
      </c>
      <c r="C40" s="377"/>
      <c r="D40" s="377"/>
      <c r="E40" s="377"/>
      <c r="F40" s="377"/>
      <c r="G40" s="377"/>
      <c r="H40" s="377"/>
      <c r="I40" s="377"/>
      <c r="J40" s="377"/>
      <c r="K40" s="377"/>
      <c r="L40" s="378"/>
      <c r="N40" s="104"/>
    </row>
    <row r="41" spans="1:14" s="57" customFormat="1" ht="28.5" customHeight="1" x14ac:dyDescent="0.35">
      <c r="A41" s="209">
        <v>6</v>
      </c>
      <c r="B41" s="377" t="s">
        <v>466</v>
      </c>
      <c r="C41" s="377"/>
      <c r="D41" s="377"/>
      <c r="E41" s="377"/>
      <c r="F41" s="377"/>
      <c r="G41" s="377"/>
      <c r="H41" s="377"/>
      <c r="I41" s="377"/>
      <c r="J41" s="377"/>
      <c r="K41" s="377"/>
      <c r="L41" s="378"/>
      <c r="N41" s="104"/>
    </row>
    <row r="42" spans="1:14" s="57" customFormat="1" ht="16.5" customHeight="1" x14ac:dyDescent="0.35">
      <c r="A42" s="209">
        <v>7</v>
      </c>
      <c r="B42" s="379" t="s">
        <v>271</v>
      </c>
      <c r="C42" s="379"/>
      <c r="D42" s="379"/>
      <c r="E42" s="379"/>
      <c r="F42" s="379"/>
      <c r="G42" s="379"/>
      <c r="H42" s="379"/>
      <c r="I42" s="379"/>
      <c r="J42" s="379"/>
      <c r="K42" s="379"/>
      <c r="L42" s="380"/>
    </row>
    <row r="43" spans="1:14" s="57" customFormat="1" ht="17.5" customHeight="1" x14ac:dyDescent="0.35">
      <c r="A43" s="209"/>
      <c r="B43" s="210"/>
      <c r="C43" s="210"/>
      <c r="D43" s="210"/>
      <c r="E43" s="210"/>
      <c r="F43" s="210"/>
      <c r="G43" s="210"/>
      <c r="H43" s="210"/>
      <c r="I43" s="210"/>
      <c r="J43" s="210"/>
      <c r="K43" s="210"/>
      <c r="L43" s="211"/>
    </row>
    <row r="44" spans="1:14" s="57" customFormat="1" ht="16.5" customHeight="1" x14ac:dyDescent="0.35">
      <c r="A44" s="381" t="s">
        <v>274</v>
      </c>
      <c r="B44" s="382"/>
      <c r="C44" s="382"/>
      <c r="D44" s="382"/>
      <c r="E44" s="382"/>
      <c r="F44" s="382"/>
      <c r="G44" s="382"/>
      <c r="H44" s="382"/>
      <c r="I44" s="382"/>
      <c r="J44" s="382"/>
      <c r="K44" s="382"/>
      <c r="L44" s="383"/>
    </row>
    <row r="45" spans="1:14" s="57" customFormat="1" ht="15" customHeight="1" x14ac:dyDescent="0.35">
      <c r="A45" s="212" t="s">
        <v>272</v>
      </c>
      <c r="B45" s="379" t="s">
        <v>172</v>
      </c>
      <c r="C45" s="379"/>
      <c r="D45" s="379"/>
      <c r="E45" s="379"/>
      <c r="F45" s="379"/>
      <c r="G45" s="379"/>
      <c r="H45" s="379"/>
      <c r="I45" s="379"/>
      <c r="J45" s="379"/>
      <c r="K45" s="379"/>
      <c r="L45" s="380"/>
    </row>
    <row r="46" spans="1:14" s="57" customFormat="1" ht="30.75" customHeight="1" x14ac:dyDescent="0.35">
      <c r="A46" s="213" t="s">
        <v>273</v>
      </c>
      <c r="B46" s="389" t="s">
        <v>275</v>
      </c>
      <c r="C46" s="389"/>
      <c r="D46" s="389"/>
      <c r="E46" s="389"/>
      <c r="F46" s="389"/>
      <c r="G46" s="389"/>
      <c r="H46" s="389"/>
      <c r="I46" s="389"/>
      <c r="J46" s="389"/>
      <c r="K46" s="389"/>
      <c r="L46" s="390"/>
    </row>
    <row r="47" spans="1:14" s="57" customFormat="1" ht="18" customHeight="1" x14ac:dyDescent="0.35">
      <c r="A47" s="157"/>
      <c r="B47" s="110"/>
      <c r="C47" s="110"/>
      <c r="D47" s="110"/>
      <c r="E47" s="110"/>
      <c r="F47" s="110"/>
      <c r="G47" s="110"/>
      <c r="H47" s="110"/>
      <c r="I47" s="110"/>
      <c r="J47" s="110"/>
      <c r="K47" s="110"/>
      <c r="L47" s="110"/>
    </row>
    <row r="48" spans="1:14" s="1" customFormat="1" ht="16.5" customHeight="1" x14ac:dyDescent="0.35">
      <c r="A48" s="391" t="s">
        <v>200</v>
      </c>
      <c r="B48" s="392"/>
      <c r="C48" s="392"/>
      <c r="D48" s="392"/>
      <c r="E48" s="392"/>
      <c r="F48" s="392"/>
      <c r="G48" s="392"/>
      <c r="H48" s="392"/>
      <c r="I48" s="392"/>
      <c r="J48" s="392"/>
      <c r="K48" s="392"/>
      <c r="L48" s="393"/>
    </row>
    <row r="49" spans="1:12" s="1" customFormat="1" ht="16.5" customHeight="1" x14ac:dyDescent="0.35">
      <c r="A49" s="216" t="s">
        <v>173</v>
      </c>
      <c r="B49" s="158"/>
      <c r="C49" s="158"/>
      <c r="D49" s="158"/>
      <c r="E49" s="158"/>
      <c r="F49" s="158"/>
      <c r="G49" s="158"/>
      <c r="H49" s="158"/>
      <c r="I49" s="158"/>
      <c r="J49" s="158"/>
      <c r="K49" s="158"/>
      <c r="L49" s="159"/>
    </row>
    <row r="50" spans="1:12" ht="14.25" customHeight="1" x14ac:dyDescent="0.35">
      <c r="B50" s="82"/>
      <c r="C50" s="82"/>
      <c r="D50" s="82"/>
      <c r="E50" s="82"/>
      <c r="F50" s="82"/>
      <c r="G50" s="82"/>
      <c r="H50" s="82"/>
      <c r="I50" s="82"/>
      <c r="J50" s="82"/>
      <c r="K50" s="82"/>
      <c r="L50" s="82"/>
    </row>
    <row r="51" spans="1:12" ht="16.5" customHeight="1" x14ac:dyDescent="0.35">
      <c r="A51" s="160" t="s">
        <v>126</v>
      </c>
      <c r="B51" s="161"/>
      <c r="C51" s="161"/>
      <c r="D51" s="162"/>
      <c r="E51" s="161"/>
      <c r="F51" s="161"/>
      <c r="G51" s="161"/>
      <c r="H51" s="161"/>
      <c r="I51" s="161"/>
      <c r="J51" s="161"/>
      <c r="K51" s="161"/>
      <c r="L51" s="163"/>
    </row>
    <row r="52" spans="1:12" ht="15" customHeight="1" x14ac:dyDescent="0.35">
      <c r="A52" s="164"/>
      <c r="B52" s="165" t="s">
        <v>24</v>
      </c>
      <c r="C52" s="166" t="s">
        <v>428</v>
      </c>
      <c r="D52" s="166"/>
      <c r="E52" s="166"/>
      <c r="F52" s="166"/>
      <c r="G52" s="166"/>
      <c r="H52" s="166"/>
      <c r="I52" s="166"/>
      <c r="J52" s="166"/>
      <c r="K52" s="166"/>
      <c r="L52" s="167"/>
    </row>
    <row r="53" spans="1:12" ht="14.25" customHeight="1" x14ac:dyDescent="0.35">
      <c r="A53" s="164"/>
      <c r="B53" s="165" t="s">
        <v>41</v>
      </c>
      <c r="C53" s="166" t="s">
        <v>51</v>
      </c>
      <c r="D53" s="166"/>
      <c r="E53" s="166"/>
      <c r="F53" s="166"/>
      <c r="G53" s="166"/>
      <c r="H53" s="166"/>
      <c r="I53" s="166"/>
      <c r="J53" s="166"/>
      <c r="K53" s="166"/>
      <c r="L53" s="167"/>
    </row>
    <row r="54" spans="1:12" s="56" customFormat="1" ht="33.75" customHeight="1" x14ac:dyDescent="0.35">
      <c r="A54" s="164"/>
      <c r="B54" s="165" t="s">
        <v>24</v>
      </c>
      <c r="C54" s="342" t="s">
        <v>262</v>
      </c>
      <c r="D54" s="342"/>
      <c r="E54" s="342"/>
      <c r="F54" s="342"/>
      <c r="G54" s="342"/>
      <c r="H54" s="342"/>
      <c r="I54" s="342"/>
      <c r="J54" s="342"/>
      <c r="K54" s="342"/>
      <c r="L54" s="363"/>
    </row>
    <row r="55" spans="1:12" s="56" customFormat="1" ht="33.75" customHeight="1" x14ac:dyDescent="0.35">
      <c r="A55" s="164"/>
      <c r="B55" s="165" t="s">
        <v>263</v>
      </c>
      <c r="C55" s="342" t="s">
        <v>264</v>
      </c>
      <c r="D55" s="342"/>
      <c r="E55" s="342"/>
      <c r="F55" s="342"/>
      <c r="G55" s="342"/>
      <c r="H55" s="342"/>
      <c r="I55" s="342"/>
      <c r="J55" s="342"/>
      <c r="K55" s="342"/>
      <c r="L55" s="363"/>
    </row>
    <row r="56" spans="1:12" s="56" customFormat="1" ht="33.75" customHeight="1" x14ac:dyDescent="0.35">
      <c r="A56" s="164"/>
      <c r="B56" s="165" t="s">
        <v>328</v>
      </c>
      <c r="C56" s="342" t="s">
        <v>329</v>
      </c>
      <c r="D56" s="342"/>
      <c r="E56" s="342"/>
      <c r="F56" s="342"/>
      <c r="G56" s="342"/>
      <c r="H56" s="342"/>
      <c r="I56" s="342"/>
      <c r="J56" s="342"/>
      <c r="K56" s="342"/>
      <c r="L56" s="363"/>
    </row>
    <row r="57" spans="1:12" ht="30.75" customHeight="1" x14ac:dyDescent="0.35">
      <c r="A57" s="164"/>
      <c r="B57" s="165" t="s">
        <v>98</v>
      </c>
      <c r="C57" s="342" t="s">
        <v>99</v>
      </c>
      <c r="D57" s="342"/>
      <c r="E57" s="342"/>
      <c r="F57" s="342"/>
      <c r="G57" s="342"/>
      <c r="H57" s="342"/>
      <c r="I57" s="342"/>
      <c r="J57" s="342"/>
      <c r="K57" s="342"/>
      <c r="L57" s="363"/>
    </row>
    <row r="58" spans="1:12" ht="30.75" customHeight="1" x14ac:dyDescent="0.35">
      <c r="A58" s="164"/>
      <c r="B58" s="165" t="s">
        <v>198</v>
      </c>
      <c r="C58" s="342" t="s">
        <v>199</v>
      </c>
      <c r="D58" s="342"/>
      <c r="E58" s="342"/>
      <c r="F58" s="342"/>
      <c r="G58" s="342"/>
      <c r="H58" s="342"/>
      <c r="I58" s="342"/>
      <c r="J58" s="342"/>
      <c r="K58" s="342"/>
      <c r="L58" s="363"/>
    </row>
    <row r="59" spans="1:12" ht="31" customHeight="1" x14ac:dyDescent="0.35">
      <c r="A59" s="164"/>
      <c r="B59" s="165" t="s">
        <v>163</v>
      </c>
      <c r="C59" s="342" t="s">
        <v>468</v>
      </c>
      <c r="D59" s="343"/>
      <c r="E59" s="343"/>
      <c r="F59" s="343"/>
      <c r="G59" s="343"/>
      <c r="H59" s="343"/>
      <c r="I59" s="343"/>
      <c r="J59" s="343"/>
      <c r="K59" s="343"/>
      <c r="L59" s="344"/>
    </row>
    <row r="60" spans="1:12" ht="14.5" customHeight="1" x14ac:dyDescent="0.35">
      <c r="A60" s="164"/>
      <c r="B60" s="165" t="s">
        <v>394</v>
      </c>
      <c r="C60" s="342" t="s">
        <v>395</v>
      </c>
      <c r="D60" s="342"/>
      <c r="E60" s="342"/>
      <c r="F60" s="342"/>
      <c r="G60" s="342"/>
      <c r="H60" s="342"/>
      <c r="I60" s="342"/>
      <c r="J60" s="342"/>
      <c r="K60" s="342"/>
      <c r="L60" s="363"/>
    </row>
    <row r="61" spans="1:12" x14ac:dyDescent="0.35">
      <c r="A61" s="164"/>
      <c r="B61" s="165" t="s">
        <v>36</v>
      </c>
      <c r="C61" s="166" t="s">
        <v>37</v>
      </c>
      <c r="D61" s="166"/>
      <c r="E61" s="166"/>
      <c r="F61" s="166"/>
      <c r="G61" s="166"/>
      <c r="H61" s="166"/>
      <c r="I61" s="166"/>
      <c r="J61" s="166"/>
      <c r="K61" s="166"/>
      <c r="L61" s="167"/>
    </row>
    <row r="62" spans="1:12" x14ac:dyDescent="0.35">
      <c r="A62" s="168"/>
      <c r="B62" s="169" t="s">
        <v>119</v>
      </c>
      <c r="C62" s="170" t="s">
        <v>120</v>
      </c>
      <c r="D62" s="170"/>
      <c r="E62" s="170"/>
      <c r="F62" s="170"/>
      <c r="G62" s="170"/>
      <c r="H62" s="170"/>
      <c r="I62" s="170"/>
      <c r="J62" s="170"/>
      <c r="K62" s="170"/>
      <c r="L62" s="171"/>
    </row>
    <row r="64" spans="1:12" x14ac:dyDescent="0.35">
      <c r="A64" s="1" t="s">
        <v>52</v>
      </c>
    </row>
    <row r="65" spans="1:1" x14ac:dyDescent="0.35">
      <c r="A65" s="1" t="s">
        <v>53</v>
      </c>
    </row>
    <row r="66" spans="1:1" x14ac:dyDescent="0.35">
      <c r="A66" t="s">
        <v>54</v>
      </c>
    </row>
    <row r="67" spans="1:1" x14ac:dyDescent="0.35">
      <c r="A67" s="43" t="s">
        <v>55</v>
      </c>
    </row>
    <row r="68" spans="1:1" x14ac:dyDescent="0.35">
      <c r="A68" s="43" t="s">
        <v>56</v>
      </c>
    </row>
    <row r="69" spans="1:1" x14ac:dyDescent="0.35">
      <c r="A69" s="43"/>
    </row>
    <row r="70" spans="1:1" x14ac:dyDescent="0.35">
      <c r="A70" s="1" t="s">
        <v>396</v>
      </c>
    </row>
    <row r="71" spans="1:1" x14ac:dyDescent="0.35">
      <c r="A71" t="s">
        <v>54</v>
      </c>
    </row>
    <row r="72" spans="1:1" x14ac:dyDescent="0.35">
      <c r="A72" s="43" t="s">
        <v>397</v>
      </c>
    </row>
    <row r="73" spans="1:1" x14ac:dyDescent="0.35">
      <c r="A73" s="43"/>
    </row>
    <row r="74" spans="1:1" x14ac:dyDescent="0.35">
      <c r="A74" s="229" t="s">
        <v>341</v>
      </c>
    </row>
    <row r="75" spans="1:1" x14ac:dyDescent="0.35">
      <c r="A75" s="228" t="s">
        <v>342</v>
      </c>
    </row>
    <row r="76" spans="1:1" x14ac:dyDescent="0.35">
      <c r="A76" s="43" t="s">
        <v>343</v>
      </c>
    </row>
    <row r="77" spans="1:1" x14ac:dyDescent="0.35">
      <c r="A77" s="43"/>
    </row>
    <row r="78" spans="1:1" x14ac:dyDescent="0.35">
      <c r="A78" s="1" t="s">
        <v>161</v>
      </c>
    </row>
    <row r="79" spans="1:1" x14ac:dyDescent="0.35">
      <c r="A79" s="43" t="s">
        <v>265</v>
      </c>
    </row>
    <row r="81" spans="1:12" x14ac:dyDescent="0.35">
      <c r="A81" s="1" t="s">
        <v>23</v>
      </c>
    </row>
    <row r="82" spans="1:12" ht="29.25" customHeight="1" x14ac:dyDescent="0.35">
      <c r="A82" s="388" t="s">
        <v>398</v>
      </c>
      <c r="B82" s="388"/>
      <c r="C82" s="388"/>
      <c r="D82" s="388"/>
      <c r="E82" s="388"/>
      <c r="F82" s="388"/>
      <c r="G82" s="388"/>
      <c r="H82" s="388"/>
      <c r="I82" s="388"/>
      <c r="J82" s="388"/>
      <c r="K82" s="388"/>
      <c r="L82" s="388"/>
    </row>
    <row r="87" spans="1:12" ht="16" customHeight="1" x14ac:dyDescent="0.35"/>
    <row r="88" spans="1:12" ht="29.25" customHeight="1" x14ac:dyDescent="0.35"/>
  </sheetData>
  <mergeCells count="48">
    <mergeCell ref="A17:D17"/>
    <mergeCell ref="B13:L13"/>
    <mergeCell ref="B14:L14"/>
    <mergeCell ref="B15:L15"/>
    <mergeCell ref="A82:L82"/>
    <mergeCell ref="B41:L41"/>
    <mergeCell ref="B42:L42"/>
    <mergeCell ref="B45:L45"/>
    <mergeCell ref="B46:L46"/>
    <mergeCell ref="A48:L48"/>
    <mergeCell ref="C54:L54"/>
    <mergeCell ref="C57:L57"/>
    <mergeCell ref="C58:L58"/>
    <mergeCell ref="C55:L55"/>
    <mergeCell ref="C60:L60"/>
    <mergeCell ref="A44:L44"/>
    <mergeCell ref="B11:L11"/>
    <mergeCell ref="C56:L56"/>
    <mergeCell ref="B40:L40"/>
    <mergeCell ref="B27:L27"/>
    <mergeCell ref="B28:L28"/>
    <mergeCell ref="B29:L29"/>
    <mergeCell ref="B30:L30"/>
    <mergeCell ref="B31:L31"/>
    <mergeCell ref="B32:L32"/>
    <mergeCell ref="B33:L33"/>
    <mergeCell ref="A34:L34"/>
    <mergeCell ref="B35:L35"/>
    <mergeCell ref="B36:L36"/>
    <mergeCell ref="B38:L38"/>
    <mergeCell ref="B37:L37"/>
    <mergeCell ref="B39:L39"/>
    <mergeCell ref="C59:L59"/>
    <mergeCell ref="A26:L26"/>
    <mergeCell ref="A1:L1"/>
    <mergeCell ref="A4:L4"/>
    <mergeCell ref="N4:R4"/>
    <mergeCell ref="A5:L5"/>
    <mergeCell ref="A6:L6"/>
    <mergeCell ref="A19:L19"/>
    <mergeCell ref="A20:L20"/>
    <mergeCell ref="A21:L21"/>
    <mergeCell ref="A22:L22"/>
    <mergeCell ref="A23:L23"/>
    <mergeCell ref="A25:L25"/>
    <mergeCell ref="B7:L7"/>
    <mergeCell ref="B8:L8"/>
    <mergeCell ref="A10:L10"/>
  </mergeCells>
  <hyperlinks>
    <hyperlink ref="A67" r:id="rId1" xr:uid="{C9866D44-2827-49D7-B9C3-89CF23FACDC1}"/>
    <hyperlink ref="A68" r:id="rId2" xr:uid="{66F54200-A2AB-43DA-A0E0-F2A25A075EE5}"/>
    <hyperlink ref="A79" r:id="rId3" xr:uid="{A0F8DE06-D9FC-495F-9A01-AA199CB82365}"/>
    <hyperlink ref="A48:L48" r:id="rId4" display="LETS START (visual directions as pdf)" xr:uid="{0D075873-7EBB-4309-B00A-6A62EA192A0C}"/>
    <hyperlink ref="A49" r:id="rId5" xr:uid="{25154A32-BA44-496E-9945-086DE0980DBD}"/>
    <hyperlink ref="A76" r:id="rId6" xr:uid="{AA792CE4-4071-4CE8-87C6-993A0BA6C6A5}"/>
    <hyperlink ref="E17" r:id="rId7" xr:uid="{218FEB9D-6782-4420-9DCE-4D6F20EDE6D5}"/>
    <hyperlink ref="A72" r:id="rId8" xr:uid="{E4DF21D7-58D7-F94D-825D-01575427A9FE}"/>
  </hyperlinks>
  <pageMargins left="0.7" right="0.7" top="0.75" bottom="0.75" header="0.3" footer="0.3"/>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defaultColWidth="8.81640625" defaultRowHeight="14.5" x14ac:dyDescent="0.35"/>
  <cols>
    <col min="1" max="2" width="8.6328125" style="57"/>
    <col min="3" max="3" width="3.6328125" style="57" customWidth="1"/>
    <col min="4" max="4" width="46.453125" style="57" customWidth="1"/>
  </cols>
  <sheetData>
    <row r="1" spans="1:4" x14ac:dyDescent="0.35">
      <c r="A1" s="57" t="s">
        <v>118</v>
      </c>
    </row>
    <row r="3" spans="1:4" s="1" customFormat="1" x14ac:dyDescent="0.35">
      <c r="A3" s="438" t="s">
        <v>116</v>
      </c>
      <c r="B3" s="438"/>
      <c r="C3" s="438"/>
      <c r="D3" s="125" t="s">
        <v>115</v>
      </c>
    </row>
    <row r="4" spans="1:4" ht="30" customHeight="1" x14ac:dyDescent="0.35">
      <c r="A4" s="439" t="s">
        <v>112</v>
      </c>
      <c r="B4" s="439"/>
      <c r="C4" s="439"/>
      <c r="D4" s="172" t="s">
        <v>182</v>
      </c>
    </row>
    <row r="5" spans="1:4" ht="43.5" x14ac:dyDescent="0.35">
      <c r="A5" s="443" t="s">
        <v>183</v>
      </c>
      <c r="B5" s="440"/>
      <c r="C5" s="440"/>
      <c r="D5" s="173" t="s">
        <v>201</v>
      </c>
    </row>
    <row r="6" spans="1:4" ht="57.5" customHeight="1" x14ac:dyDescent="0.35">
      <c r="A6" s="441" t="s">
        <v>184</v>
      </c>
      <c r="B6" s="441"/>
      <c r="C6" s="441"/>
      <c r="D6" s="174" t="s">
        <v>185</v>
      </c>
    </row>
    <row r="7" spans="1:4" ht="29" x14ac:dyDescent="0.35">
      <c r="A7" s="442" t="s">
        <v>21</v>
      </c>
      <c r="B7" s="442"/>
      <c r="C7" s="442"/>
      <c r="D7" s="175" t="s">
        <v>186</v>
      </c>
    </row>
    <row r="11" spans="1:4" x14ac:dyDescent="0.35">
      <c r="A11" s="439" t="s">
        <v>112</v>
      </c>
      <c r="B11" s="439"/>
      <c r="C11" s="439"/>
    </row>
    <row r="12" spans="1:4" x14ac:dyDescent="0.35">
      <c r="A12" s="440" t="s">
        <v>113</v>
      </c>
      <c r="B12" s="440"/>
      <c r="C12" s="440"/>
    </row>
    <row r="13" spans="1:4" x14ac:dyDescent="0.35">
      <c r="A13" s="441" t="s">
        <v>114</v>
      </c>
      <c r="B13" s="441"/>
      <c r="C13" s="441"/>
    </row>
    <row r="14" spans="1:4" x14ac:dyDescent="0.35">
      <c r="A14" s="442" t="s">
        <v>21</v>
      </c>
      <c r="B14" s="442"/>
      <c r="C14" s="442"/>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7FA9C-0500-8E4A-A9C4-1B25444775C1}">
  <dimension ref="A1:F15"/>
  <sheetViews>
    <sheetView zoomScale="160" zoomScaleNormal="160" workbookViewId="0">
      <selection activeCell="G18" sqref="G18"/>
    </sheetView>
  </sheetViews>
  <sheetFormatPr defaultColWidth="8.81640625" defaultRowHeight="14.5" x14ac:dyDescent="0.35"/>
  <cols>
    <col min="1" max="1" width="34.1796875" customWidth="1"/>
    <col min="2" max="2" width="13.36328125" customWidth="1"/>
    <col min="3" max="3" width="14.36328125" customWidth="1"/>
    <col min="4" max="4" width="13.81640625" customWidth="1"/>
    <col min="5" max="5" width="13.453125" customWidth="1"/>
    <col min="6" max="6" width="14.453125" customWidth="1"/>
  </cols>
  <sheetData>
    <row r="1" spans="1:6" x14ac:dyDescent="0.35">
      <c r="A1" t="s">
        <v>462</v>
      </c>
    </row>
    <row r="2" spans="1:6" x14ac:dyDescent="0.35">
      <c r="A2" t="s">
        <v>461</v>
      </c>
    </row>
    <row r="3" spans="1:6" ht="32" customHeight="1" x14ac:dyDescent="0.35">
      <c r="A3" s="36" t="s">
        <v>461</v>
      </c>
      <c r="B3" s="35" t="s">
        <v>460</v>
      </c>
      <c r="C3" s="35" t="s">
        <v>459</v>
      </c>
      <c r="D3" s="35" t="s">
        <v>458</v>
      </c>
      <c r="E3" s="35" t="s">
        <v>457</v>
      </c>
      <c r="F3" s="321"/>
    </row>
    <row r="4" spans="1:6" ht="17.5" customHeight="1" x14ac:dyDescent="0.35">
      <c r="A4" s="323" t="s">
        <v>448</v>
      </c>
      <c r="B4" s="322"/>
      <c r="C4" s="322"/>
      <c r="D4" s="322"/>
      <c r="E4" s="322"/>
      <c r="F4" s="321"/>
    </row>
    <row r="5" spans="1:6" ht="17.5" customHeight="1" x14ac:dyDescent="0.35">
      <c r="A5" s="319" t="s">
        <v>456</v>
      </c>
      <c r="B5" s="320"/>
      <c r="C5" s="320"/>
      <c r="D5" s="320"/>
      <c r="E5" s="319"/>
      <c r="F5" s="321"/>
    </row>
    <row r="6" spans="1:6" ht="17.5" customHeight="1" x14ac:dyDescent="0.35">
      <c r="A6" s="37" t="s">
        <v>455</v>
      </c>
      <c r="B6" s="38" t="s">
        <v>454</v>
      </c>
      <c r="C6" s="311">
        <v>0.17499999999999999</v>
      </c>
      <c r="D6" s="38" t="s">
        <v>453</v>
      </c>
      <c r="E6" s="309">
        <v>29.8</v>
      </c>
      <c r="F6" s="321"/>
    </row>
    <row r="7" spans="1:6" ht="17.5" customHeight="1" x14ac:dyDescent="0.35">
      <c r="A7" s="37" t="s">
        <v>451</v>
      </c>
      <c r="B7" s="38">
        <v>2023</v>
      </c>
      <c r="C7" s="311">
        <f>(2517+4633+15091+15571)/1000000</f>
        <v>3.7811999999999998E-2</v>
      </c>
      <c r="D7" s="38" t="s">
        <v>452</v>
      </c>
      <c r="E7" s="309">
        <f>0.992+1.205+5.344+8.335</f>
        <v>15.876000000000001</v>
      </c>
      <c r="F7" s="321"/>
    </row>
    <row r="8" spans="1:6" ht="17.5" customHeight="1" x14ac:dyDescent="0.35">
      <c r="A8" s="37" t="s">
        <v>451</v>
      </c>
      <c r="B8" s="38" t="s">
        <v>450</v>
      </c>
      <c r="C8" s="311">
        <v>2.2116E-2</v>
      </c>
      <c r="D8" s="38" t="s">
        <v>449</v>
      </c>
      <c r="E8" s="309">
        <v>4.5599999999999996</v>
      </c>
      <c r="F8" s="321"/>
    </row>
    <row r="9" spans="1:6" s="57" customFormat="1" x14ac:dyDescent="0.35">
      <c r="A9" s="319" t="s">
        <v>448</v>
      </c>
      <c r="B9" s="320"/>
      <c r="C9" s="320"/>
      <c r="D9" s="320"/>
      <c r="E9" s="319"/>
    </row>
    <row r="10" spans="1:6" s="57" customFormat="1" ht="29" x14ac:dyDescent="0.35">
      <c r="A10" s="37" t="s">
        <v>447</v>
      </c>
      <c r="B10" s="38" t="s">
        <v>446</v>
      </c>
      <c r="C10" s="311">
        <v>4.0999999999999996</v>
      </c>
      <c r="D10" s="38" t="s">
        <v>443</v>
      </c>
      <c r="E10" s="309" t="s">
        <v>443</v>
      </c>
      <c r="F10" s="318"/>
    </row>
    <row r="11" spans="1:6" s="57" customFormat="1" x14ac:dyDescent="0.35">
      <c r="A11" s="37" t="s">
        <v>445</v>
      </c>
      <c r="B11" s="38" t="s">
        <v>444</v>
      </c>
      <c r="C11" s="311">
        <v>0.63121000000000005</v>
      </c>
      <c r="D11" s="38" t="s">
        <v>443</v>
      </c>
      <c r="E11" s="309" t="s">
        <v>443</v>
      </c>
      <c r="F11" s="318"/>
    </row>
    <row r="12" spans="1:6" s="56" customFormat="1" x14ac:dyDescent="0.35">
      <c r="A12" s="317" t="s">
        <v>442</v>
      </c>
      <c r="B12" s="315"/>
      <c r="C12" s="316"/>
      <c r="D12" s="315"/>
      <c r="E12" s="314"/>
      <c r="F12" s="313"/>
    </row>
    <row r="13" spans="1:6" x14ac:dyDescent="0.35">
      <c r="A13" s="37" t="s">
        <v>441</v>
      </c>
      <c r="B13" s="21">
        <v>2021</v>
      </c>
      <c r="C13" s="21" t="s">
        <v>438</v>
      </c>
      <c r="D13" s="38" t="s">
        <v>440</v>
      </c>
      <c r="E13" s="21" t="s">
        <v>438</v>
      </c>
    </row>
    <row r="14" spans="1:6" x14ac:dyDescent="0.35">
      <c r="A14" s="37" t="s">
        <v>439</v>
      </c>
      <c r="B14" s="21">
        <v>2021</v>
      </c>
      <c r="C14" s="21" t="s">
        <v>438</v>
      </c>
      <c r="D14" s="312">
        <v>2000</v>
      </c>
      <c r="E14" s="21" t="s">
        <v>438</v>
      </c>
    </row>
    <row r="15" spans="1:6" x14ac:dyDescent="0.35">
      <c r="A15" s="37" t="s">
        <v>437</v>
      </c>
      <c r="B15" s="38" t="s">
        <v>436</v>
      </c>
      <c r="C15" s="311">
        <v>1</v>
      </c>
      <c r="D15" s="310">
        <v>200</v>
      </c>
      <c r="E15" s="309">
        <v>200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CEE0E-0924-954A-8EB1-099546BF662D}">
  <dimension ref="A1:T26"/>
  <sheetViews>
    <sheetView topLeftCell="A3" zoomScale="142" workbookViewId="0">
      <selection activeCell="J8" sqref="J8"/>
    </sheetView>
  </sheetViews>
  <sheetFormatPr defaultColWidth="10.90625" defaultRowHeight="14.5" x14ac:dyDescent="0.35"/>
  <cols>
    <col min="1" max="1" width="17.6328125" bestFit="1" customWidth="1"/>
    <col min="3" max="3" width="18.6328125" customWidth="1"/>
  </cols>
  <sheetData>
    <row r="1" spans="1:20" x14ac:dyDescent="0.35">
      <c r="A1" s="1" t="s">
        <v>393</v>
      </c>
    </row>
    <row r="2" spans="1:20" ht="33" customHeight="1" x14ac:dyDescent="0.4">
      <c r="A2" s="444" t="s">
        <v>421</v>
      </c>
      <c r="B2" s="445"/>
      <c r="C2" s="445"/>
      <c r="D2" s="445"/>
      <c r="E2" s="445"/>
      <c r="F2" s="445"/>
      <c r="G2" s="445"/>
      <c r="H2" s="445"/>
      <c r="I2" s="445"/>
      <c r="J2" s="445"/>
      <c r="K2" s="445"/>
      <c r="L2" s="445"/>
      <c r="M2" s="445"/>
      <c r="N2" s="445"/>
      <c r="O2" s="445"/>
      <c r="P2" s="445"/>
      <c r="Q2" s="445"/>
      <c r="R2" s="445"/>
      <c r="S2" s="445"/>
      <c r="T2" s="445"/>
    </row>
    <row r="3" spans="1:20" ht="15" thickBot="1" x14ac:dyDescent="0.4"/>
    <row r="4" spans="1:20" ht="43.5" x14ac:dyDescent="0.35">
      <c r="A4" s="262" t="s">
        <v>352</v>
      </c>
      <c r="B4" s="263" t="s">
        <v>353</v>
      </c>
      <c r="C4" s="264" t="s">
        <v>420</v>
      </c>
      <c r="D4" s="265" t="s">
        <v>354</v>
      </c>
      <c r="E4" s="265" t="s">
        <v>355</v>
      </c>
      <c r="F4" s="265" t="s">
        <v>356</v>
      </c>
      <c r="G4" s="265" t="s">
        <v>357</v>
      </c>
      <c r="H4" s="265" t="s">
        <v>358</v>
      </c>
      <c r="I4" s="266" t="s">
        <v>359</v>
      </c>
    </row>
    <row r="5" spans="1:20" x14ac:dyDescent="0.35">
      <c r="A5" s="267" t="s">
        <v>360</v>
      </c>
      <c r="B5" s="237">
        <v>64</v>
      </c>
      <c r="C5">
        <v>0</v>
      </c>
      <c r="D5" s="2">
        <v>8</v>
      </c>
      <c r="E5">
        <v>122</v>
      </c>
      <c r="F5">
        <v>0</v>
      </c>
      <c r="G5">
        <v>0</v>
      </c>
      <c r="H5">
        <v>0</v>
      </c>
      <c r="I5" s="238">
        <f t="shared" ref="I5:I26" si="0">AVERAGE(F5:H5)</f>
        <v>0</v>
      </c>
    </row>
    <row r="6" spans="1:20" x14ac:dyDescent="0.35">
      <c r="A6" s="268" t="s">
        <v>361</v>
      </c>
      <c r="B6" s="237">
        <v>112</v>
      </c>
      <c r="C6" s="237">
        <v>11.6</v>
      </c>
      <c r="D6" s="2" t="s">
        <v>362</v>
      </c>
      <c r="E6">
        <v>81</v>
      </c>
      <c r="F6">
        <v>2.8</v>
      </c>
      <c r="G6">
        <v>4.7</v>
      </c>
      <c r="H6">
        <v>4.2</v>
      </c>
      <c r="I6" s="238">
        <f t="shared" si="0"/>
        <v>3.9</v>
      </c>
    </row>
    <row r="7" spans="1:20" x14ac:dyDescent="0.35">
      <c r="A7" s="268" t="s">
        <v>363</v>
      </c>
      <c r="B7" s="237">
        <v>100</v>
      </c>
      <c r="C7">
        <v>14.1</v>
      </c>
      <c r="D7" s="2" t="s">
        <v>362</v>
      </c>
      <c r="E7">
        <v>13</v>
      </c>
      <c r="F7">
        <v>10</v>
      </c>
      <c r="G7">
        <v>-1.3</v>
      </c>
      <c r="H7">
        <v>5.4</v>
      </c>
      <c r="I7" s="238">
        <f t="shared" si="0"/>
        <v>4.7</v>
      </c>
    </row>
    <row r="8" spans="1:20" x14ac:dyDescent="0.35">
      <c r="A8" s="268" t="s">
        <v>364</v>
      </c>
      <c r="B8" s="237">
        <v>97</v>
      </c>
      <c r="C8">
        <v>14.1</v>
      </c>
      <c r="D8" s="2" t="s">
        <v>365</v>
      </c>
      <c r="E8">
        <v>147</v>
      </c>
      <c r="F8">
        <v>3.8</v>
      </c>
      <c r="G8">
        <v>6.3</v>
      </c>
      <c r="H8">
        <v>4</v>
      </c>
      <c r="I8" s="238">
        <f t="shared" si="0"/>
        <v>4.7</v>
      </c>
      <c r="J8" s="270" t="s">
        <v>423</v>
      </c>
    </row>
    <row r="9" spans="1:20" x14ac:dyDescent="0.35">
      <c r="A9" s="268" t="s">
        <v>366</v>
      </c>
      <c r="B9" s="237">
        <v>112</v>
      </c>
      <c r="C9">
        <v>16.5</v>
      </c>
      <c r="D9" s="2" t="s">
        <v>367</v>
      </c>
      <c r="E9">
        <v>103</v>
      </c>
      <c r="F9">
        <v>5.9</v>
      </c>
      <c r="G9">
        <v>5.0999999999999996</v>
      </c>
      <c r="H9">
        <v>5.5</v>
      </c>
      <c r="I9" s="238">
        <f t="shared" si="0"/>
        <v>5.5</v>
      </c>
      <c r="J9" s="270" t="s">
        <v>422</v>
      </c>
    </row>
    <row r="10" spans="1:20" x14ac:dyDescent="0.35">
      <c r="A10" s="268" t="s">
        <v>368</v>
      </c>
      <c r="B10" s="237">
        <v>100</v>
      </c>
      <c r="C10">
        <v>16.600000000000001</v>
      </c>
      <c r="D10" s="2" t="s">
        <v>369</v>
      </c>
      <c r="E10">
        <v>26</v>
      </c>
      <c r="F10">
        <v>5.5</v>
      </c>
      <c r="G10">
        <v>5.5</v>
      </c>
      <c r="H10">
        <v>5.5</v>
      </c>
      <c r="I10" s="238">
        <f t="shared" si="0"/>
        <v>5.5</v>
      </c>
    </row>
    <row r="11" spans="1:20" x14ac:dyDescent="0.35">
      <c r="A11" s="268" t="s">
        <v>370</v>
      </c>
      <c r="B11" s="237">
        <v>112</v>
      </c>
      <c r="C11" s="237">
        <v>16.600000000000001</v>
      </c>
      <c r="D11" s="2" t="s">
        <v>362</v>
      </c>
      <c r="E11">
        <v>81</v>
      </c>
      <c r="F11">
        <v>3.8</v>
      </c>
      <c r="G11">
        <v>6.6</v>
      </c>
      <c r="H11">
        <v>6.1</v>
      </c>
      <c r="I11" s="238">
        <f t="shared" si="0"/>
        <v>5.5</v>
      </c>
      <c r="J11" s="270" t="s">
        <v>422</v>
      </c>
    </row>
    <row r="12" spans="1:20" x14ac:dyDescent="0.35">
      <c r="A12" s="268" t="s">
        <v>371</v>
      </c>
      <c r="B12" s="237">
        <v>100</v>
      </c>
      <c r="C12" s="237">
        <v>17.8</v>
      </c>
      <c r="D12" s="2" t="s">
        <v>372</v>
      </c>
      <c r="E12">
        <v>31</v>
      </c>
      <c r="F12">
        <v>5.9</v>
      </c>
      <c r="G12">
        <v>5.9</v>
      </c>
      <c r="H12">
        <v>5.9</v>
      </c>
      <c r="I12" s="238">
        <f t="shared" si="0"/>
        <v>5.9000000000000012</v>
      </c>
    </row>
    <row r="13" spans="1:20" x14ac:dyDescent="0.35">
      <c r="A13" s="268" t="s">
        <v>373</v>
      </c>
      <c r="B13" s="237">
        <v>100</v>
      </c>
      <c r="C13">
        <v>18</v>
      </c>
      <c r="D13" s="2" t="s">
        <v>374</v>
      </c>
      <c r="E13">
        <v>18</v>
      </c>
      <c r="F13">
        <v>11</v>
      </c>
      <c r="G13">
        <v>5.6</v>
      </c>
      <c r="H13">
        <v>8.1</v>
      </c>
      <c r="I13" s="238">
        <f t="shared" si="0"/>
        <v>8.2333333333333343</v>
      </c>
    </row>
    <row r="14" spans="1:20" x14ac:dyDescent="0.35">
      <c r="A14" s="268" t="s">
        <v>375</v>
      </c>
      <c r="B14" s="237">
        <v>112</v>
      </c>
      <c r="C14" s="237">
        <v>19.3</v>
      </c>
      <c r="D14" s="2" t="s">
        <v>362</v>
      </c>
      <c r="E14">
        <v>81</v>
      </c>
      <c r="F14">
        <v>4.4000000000000004</v>
      </c>
      <c r="G14">
        <v>7.8</v>
      </c>
      <c r="H14">
        <v>7.2</v>
      </c>
      <c r="I14" s="238">
        <f t="shared" si="0"/>
        <v>6.4666666666666659</v>
      </c>
    </row>
    <row r="15" spans="1:20" x14ac:dyDescent="0.35">
      <c r="A15" s="268" t="s">
        <v>376</v>
      </c>
      <c r="B15" s="237">
        <v>100</v>
      </c>
      <c r="C15">
        <v>20.399999999999999</v>
      </c>
      <c r="D15" s="2" t="s">
        <v>377</v>
      </c>
      <c r="E15">
        <v>48</v>
      </c>
      <c r="F15">
        <v>5.9</v>
      </c>
      <c r="G15">
        <v>5.9</v>
      </c>
      <c r="H15">
        <v>8.5</v>
      </c>
      <c r="I15" s="238">
        <f t="shared" si="0"/>
        <v>6.7666666666666666</v>
      </c>
    </row>
    <row r="16" spans="1:20" x14ac:dyDescent="0.35">
      <c r="A16" s="268" t="s">
        <v>378</v>
      </c>
      <c r="B16" s="237">
        <v>100</v>
      </c>
      <c r="C16" s="237">
        <v>20.399999999999999</v>
      </c>
      <c r="D16" s="2" t="s">
        <v>379</v>
      </c>
      <c r="E16">
        <v>45</v>
      </c>
      <c r="F16">
        <v>8.3000000000000007</v>
      </c>
      <c r="G16">
        <v>6.6</v>
      </c>
      <c r="H16">
        <v>5.5</v>
      </c>
      <c r="I16" s="238">
        <f t="shared" si="0"/>
        <v>6.8</v>
      </c>
    </row>
    <row r="17" spans="1:9" x14ac:dyDescent="0.35">
      <c r="A17" s="268" t="s">
        <v>380</v>
      </c>
      <c r="B17" s="237">
        <v>100</v>
      </c>
      <c r="C17" s="237">
        <v>20.5</v>
      </c>
      <c r="D17" s="2" t="s">
        <v>381</v>
      </c>
      <c r="E17">
        <v>2</v>
      </c>
      <c r="F17">
        <v>8.6</v>
      </c>
      <c r="G17">
        <v>5.9</v>
      </c>
      <c r="H17">
        <v>5.9</v>
      </c>
      <c r="I17" s="238">
        <f t="shared" si="0"/>
        <v>6.8</v>
      </c>
    </row>
    <row r="18" spans="1:9" x14ac:dyDescent="0.35">
      <c r="A18" s="268" t="s">
        <v>382</v>
      </c>
      <c r="B18" s="237">
        <v>1</v>
      </c>
      <c r="C18">
        <v>20.9</v>
      </c>
      <c r="D18" s="2" t="s">
        <v>372</v>
      </c>
      <c r="E18">
        <v>430</v>
      </c>
      <c r="F18">
        <v>6.4</v>
      </c>
      <c r="G18">
        <v>8.4</v>
      </c>
      <c r="H18">
        <v>6.1</v>
      </c>
      <c r="I18" s="238">
        <f t="shared" si="0"/>
        <v>6.9666666666666659</v>
      </c>
    </row>
    <row r="19" spans="1:9" x14ac:dyDescent="0.35">
      <c r="A19" s="268" t="s">
        <v>383</v>
      </c>
      <c r="B19" s="237">
        <v>1</v>
      </c>
      <c r="C19">
        <v>20.9</v>
      </c>
      <c r="D19" s="2" t="s">
        <v>372</v>
      </c>
      <c r="E19">
        <v>430</v>
      </c>
      <c r="F19">
        <v>6.4</v>
      </c>
      <c r="G19">
        <v>8.4</v>
      </c>
      <c r="H19">
        <v>6.1</v>
      </c>
      <c r="I19" s="238">
        <f t="shared" si="0"/>
        <v>6.9666666666666659</v>
      </c>
    </row>
    <row r="20" spans="1:9" x14ac:dyDescent="0.35">
      <c r="A20" s="268" t="s">
        <v>384</v>
      </c>
      <c r="B20" s="237">
        <v>112</v>
      </c>
      <c r="C20" s="237">
        <v>21.7</v>
      </c>
      <c r="D20" s="2" t="s">
        <v>362</v>
      </c>
      <c r="E20">
        <v>81</v>
      </c>
      <c r="F20">
        <v>4.9000000000000004</v>
      </c>
      <c r="G20">
        <v>8.6999999999999993</v>
      </c>
      <c r="H20">
        <v>8.1</v>
      </c>
      <c r="I20" s="238">
        <f t="shared" si="0"/>
        <v>7.2333333333333334</v>
      </c>
    </row>
    <row r="21" spans="1:9" x14ac:dyDescent="0.35">
      <c r="A21" s="268" t="s">
        <v>385</v>
      </c>
      <c r="B21" s="237">
        <v>112</v>
      </c>
      <c r="C21" s="237">
        <v>21.8</v>
      </c>
      <c r="D21" s="2" t="s">
        <v>362</v>
      </c>
      <c r="E21">
        <v>81</v>
      </c>
      <c r="F21">
        <v>5</v>
      </c>
      <c r="G21">
        <v>8.6999999999999993</v>
      </c>
      <c r="H21">
        <v>8.1</v>
      </c>
      <c r="I21" s="238">
        <f t="shared" si="0"/>
        <v>7.2666666666666657</v>
      </c>
    </row>
    <row r="22" spans="1:9" x14ac:dyDescent="0.35">
      <c r="A22" s="268" t="s">
        <v>386</v>
      </c>
      <c r="B22" s="237">
        <v>112</v>
      </c>
      <c r="C22" s="237">
        <v>24.2</v>
      </c>
      <c r="D22" s="2" t="s">
        <v>387</v>
      </c>
      <c r="E22">
        <v>80</v>
      </c>
      <c r="F22">
        <v>5.5</v>
      </c>
      <c r="G22">
        <v>9.6999999999999993</v>
      </c>
      <c r="H22">
        <v>9</v>
      </c>
      <c r="I22" s="238">
        <f t="shared" si="0"/>
        <v>8.0666666666666664</v>
      </c>
    </row>
    <row r="23" spans="1:9" x14ac:dyDescent="0.35">
      <c r="A23" s="268" t="s">
        <v>388</v>
      </c>
      <c r="B23" s="237">
        <v>100</v>
      </c>
      <c r="C23" s="237">
        <v>24.8</v>
      </c>
      <c r="D23" s="2" t="s">
        <v>389</v>
      </c>
      <c r="E23">
        <v>5</v>
      </c>
      <c r="F23">
        <v>8.4</v>
      </c>
      <c r="G23">
        <v>5.9</v>
      </c>
      <c r="H23">
        <v>10.5</v>
      </c>
      <c r="I23" s="238">
        <f t="shared" si="0"/>
        <v>8.2666666666666675</v>
      </c>
    </row>
    <row r="24" spans="1:9" x14ac:dyDescent="0.35">
      <c r="A24" s="268" t="s">
        <v>390</v>
      </c>
      <c r="B24" s="237">
        <v>1</v>
      </c>
      <c r="C24" s="237">
        <v>26.1</v>
      </c>
      <c r="D24" s="239" t="s">
        <v>372</v>
      </c>
      <c r="E24" s="237">
        <v>97</v>
      </c>
      <c r="F24" s="237">
        <v>5.9</v>
      </c>
      <c r="G24" s="237">
        <v>10.5</v>
      </c>
      <c r="H24" s="237">
        <v>9.6</v>
      </c>
      <c r="I24" s="238">
        <f t="shared" si="0"/>
        <v>8.6666666666666661</v>
      </c>
    </row>
    <row r="25" spans="1:9" x14ac:dyDescent="0.35">
      <c r="A25" s="268" t="s">
        <v>391</v>
      </c>
      <c r="B25" s="237">
        <v>1</v>
      </c>
      <c r="C25">
        <v>26.1</v>
      </c>
      <c r="D25" s="2" t="s">
        <v>372</v>
      </c>
      <c r="E25">
        <v>72</v>
      </c>
      <c r="F25">
        <v>5.9</v>
      </c>
      <c r="G25">
        <v>10.5</v>
      </c>
      <c r="H25">
        <v>9.6</v>
      </c>
      <c r="I25" s="238">
        <f t="shared" si="0"/>
        <v>8.6666666666666661</v>
      </c>
    </row>
    <row r="26" spans="1:9" ht="15" thickBot="1" x14ac:dyDescent="0.4">
      <c r="A26" s="269" t="s">
        <v>392</v>
      </c>
      <c r="B26" s="240">
        <v>1</v>
      </c>
      <c r="C26" s="241">
        <v>26.1</v>
      </c>
      <c r="D26" s="242" t="s">
        <v>372</v>
      </c>
      <c r="E26" s="241">
        <v>15</v>
      </c>
      <c r="F26" s="241">
        <v>5.9</v>
      </c>
      <c r="G26" s="241">
        <v>10.5</v>
      </c>
      <c r="H26" s="241">
        <v>9.6</v>
      </c>
      <c r="I26" s="243">
        <f t="shared" si="0"/>
        <v>8.6666666666666661</v>
      </c>
    </row>
  </sheetData>
  <mergeCells count="1">
    <mergeCell ref="A2:T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topLeftCell="A11" zoomScale="150" zoomScaleNormal="150" workbookViewId="0">
      <selection activeCell="E17" sqref="E17"/>
    </sheetView>
  </sheetViews>
  <sheetFormatPr defaultColWidth="8.81640625" defaultRowHeight="14.5" x14ac:dyDescent="0.35"/>
  <cols>
    <col min="1" max="1" width="12.453125" style="38" customWidth="1"/>
    <col min="2" max="2" width="7.81640625" style="147" customWidth="1"/>
    <col min="3" max="3" width="29.81640625" style="37" customWidth="1"/>
    <col min="4" max="4" width="7.36328125" style="40" customWidth="1"/>
    <col min="5" max="5" width="12.453125" style="40" customWidth="1"/>
    <col min="6" max="6" width="15.1796875" style="40" customWidth="1"/>
    <col min="7" max="7" width="12" style="38" customWidth="1"/>
    <col min="9" max="9" width="32.453125" style="52" customWidth="1"/>
    <col min="10" max="10" width="12.453125" style="52" customWidth="1"/>
    <col min="11" max="11" width="11" style="107" customWidth="1"/>
  </cols>
  <sheetData>
    <row r="1" spans="1:11" s="34" customFormat="1" ht="30.75" customHeight="1" x14ac:dyDescent="0.35">
      <c r="A1" s="35" t="s">
        <v>42</v>
      </c>
      <c r="B1" s="145" t="s">
        <v>48</v>
      </c>
      <c r="C1" s="36" t="s">
        <v>43</v>
      </c>
      <c r="D1" s="35" t="s">
        <v>241</v>
      </c>
      <c r="E1" s="35" t="s">
        <v>45</v>
      </c>
      <c r="F1" s="35" t="s">
        <v>44</v>
      </c>
      <c r="G1" s="35" t="s">
        <v>46</v>
      </c>
      <c r="I1" s="105" t="s">
        <v>57</v>
      </c>
      <c r="J1" s="105" t="s">
        <v>44</v>
      </c>
      <c r="K1" s="106" t="s">
        <v>46</v>
      </c>
    </row>
    <row r="2" spans="1:11" ht="43.5" x14ac:dyDescent="0.35">
      <c r="A2" s="55">
        <v>45413</v>
      </c>
      <c r="B2" s="146" t="s">
        <v>239</v>
      </c>
      <c r="C2" s="54" t="s">
        <v>243</v>
      </c>
      <c r="D2" s="53">
        <v>0.3</v>
      </c>
      <c r="E2" s="53" t="s">
        <v>240</v>
      </c>
      <c r="F2" s="53" t="s">
        <v>240</v>
      </c>
      <c r="G2" s="55"/>
      <c r="I2" s="37"/>
      <c r="J2" s="37"/>
      <c r="K2" s="39"/>
    </row>
    <row r="3" spans="1:11" ht="43.5" x14ac:dyDescent="0.35">
      <c r="A3" s="55">
        <v>45604</v>
      </c>
      <c r="B3" s="146" t="s">
        <v>242</v>
      </c>
      <c r="C3" s="54" t="s">
        <v>266</v>
      </c>
      <c r="D3" s="53">
        <v>4</v>
      </c>
      <c r="E3" s="53" t="s">
        <v>240</v>
      </c>
      <c r="F3" s="53" t="s">
        <v>240</v>
      </c>
      <c r="G3" s="55"/>
      <c r="I3" s="37"/>
      <c r="J3" s="37"/>
      <c r="K3" s="38"/>
    </row>
    <row r="4" spans="1:11" x14ac:dyDescent="0.35">
      <c r="A4" s="55">
        <v>45611</v>
      </c>
      <c r="B4" s="146" t="s">
        <v>267</v>
      </c>
      <c r="C4" s="54" t="s">
        <v>268</v>
      </c>
      <c r="D4" s="53">
        <v>0.3</v>
      </c>
      <c r="E4" s="53" t="s">
        <v>240</v>
      </c>
      <c r="F4" s="53" t="s">
        <v>240</v>
      </c>
      <c r="G4" s="55"/>
      <c r="I4" s="37"/>
      <c r="J4" s="37"/>
      <c r="K4" s="39"/>
    </row>
    <row r="5" spans="1:11" ht="40.5" customHeight="1" x14ac:dyDescent="0.35">
      <c r="A5" s="55">
        <v>45622</v>
      </c>
      <c r="B5" s="146" t="s">
        <v>292</v>
      </c>
      <c r="C5" s="54" t="s">
        <v>293</v>
      </c>
      <c r="D5" s="53">
        <v>4</v>
      </c>
      <c r="E5" s="53" t="s">
        <v>240</v>
      </c>
      <c r="F5" s="53" t="s">
        <v>240</v>
      </c>
      <c r="G5" s="55"/>
      <c r="I5" s="37"/>
      <c r="J5" s="37"/>
      <c r="K5" s="39"/>
    </row>
    <row r="6" spans="1:11" ht="38.5" customHeight="1" x14ac:dyDescent="0.35">
      <c r="A6" s="55">
        <v>45666</v>
      </c>
      <c r="B6" s="146" t="s">
        <v>301</v>
      </c>
      <c r="C6" s="54" t="s">
        <v>302</v>
      </c>
      <c r="D6" s="53">
        <v>3</v>
      </c>
      <c r="E6" s="53" t="s">
        <v>240</v>
      </c>
      <c r="F6" s="53" t="s">
        <v>240</v>
      </c>
      <c r="G6" s="55"/>
      <c r="I6" s="37"/>
      <c r="J6" s="37"/>
      <c r="K6" s="38"/>
    </row>
    <row r="7" spans="1:11" ht="58" x14ac:dyDescent="0.35">
      <c r="A7" s="55">
        <v>45670</v>
      </c>
      <c r="B7" s="146" t="s">
        <v>306</v>
      </c>
      <c r="C7" s="37" t="s">
        <v>303</v>
      </c>
      <c r="D7" s="53">
        <v>0.5</v>
      </c>
      <c r="E7" s="53" t="s">
        <v>240</v>
      </c>
      <c r="F7" s="53" t="s">
        <v>240</v>
      </c>
      <c r="G7" s="55"/>
      <c r="I7" s="37"/>
      <c r="J7" s="40"/>
      <c r="K7" s="39"/>
    </row>
    <row r="8" spans="1:11" ht="29" x14ac:dyDescent="0.35">
      <c r="A8" s="55">
        <v>45671</v>
      </c>
      <c r="B8" s="146" t="s">
        <v>333</v>
      </c>
      <c r="C8" s="54" t="s">
        <v>334</v>
      </c>
      <c r="D8" s="53">
        <v>0.5</v>
      </c>
      <c r="E8" s="53" t="s">
        <v>240</v>
      </c>
      <c r="F8" s="53" t="s">
        <v>240</v>
      </c>
      <c r="G8" s="55"/>
      <c r="I8" s="37"/>
      <c r="J8" s="40"/>
      <c r="K8" s="39"/>
    </row>
    <row r="9" spans="1:11" ht="29" x14ac:dyDescent="0.35">
      <c r="A9" s="55">
        <v>45681</v>
      </c>
      <c r="B9" s="146" t="s">
        <v>346</v>
      </c>
      <c r="C9" s="54" t="s">
        <v>347</v>
      </c>
      <c r="D9" s="53">
        <v>0.25</v>
      </c>
      <c r="E9" s="53" t="s">
        <v>240</v>
      </c>
      <c r="F9" s="53" t="s">
        <v>240</v>
      </c>
      <c r="G9" s="55"/>
      <c r="I9" s="37"/>
      <c r="J9" s="37"/>
      <c r="K9" s="39"/>
    </row>
    <row r="10" spans="1:11" ht="29" x14ac:dyDescent="0.35">
      <c r="A10" s="55">
        <v>45681</v>
      </c>
      <c r="B10" s="146" t="s">
        <v>350</v>
      </c>
      <c r="C10" s="54" t="s">
        <v>351</v>
      </c>
      <c r="D10" s="53">
        <v>1</v>
      </c>
      <c r="E10" s="53" t="s">
        <v>240</v>
      </c>
      <c r="F10" s="37" t="s">
        <v>348</v>
      </c>
      <c r="G10" s="55">
        <v>45678</v>
      </c>
      <c r="I10" s="37"/>
      <c r="J10" s="40"/>
      <c r="K10" s="39"/>
    </row>
    <row r="11" spans="1:11" ht="29" x14ac:dyDescent="0.35">
      <c r="A11" s="55">
        <v>45762</v>
      </c>
      <c r="B11" s="53">
        <v>1.5</v>
      </c>
      <c r="C11" s="54" t="s">
        <v>399</v>
      </c>
      <c r="D11" s="53">
        <v>12</v>
      </c>
      <c r="E11" s="53" t="s">
        <v>400</v>
      </c>
      <c r="F11" s="53" t="s">
        <v>401</v>
      </c>
      <c r="G11" s="55">
        <v>45702</v>
      </c>
      <c r="I11" s="37"/>
      <c r="J11" s="40"/>
      <c r="K11" s="39"/>
    </row>
    <row r="12" spans="1:11" ht="43.5" x14ac:dyDescent="0.35">
      <c r="A12" s="55">
        <v>45798</v>
      </c>
      <c r="B12" s="53">
        <v>1.6</v>
      </c>
      <c r="C12" s="54" t="s">
        <v>419</v>
      </c>
      <c r="D12" s="53">
        <v>6</v>
      </c>
      <c r="E12" s="53" t="s">
        <v>400</v>
      </c>
      <c r="F12" s="53" t="s">
        <v>418</v>
      </c>
      <c r="G12" s="55">
        <v>45702</v>
      </c>
      <c r="I12" s="37"/>
      <c r="J12" s="40"/>
      <c r="K12" s="39"/>
    </row>
    <row r="13" spans="1:11" ht="43.5" x14ac:dyDescent="0.35">
      <c r="A13" s="55">
        <v>45827</v>
      </c>
      <c r="B13" s="146" t="s">
        <v>434</v>
      </c>
      <c r="C13" s="54" t="s">
        <v>433</v>
      </c>
      <c r="D13" s="53">
        <v>5</v>
      </c>
      <c r="E13" s="53" t="s">
        <v>400</v>
      </c>
      <c r="F13" s="53" t="s">
        <v>418</v>
      </c>
      <c r="G13" s="55">
        <v>45702</v>
      </c>
      <c r="I13" s="37"/>
      <c r="J13" s="37"/>
      <c r="K13" s="38"/>
    </row>
    <row r="14" spans="1:11" x14ac:dyDescent="0.35">
      <c r="A14" s="55">
        <v>45831</v>
      </c>
      <c r="B14" s="53">
        <v>1.7</v>
      </c>
      <c r="C14" s="54" t="s">
        <v>435</v>
      </c>
      <c r="D14" s="53">
        <v>1.5</v>
      </c>
      <c r="E14" s="53" t="s">
        <v>400</v>
      </c>
      <c r="F14" s="53" t="s">
        <v>240</v>
      </c>
      <c r="G14" s="55">
        <v>45813</v>
      </c>
      <c r="I14" s="37"/>
      <c r="J14" s="37"/>
      <c r="K14" s="38"/>
    </row>
    <row r="15" spans="1:11" ht="43.5" x14ac:dyDescent="0.35">
      <c r="A15" s="55">
        <v>45895</v>
      </c>
      <c r="B15" s="146" t="s">
        <v>470</v>
      </c>
      <c r="C15" s="54" t="s">
        <v>471</v>
      </c>
      <c r="D15" s="53">
        <v>0.5</v>
      </c>
      <c r="E15" s="53" t="s">
        <v>240</v>
      </c>
      <c r="F15" s="53"/>
      <c r="G15" s="55"/>
      <c r="I15" s="37"/>
      <c r="J15" s="37"/>
      <c r="K15" s="38"/>
    </row>
    <row r="16" spans="1:11" ht="159.5" x14ac:dyDescent="0.35">
      <c r="A16" s="55">
        <v>45895</v>
      </c>
      <c r="B16" s="146" t="s">
        <v>472</v>
      </c>
      <c r="C16" s="54" t="s">
        <v>473</v>
      </c>
      <c r="D16" s="53">
        <v>1</v>
      </c>
      <c r="E16" s="53" t="s">
        <v>240</v>
      </c>
      <c r="F16" s="53"/>
      <c r="G16" s="55"/>
      <c r="I16" s="37"/>
      <c r="J16" s="37"/>
      <c r="K16" s="38"/>
    </row>
    <row r="17" spans="1:7" x14ac:dyDescent="0.35">
      <c r="A17" s="55"/>
      <c r="B17" s="146"/>
      <c r="C17" s="54"/>
      <c r="D17" s="53"/>
      <c r="E17" s="53"/>
      <c r="F17" s="53"/>
      <c r="G17" s="55"/>
    </row>
    <row r="18" spans="1:7" x14ac:dyDescent="0.35">
      <c r="A18" s="55"/>
      <c r="B18" s="146"/>
      <c r="C18" s="54"/>
      <c r="D18" s="53"/>
      <c r="E18" s="53"/>
      <c r="F18" s="53"/>
      <c r="G18" s="55"/>
    </row>
    <row r="19" spans="1:7" x14ac:dyDescent="0.35">
      <c r="A19" s="55"/>
      <c r="B19" s="53"/>
      <c r="C19" s="54"/>
      <c r="D19" s="53"/>
      <c r="E19" s="53"/>
      <c r="F19" s="53"/>
      <c r="G19" s="55"/>
    </row>
    <row r="20" spans="1:7" x14ac:dyDescent="0.35">
      <c r="A20" s="55"/>
      <c r="B20" s="53"/>
      <c r="C20" s="54"/>
      <c r="D20" s="53"/>
      <c r="E20" s="53"/>
      <c r="F20" s="53"/>
      <c r="G20" s="55"/>
    </row>
    <row r="21" spans="1:7" x14ac:dyDescent="0.35">
      <c r="A21" s="55"/>
      <c r="B21" s="53"/>
      <c r="C21" s="54"/>
      <c r="D21" s="53"/>
      <c r="E21" s="53"/>
      <c r="F21" s="53"/>
      <c r="G21" s="55"/>
    </row>
    <row r="22" spans="1:7" x14ac:dyDescent="0.35">
      <c r="A22" s="55"/>
      <c r="B22" s="53"/>
      <c r="C22" s="54"/>
      <c r="D22" s="53"/>
      <c r="E22" s="53"/>
      <c r="F22" s="53"/>
      <c r="G22" s="55"/>
    </row>
    <row r="23" spans="1:7" x14ac:dyDescent="0.35">
      <c r="A23" s="55"/>
      <c r="B23" s="53"/>
      <c r="C23" s="54"/>
      <c r="D23" s="53"/>
      <c r="E23" s="53"/>
      <c r="F23" s="53"/>
      <c r="G23" s="55"/>
    </row>
    <row r="24" spans="1:7" x14ac:dyDescent="0.35">
      <c r="A24" s="55"/>
      <c r="B24" s="53"/>
      <c r="C24" s="54"/>
      <c r="D24" s="53"/>
      <c r="E24" s="53"/>
      <c r="F24" s="53"/>
      <c r="G24" s="55"/>
    </row>
    <row r="25" spans="1:7" x14ac:dyDescent="0.35">
      <c r="A25" s="55"/>
      <c r="B25" s="53"/>
      <c r="C25" s="54"/>
      <c r="D25" s="53"/>
      <c r="E25" s="53"/>
      <c r="F25" s="53"/>
      <c r="G25" s="55"/>
    </row>
    <row r="26" spans="1:7" x14ac:dyDescent="0.35">
      <c r="A26" s="55"/>
      <c r="B26" s="53"/>
      <c r="C26" s="54"/>
      <c r="D26" s="53"/>
      <c r="E26" s="53"/>
      <c r="F26" s="53"/>
      <c r="G26" s="55"/>
    </row>
    <row r="27" spans="1:7" x14ac:dyDescent="0.35">
      <c r="A27" s="55"/>
      <c r="B27" s="53"/>
      <c r="E27" s="53"/>
      <c r="F27" s="53"/>
      <c r="G27" s="55"/>
    </row>
    <row r="28" spans="1:7" x14ac:dyDescent="0.35">
      <c r="A28" s="55"/>
      <c r="B28" s="53"/>
      <c r="C28" s="54"/>
      <c r="D28" s="53"/>
      <c r="E28" s="53"/>
      <c r="F28" s="53"/>
      <c r="G28" s="55"/>
    </row>
    <row r="29" spans="1:7" x14ac:dyDescent="0.35">
      <c r="A29" s="55"/>
      <c r="B29" s="53"/>
      <c r="C29" s="54"/>
      <c r="D29" s="53"/>
      <c r="E29" s="53"/>
      <c r="F29" s="53"/>
      <c r="G29" s="55"/>
    </row>
    <row r="30" spans="1:7" x14ac:dyDescent="0.35">
      <c r="A30" s="53"/>
      <c r="B30" s="53"/>
      <c r="E30" s="53"/>
      <c r="F30" s="53"/>
      <c r="G30" s="55"/>
    </row>
    <row r="31" spans="1:7" x14ac:dyDescent="0.35">
      <c r="A31" s="53"/>
      <c r="B31" s="53"/>
      <c r="E31" s="53"/>
      <c r="F31" s="53"/>
      <c r="G31" s="55"/>
    </row>
    <row r="32" spans="1:7" x14ac:dyDescent="0.35">
      <c r="A32" s="55"/>
      <c r="B32" s="53"/>
      <c r="C32" s="54"/>
      <c r="D32" s="53"/>
      <c r="E32" s="53"/>
      <c r="F32" s="53"/>
      <c r="G32" s="55"/>
    </row>
    <row r="33" spans="1:7" x14ac:dyDescent="0.35">
      <c r="A33" s="39"/>
      <c r="B33" s="38"/>
      <c r="G33" s="39"/>
    </row>
    <row r="34" spans="1:7" x14ac:dyDescent="0.35">
      <c r="A34" s="39"/>
      <c r="B34" s="38"/>
      <c r="G34" s="39"/>
    </row>
    <row r="35" spans="1:7" x14ac:dyDescent="0.35">
      <c r="A35" s="39"/>
      <c r="B35" s="38"/>
      <c r="G35" s="39"/>
    </row>
    <row r="36" spans="1:7" x14ac:dyDescent="0.35">
      <c r="A36" s="39"/>
      <c r="B36" s="38"/>
      <c r="G36" s="39"/>
    </row>
    <row r="37" spans="1:7" x14ac:dyDescent="0.35">
      <c r="A37" s="39"/>
      <c r="B37" s="38"/>
      <c r="G37" s="39"/>
    </row>
    <row r="38" spans="1:7" x14ac:dyDescent="0.35">
      <c r="A38" s="39"/>
      <c r="B38" s="38"/>
      <c r="G38" s="39"/>
    </row>
    <row r="39" spans="1:7" x14ac:dyDescent="0.35">
      <c r="A39" s="39"/>
      <c r="B39" s="38"/>
      <c r="G39" s="39"/>
    </row>
    <row r="40" spans="1:7" x14ac:dyDescent="0.35">
      <c r="A40" s="39"/>
      <c r="B40" s="38"/>
      <c r="G40" s="39"/>
    </row>
    <row r="41" spans="1:7" x14ac:dyDescent="0.35">
      <c r="A41" s="39"/>
      <c r="B41" s="38"/>
      <c r="G41" s="39"/>
    </row>
    <row r="42" spans="1:7" x14ac:dyDescent="0.35">
      <c r="A42" s="39"/>
      <c r="B42" s="38"/>
      <c r="G42" s="39"/>
    </row>
    <row r="43" spans="1:7" x14ac:dyDescent="0.35">
      <c r="A43" s="39"/>
      <c r="B43" s="38"/>
      <c r="G43" s="39"/>
    </row>
    <row r="44" spans="1:7" x14ac:dyDescent="0.35">
      <c r="A44" s="39"/>
      <c r="B44" s="38"/>
      <c r="G44" s="39"/>
    </row>
    <row r="45" spans="1:7" x14ac:dyDescent="0.35">
      <c r="A45" s="39"/>
      <c r="B45" s="38"/>
      <c r="G45" s="39"/>
    </row>
    <row r="46" spans="1:7" x14ac:dyDescent="0.35">
      <c r="A46" s="39"/>
      <c r="B46" s="38"/>
      <c r="G46" s="39"/>
    </row>
    <row r="47" spans="1:7" x14ac:dyDescent="0.35">
      <c r="A47" s="39"/>
      <c r="B47" s="41"/>
      <c r="G47" s="39"/>
    </row>
    <row r="48" spans="1:7" x14ac:dyDescent="0.35">
      <c r="A48" s="39"/>
      <c r="B48" s="41"/>
      <c r="G48" s="3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5"/>
  <sheetViews>
    <sheetView topLeftCell="A98" zoomScale="160" zoomScaleNormal="160" workbookViewId="0">
      <selection activeCell="N105" sqref="N105"/>
    </sheetView>
  </sheetViews>
  <sheetFormatPr defaultColWidth="8.81640625" defaultRowHeight="14.5" x14ac:dyDescent="0.35"/>
  <cols>
    <col min="1" max="1" width="39.453125" customWidth="1"/>
    <col min="2" max="2" width="11.81640625" bestFit="1" customWidth="1"/>
    <col min="3" max="3" width="9" style="2" customWidth="1"/>
    <col min="4" max="4" width="10.81640625" customWidth="1"/>
    <col min="5" max="5" width="10.453125" customWidth="1"/>
    <col min="6" max="6" width="10.1796875" customWidth="1"/>
    <col min="7" max="7" width="10.453125" customWidth="1"/>
    <col min="8" max="8" width="7.453125" hidden="1" customWidth="1"/>
    <col min="9" max="9" width="7.6328125" hidden="1" customWidth="1"/>
    <col min="10" max="12" width="8.6328125" hidden="1" customWidth="1"/>
    <col min="13" max="13" width="10.81640625" customWidth="1"/>
    <col min="14" max="14" width="42" style="2" customWidth="1"/>
    <col min="15" max="15" width="13" customWidth="1"/>
    <col min="16" max="16" width="9.81640625" customWidth="1"/>
    <col min="17" max="17" width="10.81640625" customWidth="1"/>
    <col min="18" max="18" width="21.453125" customWidth="1"/>
    <col min="19" max="19" width="10" customWidth="1"/>
    <col min="21" max="21" width="12.1796875" customWidth="1"/>
    <col min="25" max="25" width="17.453125" customWidth="1"/>
    <col min="26" max="26" width="19.1796875" customWidth="1"/>
    <col min="27" max="27" width="12" customWidth="1"/>
  </cols>
  <sheetData>
    <row r="1" spans="1:14" ht="21" x14ac:dyDescent="0.5">
      <c r="A1" s="394" t="str">
        <f>'ReadMe-Directions'!A1</f>
        <v>Immersive Model for Lake Mead based on the Principle of Divide Reservoir Inflow</v>
      </c>
      <c r="B1" s="394"/>
      <c r="C1" s="394"/>
      <c r="D1" s="394"/>
      <c r="E1" s="394"/>
      <c r="F1" s="394"/>
      <c r="G1" s="394"/>
    </row>
    <row r="2" spans="1:14" x14ac:dyDescent="0.35">
      <c r="A2" s="1" t="s">
        <v>178</v>
      </c>
      <c r="B2" s="1"/>
    </row>
    <row r="3" spans="1:14" ht="32.25" customHeight="1" x14ac:dyDescent="0.35">
      <c r="A3" s="402" t="s">
        <v>190</v>
      </c>
      <c r="B3" s="402"/>
      <c r="C3" s="402"/>
      <c r="D3" s="402"/>
      <c r="E3" s="402"/>
      <c r="F3" s="402"/>
      <c r="G3" s="402"/>
      <c r="H3" s="82"/>
      <c r="I3" s="82"/>
      <c r="J3" s="82"/>
      <c r="K3" s="82"/>
      <c r="N3" s="134" t="s">
        <v>156</v>
      </c>
    </row>
    <row r="4" spans="1:14" x14ac:dyDescent="0.35">
      <c r="A4" s="124" t="s">
        <v>258</v>
      </c>
      <c r="B4" s="124" t="s">
        <v>19</v>
      </c>
      <c r="C4" s="403" t="s">
        <v>259</v>
      </c>
      <c r="D4" s="404"/>
      <c r="E4" s="404"/>
      <c r="F4" s="404"/>
      <c r="G4" s="405"/>
      <c r="N4" s="138" t="s">
        <v>330</v>
      </c>
    </row>
    <row r="5" spans="1:14" x14ac:dyDescent="0.35">
      <c r="A5" s="88" t="s">
        <v>238</v>
      </c>
      <c r="B5" s="111"/>
      <c r="C5" s="406"/>
      <c r="D5" s="401"/>
      <c r="E5" s="401"/>
      <c r="F5" s="401"/>
      <c r="G5" s="401"/>
      <c r="N5" s="138"/>
    </row>
    <row r="6" spans="1:14" x14ac:dyDescent="0.35">
      <c r="A6" s="88" t="s">
        <v>202</v>
      </c>
      <c r="B6" s="111"/>
      <c r="C6" s="406"/>
      <c r="D6" s="401"/>
      <c r="E6" s="401"/>
      <c r="F6" s="401"/>
      <c r="G6" s="401"/>
      <c r="N6" s="139"/>
    </row>
    <row r="7" spans="1:14" x14ac:dyDescent="0.35">
      <c r="A7" s="88" t="s">
        <v>203</v>
      </c>
      <c r="B7" s="111"/>
      <c r="C7" s="406"/>
      <c r="D7" s="401"/>
      <c r="E7" s="401"/>
      <c r="F7" s="401"/>
      <c r="G7" s="401"/>
      <c r="N7" s="139"/>
    </row>
    <row r="8" spans="1:14" x14ac:dyDescent="0.35">
      <c r="A8" s="111" t="s">
        <v>204</v>
      </c>
      <c r="B8" s="88"/>
      <c r="C8" s="401"/>
      <c r="D8" s="401"/>
      <c r="E8" s="401"/>
      <c r="F8" s="401"/>
      <c r="G8" s="401"/>
      <c r="N8" s="139"/>
    </row>
    <row r="9" spans="1:14" x14ac:dyDescent="0.35">
      <c r="A9" s="111" t="s">
        <v>18</v>
      </c>
      <c r="B9" s="88"/>
      <c r="C9" s="407"/>
      <c r="D9" s="407"/>
      <c r="E9" s="407"/>
      <c r="F9" s="407"/>
      <c r="G9" s="407"/>
      <c r="N9" s="139"/>
    </row>
    <row r="10" spans="1:14" x14ac:dyDescent="0.35">
      <c r="A10" s="88" t="s">
        <v>278</v>
      </c>
      <c r="B10" s="88"/>
      <c r="C10" s="401"/>
      <c r="D10" s="401"/>
      <c r="E10" s="401"/>
      <c r="F10" s="401"/>
      <c r="G10" s="401"/>
      <c r="N10" s="139"/>
    </row>
    <row r="11" spans="1:14" x14ac:dyDescent="0.35">
      <c r="A11" s="13"/>
      <c r="B11" s="2"/>
      <c r="C11"/>
      <c r="N11" s="139"/>
    </row>
    <row r="12" spans="1:14" x14ac:dyDescent="0.35">
      <c r="A12" s="15" t="s">
        <v>110</v>
      </c>
      <c r="B12" s="408" t="s">
        <v>112</v>
      </c>
      <c r="C12" s="409"/>
      <c r="D12" s="410"/>
      <c r="N12" s="138" t="s">
        <v>129</v>
      </c>
    </row>
    <row r="13" spans="1:14" x14ac:dyDescent="0.35">
      <c r="B13" s="411" t="s">
        <v>189</v>
      </c>
      <c r="C13" s="412"/>
      <c r="D13" s="413"/>
    </row>
    <row r="14" spans="1:14" x14ac:dyDescent="0.35">
      <c r="B14" s="395" t="s">
        <v>184</v>
      </c>
      <c r="C14" s="396"/>
      <c r="D14" s="397"/>
      <c r="N14" s="139"/>
    </row>
    <row r="15" spans="1:14" x14ac:dyDescent="0.35">
      <c r="B15" s="398" t="s">
        <v>21</v>
      </c>
      <c r="C15" s="399"/>
      <c r="D15" s="400"/>
      <c r="N15" s="139"/>
    </row>
    <row r="16" spans="1:14" x14ac:dyDescent="0.35">
      <c r="N16" s="139"/>
    </row>
    <row r="17" spans="1:14" ht="29" x14ac:dyDescent="0.35">
      <c r="A17" s="1" t="s">
        <v>253</v>
      </c>
      <c r="B17" s="208" t="s">
        <v>205</v>
      </c>
      <c r="C17" s="208" t="s">
        <v>206</v>
      </c>
      <c r="N17" s="138" t="s">
        <v>130</v>
      </c>
    </row>
    <row r="18" spans="1:14" x14ac:dyDescent="0.35">
      <c r="A18" t="s">
        <v>254</v>
      </c>
      <c r="B18" s="207">
        <v>6</v>
      </c>
      <c r="D18" s="16"/>
      <c r="N18" s="138" t="s">
        <v>132</v>
      </c>
    </row>
    <row r="19" spans="1:14" x14ac:dyDescent="0.35">
      <c r="A19" t="s">
        <v>255</v>
      </c>
      <c r="B19" s="202">
        <v>1025</v>
      </c>
      <c r="C19" s="32">
        <f>VLOOKUP(B19,'Mead-Elevation-Area'!$A$5:$B$676,2)/1000000</f>
        <v>5.981122</v>
      </c>
      <c r="D19" s="126" t="s">
        <v>349</v>
      </c>
      <c r="F19" s="236" t="s">
        <v>208</v>
      </c>
      <c r="N19" s="138" t="s">
        <v>131</v>
      </c>
    </row>
    <row r="20" spans="1:14" x14ac:dyDescent="0.35">
      <c r="A20" s="122" t="str">
        <f>"     Set "&amp;A5</f>
        <v xml:space="preserve">     Set Reclamation - Protect Zone</v>
      </c>
      <c r="B20" s="181"/>
      <c r="C20" s="12">
        <f>VLOOKUP(IF(B20="",895,B20),'Mead-Elevation-Area'!$A$5:$B$689,2)/1000000</f>
        <v>0</v>
      </c>
      <c r="D20" s="10"/>
      <c r="N20" s="138" t="s">
        <v>133</v>
      </c>
    </row>
    <row r="21" spans="1:14" x14ac:dyDescent="0.35">
      <c r="A21" t="s">
        <v>256</v>
      </c>
      <c r="C21" s="12">
        <f>C19-C20</f>
        <v>5.981122</v>
      </c>
      <c r="D21" s="113"/>
      <c r="E21" s="27"/>
      <c r="F21" s="113"/>
      <c r="N21" s="138" t="s">
        <v>288</v>
      </c>
    </row>
    <row r="22" spans="1:14" x14ac:dyDescent="0.35">
      <c r="A22" t="s">
        <v>257</v>
      </c>
      <c r="C22" s="340">
        <v>3.5339999999999998</v>
      </c>
      <c r="D22" s="341" t="s">
        <v>210</v>
      </c>
      <c r="E22" s="27"/>
      <c r="F22" s="27"/>
      <c r="N22" s="138" t="s">
        <v>287</v>
      </c>
    </row>
    <row r="23" spans="1:14" x14ac:dyDescent="0.35">
      <c r="A23" t="s">
        <v>277</v>
      </c>
      <c r="C23" s="12">
        <f>C21-C22</f>
        <v>2.4471220000000002</v>
      </c>
      <c r="D23" s="109"/>
      <c r="E23" s="27"/>
      <c r="N23" s="138" t="s">
        <v>289</v>
      </c>
    </row>
    <row r="24" spans="1:14" x14ac:dyDescent="0.35">
      <c r="A24" t="s">
        <v>305</v>
      </c>
      <c r="B24" s="92">
        <f>TribalWater!H7</f>
        <v>0.16438105840220965</v>
      </c>
      <c r="C24"/>
      <c r="D24" s="109"/>
      <c r="E24" s="27"/>
      <c r="N24" s="138" t="s">
        <v>331</v>
      </c>
    </row>
    <row r="25" spans="1:14" x14ac:dyDescent="0.35">
      <c r="A25" t="s">
        <v>304</v>
      </c>
      <c r="B25" s="217">
        <f>1-B24</f>
        <v>0.83561894159779038</v>
      </c>
      <c r="C25"/>
      <c r="D25" s="109"/>
      <c r="E25" s="27"/>
      <c r="N25" s="138" t="s">
        <v>332</v>
      </c>
    </row>
    <row r="26" spans="1:14" x14ac:dyDescent="0.35">
      <c r="B26" s="27"/>
      <c r="N26" s="139"/>
    </row>
    <row r="27" spans="1:14" s="1" customFormat="1" x14ac:dyDescent="0.35">
      <c r="A27" s="100" t="s">
        <v>107</v>
      </c>
      <c r="B27" s="101" t="s">
        <v>22</v>
      </c>
      <c r="C27" s="101" t="s">
        <v>0</v>
      </c>
      <c r="D27" s="101" t="s">
        <v>1</v>
      </c>
      <c r="E27" s="101" t="s">
        <v>2</v>
      </c>
      <c r="F27" s="101" t="s">
        <v>3</v>
      </c>
      <c r="G27" s="101" t="s">
        <v>4</v>
      </c>
      <c r="H27" s="101" t="s">
        <v>5</v>
      </c>
      <c r="I27" s="101" t="s">
        <v>6</v>
      </c>
      <c r="J27" s="101" t="s">
        <v>7</v>
      </c>
      <c r="K27" s="101" t="s">
        <v>14</v>
      </c>
      <c r="L27" s="101" t="s">
        <v>15</v>
      </c>
      <c r="M27" s="101" t="s">
        <v>25</v>
      </c>
      <c r="N27" s="135" t="str">
        <f>N3</f>
        <v>HELP, CONTEXT, and SUGGESTIONS</v>
      </c>
    </row>
    <row r="28" spans="1:14" x14ac:dyDescent="0.35">
      <c r="A28" s="122" t="s">
        <v>207</v>
      </c>
      <c r="B28" s="1"/>
      <c r="C28" s="95"/>
      <c r="D28" s="95"/>
      <c r="E28" s="95"/>
      <c r="F28" s="95"/>
      <c r="G28" s="95"/>
      <c r="H28" s="95"/>
      <c r="I28" s="95"/>
      <c r="J28" s="95"/>
      <c r="K28" s="95"/>
      <c r="L28" s="95"/>
      <c r="N28" s="138" t="s">
        <v>291</v>
      </c>
    </row>
    <row r="29" spans="1:14" hidden="1" x14ac:dyDescent="0.35">
      <c r="A29" s="1" t="s">
        <v>32</v>
      </c>
      <c r="B29" s="1"/>
      <c r="C29" s="94" t="str">
        <f>IF(C$28&lt;&gt;"",0.8,"")</f>
        <v/>
      </c>
      <c r="D29" s="94" t="str">
        <f t="shared" ref="D29:L29" si="0">IF(D$28&lt;&gt;"",0.8,"")</f>
        <v/>
      </c>
      <c r="E29" s="94" t="str">
        <f t="shared" si="0"/>
        <v/>
      </c>
      <c r="F29" s="94" t="str">
        <f t="shared" si="0"/>
        <v/>
      </c>
      <c r="G29" s="94" t="str">
        <f t="shared" si="0"/>
        <v/>
      </c>
      <c r="H29" s="94" t="str">
        <f t="shared" si="0"/>
        <v/>
      </c>
      <c r="I29" s="94" t="str">
        <f t="shared" si="0"/>
        <v/>
      </c>
      <c r="J29" s="94" t="str">
        <f t="shared" si="0"/>
        <v/>
      </c>
      <c r="K29" s="94" t="str">
        <f t="shared" si="0"/>
        <v/>
      </c>
      <c r="L29" s="94" t="str">
        <f t="shared" si="0"/>
        <v/>
      </c>
      <c r="N29" s="138" t="s">
        <v>139</v>
      </c>
    </row>
    <row r="30" spans="1:14" hidden="1" x14ac:dyDescent="0.35">
      <c r="A30" s="1" t="s">
        <v>97</v>
      </c>
      <c r="B30" s="1"/>
      <c r="C30" s="94" t="str">
        <f>IF(C$28&lt;&gt;"",0.2,"")</f>
        <v/>
      </c>
      <c r="D30" s="94" t="str">
        <f t="shared" ref="D30:L30" si="1">IF(D$28&lt;&gt;"",0.2,"")</f>
        <v/>
      </c>
      <c r="E30" s="94" t="str">
        <f t="shared" si="1"/>
        <v/>
      </c>
      <c r="F30" s="94" t="str">
        <f t="shared" si="1"/>
        <v/>
      </c>
      <c r="G30" s="94" t="str">
        <f t="shared" si="1"/>
        <v/>
      </c>
      <c r="H30" s="94" t="str">
        <f t="shared" si="1"/>
        <v/>
      </c>
      <c r="I30" s="94" t="str">
        <f t="shared" si="1"/>
        <v/>
      </c>
      <c r="J30" s="94" t="str">
        <f t="shared" si="1"/>
        <v/>
      </c>
      <c r="K30" s="94" t="str">
        <f t="shared" si="1"/>
        <v/>
      </c>
      <c r="L30" s="94" t="str">
        <f t="shared" si="1"/>
        <v/>
      </c>
      <c r="N30" s="138" t="s">
        <v>140</v>
      </c>
    </row>
    <row r="31" spans="1:14" hidden="1" x14ac:dyDescent="0.35">
      <c r="A31" s="1" t="s">
        <v>86</v>
      </c>
      <c r="B31" s="1"/>
      <c r="C31" s="94" t="str">
        <f>IF(C$28&lt;&gt;"",0.6,"")</f>
        <v/>
      </c>
      <c r="D31" s="94" t="str">
        <f t="shared" ref="D31:L31" si="2">IF(D$28&lt;&gt;"",0.6,"")</f>
        <v/>
      </c>
      <c r="E31" s="94" t="str">
        <f t="shared" si="2"/>
        <v/>
      </c>
      <c r="F31" s="94" t="str">
        <f t="shared" si="2"/>
        <v/>
      </c>
      <c r="G31" s="94" t="str">
        <f t="shared" si="2"/>
        <v/>
      </c>
      <c r="H31" s="94" t="str">
        <f t="shared" si="2"/>
        <v/>
      </c>
      <c r="I31" s="94" t="str">
        <f t="shared" si="2"/>
        <v/>
      </c>
      <c r="J31" s="94" t="str">
        <f t="shared" si="2"/>
        <v/>
      </c>
      <c r="K31" s="94" t="str">
        <f t="shared" si="2"/>
        <v/>
      </c>
      <c r="L31" s="94" t="str">
        <f t="shared" si="2"/>
        <v/>
      </c>
      <c r="N31" s="138" t="s">
        <v>141</v>
      </c>
    </row>
    <row r="32" spans="1:14" x14ac:dyDescent="0.35">
      <c r="A32" s="1" t="s">
        <v>251</v>
      </c>
      <c r="B32" s="1"/>
      <c r="H32" s="94"/>
      <c r="I32" s="94"/>
      <c r="J32" s="94"/>
      <c r="K32" s="94"/>
      <c r="L32" s="94"/>
      <c r="N32" s="138"/>
    </row>
    <row r="33" spans="1:14" x14ac:dyDescent="0.35">
      <c r="A33" s="1" t="s">
        <v>248</v>
      </c>
      <c r="B33" s="1"/>
      <c r="C33" s="12" t="str">
        <f>IF(C$28&lt;&gt;"",IF(COLUMN(C28)=COLUMN($C28),$C$19,B141),"")</f>
        <v/>
      </c>
      <c r="D33" s="12" t="str">
        <f>IF(D$28&lt;&gt;"",IF(COLUMN(D28)=COLUMN($C28),$C$19,C141),"")</f>
        <v/>
      </c>
      <c r="E33" s="12" t="str">
        <f>IF(E$28&lt;&gt;"",IF(COLUMN(E28)=COLUMN($C28),$C$19,D141),"")</f>
        <v/>
      </c>
      <c r="F33" s="12" t="str">
        <f>IF(F$28&lt;&gt;"",IF(COLUMN(F28)=COLUMN($C28),$C$19,E141),"")</f>
        <v/>
      </c>
      <c r="G33" s="12" t="str">
        <f>IF(G$28&lt;&gt;"",IF(COLUMN(G28)=COLUMN($C28),$C$19,F141),"")</f>
        <v/>
      </c>
      <c r="H33" s="94"/>
      <c r="I33" s="94"/>
      <c r="J33" s="94"/>
      <c r="K33" s="94"/>
      <c r="L33" s="94"/>
      <c r="N33" s="138"/>
    </row>
    <row r="34" spans="1:14" x14ac:dyDescent="0.35">
      <c r="A34" s="1" t="s">
        <v>249</v>
      </c>
      <c r="B34" s="1"/>
      <c r="C34" s="203" t="str">
        <f>IF(C$28&lt;&gt;"",IF(COLUMN(C29)=COLUMN($C29),$B$19,B142),"")</f>
        <v/>
      </c>
      <c r="D34" s="203" t="str">
        <f t="shared" ref="D34:G34" si="3">IF(D$28&lt;&gt;"",IF(COLUMN(D29)=COLUMN($C29),$B$19,C142),"")</f>
        <v/>
      </c>
      <c r="E34" s="203" t="str">
        <f t="shared" si="3"/>
        <v/>
      </c>
      <c r="F34" s="203" t="str">
        <f t="shared" si="3"/>
        <v/>
      </c>
      <c r="G34" s="203" t="str">
        <f t="shared" si="3"/>
        <v/>
      </c>
      <c r="H34" s="94"/>
      <c r="I34" s="94"/>
      <c r="J34" s="94"/>
      <c r="K34" s="94"/>
      <c r="L34" s="94"/>
      <c r="N34" s="138"/>
    </row>
    <row r="35" spans="1:14" x14ac:dyDescent="0.35">
      <c r="A35" s="122" t="s">
        <v>246</v>
      </c>
      <c r="C35"/>
      <c r="H35" s="12" t="str">
        <f>IF(H$28&lt;&gt;"",G141,"")</f>
        <v/>
      </c>
      <c r="I35" s="12" t="str">
        <f t="shared" ref="I35:L35" si="4">IF(I$28&lt;&gt;"",H140,"")</f>
        <v/>
      </c>
      <c r="J35" s="12" t="str">
        <f t="shared" si="4"/>
        <v/>
      </c>
      <c r="K35" s="12" t="str">
        <f t="shared" si="4"/>
        <v/>
      </c>
      <c r="L35" s="12" t="str">
        <f t="shared" si="4"/>
        <v/>
      </c>
      <c r="M35" s="18"/>
      <c r="N35" s="138" t="s">
        <v>142</v>
      </c>
    </row>
    <row r="36" spans="1:14" x14ac:dyDescent="0.35">
      <c r="A36" t="str">
        <f t="shared" ref="A36:A41" si="5">IF(A5="","","    "&amp;A5&amp;" Balance")</f>
        <v xml:space="preserve">    Reclamation - Protect Zone Balance</v>
      </c>
      <c r="B36" s="81">
        <f>C20</f>
        <v>0</v>
      </c>
      <c r="C36" s="79" t="str">
        <f>IF(OR(C$28="",$A36=""),"",B36)</f>
        <v/>
      </c>
      <c r="D36" s="12" t="str">
        <f>IF(OR(D$28="",$A36=""),"",C134)</f>
        <v/>
      </c>
      <c r="E36" s="12" t="str">
        <f t="shared" ref="E36:L36" si="6">IF(OR(E$28="",$A36=""),"",D134)</f>
        <v/>
      </c>
      <c r="F36" s="12" t="str">
        <f t="shared" si="6"/>
        <v/>
      </c>
      <c r="G36" s="12" t="str">
        <f t="shared" si="6"/>
        <v/>
      </c>
      <c r="H36" s="12" t="str">
        <f t="shared" si="6"/>
        <v/>
      </c>
      <c r="I36" s="12" t="str">
        <f t="shared" si="6"/>
        <v/>
      </c>
      <c r="J36" s="12" t="str">
        <f t="shared" si="6"/>
        <v/>
      </c>
      <c r="K36" s="12" t="str">
        <f t="shared" si="6"/>
        <v/>
      </c>
      <c r="L36" s="12" t="str">
        <f t="shared" si="6"/>
        <v/>
      </c>
      <c r="M36" s="18"/>
      <c r="N36" s="139"/>
    </row>
    <row r="37" spans="1:14" x14ac:dyDescent="0.35">
      <c r="A37" t="str">
        <f t="shared" si="5"/>
        <v xml:space="preserve">    California Balance</v>
      </c>
      <c r="B37" s="81">
        <f>1.662*IF(C23&gt;0,1,(C21/C22))</f>
        <v>1.6619999999999999</v>
      </c>
      <c r="C37" s="79" t="str">
        <f>IF(OR(C$28="",$A37=""),"",B37)</f>
        <v/>
      </c>
      <c r="D37" s="12" t="str">
        <f>IF(OR(D$28="",$A37=""),"",C135)</f>
        <v/>
      </c>
      <c r="E37" s="12" t="str">
        <f t="shared" ref="E37:L41" si="7">IF(OR(E$28="",$A37=""),"",D135)</f>
        <v/>
      </c>
      <c r="F37" s="12" t="str">
        <f t="shared" si="7"/>
        <v/>
      </c>
      <c r="G37" s="12" t="str">
        <f t="shared" si="7"/>
        <v/>
      </c>
      <c r="H37" s="12" t="str">
        <f t="shared" si="7"/>
        <v/>
      </c>
      <c r="I37" s="12" t="str">
        <f t="shared" si="7"/>
        <v/>
      </c>
      <c r="J37" s="12" t="str">
        <f t="shared" si="7"/>
        <v/>
      </c>
      <c r="K37" s="12" t="str">
        <f t="shared" si="7"/>
        <v/>
      </c>
      <c r="L37" s="12" t="str">
        <f t="shared" si="7"/>
        <v/>
      </c>
      <c r="M37" s="113"/>
      <c r="N37" s="139"/>
    </row>
    <row r="38" spans="1:14" x14ac:dyDescent="0.35">
      <c r="A38" t="str">
        <f t="shared" si="5"/>
        <v xml:space="preserve">    Arizona Balance</v>
      </c>
      <c r="B38" s="81">
        <f>0.711*IF(C23&gt;0,1,C21/C22)</f>
        <v>0.71099999999999997</v>
      </c>
      <c r="C38" s="79" t="str">
        <f t="shared" ref="C38:C41" si="8">IF(OR(C$28="",$A38=""),"",B38)</f>
        <v/>
      </c>
      <c r="D38" s="32" t="str">
        <f t="shared" ref="D38:D41" si="9">IF(OR(D$28="",$A38=""),"",C136)</f>
        <v/>
      </c>
      <c r="E38" s="32" t="str">
        <f t="shared" si="7"/>
        <v/>
      </c>
      <c r="F38" s="32" t="str">
        <f t="shared" si="7"/>
        <v/>
      </c>
      <c r="G38" s="32" t="str">
        <f t="shared" si="7"/>
        <v/>
      </c>
      <c r="H38" s="12" t="str">
        <f t="shared" si="7"/>
        <v/>
      </c>
      <c r="I38" s="12" t="str">
        <f t="shared" si="7"/>
        <v/>
      </c>
      <c r="J38" s="12" t="str">
        <f t="shared" si="7"/>
        <v/>
      </c>
      <c r="K38" s="12" t="str">
        <f t="shared" si="7"/>
        <v/>
      </c>
      <c r="L38" s="12" t="str">
        <f t="shared" si="7"/>
        <v/>
      </c>
      <c r="M38" s="27"/>
      <c r="N38" s="139"/>
    </row>
    <row r="39" spans="1:14" x14ac:dyDescent="0.35">
      <c r="A39" t="str">
        <f t="shared" si="5"/>
        <v xml:space="preserve">    Nevada Balance</v>
      </c>
      <c r="B39" s="81">
        <f>0.9556*IF(C23&gt;0,1,C21/C22)</f>
        <v>0.9556</v>
      </c>
      <c r="C39" s="79" t="str">
        <f t="shared" si="8"/>
        <v/>
      </c>
      <c r="D39" s="12" t="str">
        <f t="shared" si="9"/>
        <v/>
      </c>
      <c r="E39" s="12" t="str">
        <f t="shared" si="7"/>
        <v/>
      </c>
      <c r="F39" s="12" t="str">
        <f t="shared" si="7"/>
        <v/>
      </c>
      <c r="G39" s="12" t="str">
        <f t="shared" si="7"/>
        <v/>
      </c>
      <c r="H39" s="12" t="str">
        <f t="shared" si="7"/>
        <v/>
      </c>
      <c r="I39" s="12" t="str">
        <f t="shared" si="7"/>
        <v/>
      </c>
      <c r="J39" s="12" t="str">
        <f t="shared" si="7"/>
        <v/>
      </c>
      <c r="K39" s="12" t="str">
        <f t="shared" si="7"/>
        <v/>
      </c>
      <c r="L39" s="12" t="str">
        <f t="shared" si="7"/>
        <v/>
      </c>
      <c r="N39" s="139"/>
    </row>
    <row r="40" spans="1:14" x14ac:dyDescent="0.35">
      <c r="A40" t="str">
        <f t="shared" si="5"/>
        <v xml:space="preserve">    Mexico Balance</v>
      </c>
      <c r="B40" s="81">
        <f>0.211*IF(C23&gt;0,1,C21/C22)</f>
        <v>0.21099999999999999</v>
      </c>
      <c r="C40" s="79" t="str">
        <f t="shared" si="8"/>
        <v/>
      </c>
      <c r="D40" s="12" t="str">
        <f t="shared" si="9"/>
        <v/>
      </c>
      <c r="E40" s="12" t="str">
        <f t="shared" si="7"/>
        <v/>
      </c>
      <c r="F40" s="12" t="str">
        <f t="shared" si="7"/>
        <v/>
      </c>
      <c r="G40" s="12" t="str">
        <f t="shared" si="7"/>
        <v/>
      </c>
      <c r="H40" s="12" t="str">
        <f t="shared" si="7"/>
        <v/>
      </c>
      <c r="I40" s="12" t="str">
        <f t="shared" si="7"/>
        <v/>
      </c>
      <c r="J40" s="12" t="str">
        <f t="shared" si="7"/>
        <v/>
      </c>
      <c r="K40" s="12" t="str">
        <f t="shared" si="7"/>
        <v/>
      </c>
      <c r="L40" s="12" t="str">
        <f t="shared" si="7"/>
        <v/>
      </c>
      <c r="N40" s="139"/>
    </row>
    <row r="41" spans="1:14" x14ac:dyDescent="0.35">
      <c r="A41" t="str">
        <f t="shared" si="5"/>
        <v xml:space="preserve">    Tribal Nations of the Lower Basin Balance</v>
      </c>
      <c r="B41" s="81">
        <f>IF(C23&gt;0,C23,0)</f>
        <v>2.4471220000000002</v>
      </c>
      <c r="C41" s="79" t="str">
        <f t="shared" si="8"/>
        <v/>
      </c>
      <c r="D41" s="12" t="str">
        <f t="shared" si="9"/>
        <v/>
      </c>
      <c r="E41" s="12" t="str">
        <f t="shared" si="7"/>
        <v/>
      </c>
      <c r="F41" s="12" t="str">
        <f t="shared" si="7"/>
        <v/>
      </c>
      <c r="G41" s="12" t="str">
        <f t="shared" si="7"/>
        <v/>
      </c>
      <c r="H41" s="12" t="str">
        <f t="shared" si="7"/>
        <v/>
      </c>
      <c r="I41" s="12" t="str">
        <f t="shared" si="7"/>
        <v/>
      </c>
      <c r="J41" s="12" t="str">
        <f t="shared" si="7"/>
        <v/>
      </c>
      <c r="K41" s="12" t="str">
        <f t="shared" si="7"/>
        <v/>
      </c>
      <c r="L41" s="12" t="str">
        <f t="shared" si="7"/>
        <v/>
      </c>
      <c r="N41" s="139"/>
    </row>
    <row r="42" spans="1:14" hidden="1" x14ac:dyDescent="0.35">
      <c r="A42" s="1" t="s">
        <v>108</v>
      </c>
      <c r="C42"/>
      <c r="N42" s="138" t="s">
        <v>154</v>
      </c>
    </row>
    <row r="43" spans="1:14" hidden="1" x14ac:dyDescent="0.35">
      <c r="A43" t="s">
        <v>29</v>
      </c>
      <c r="C43" s="12" t="str">
        <f>IF(C$28&lt;&gt;"",IF(COLUMN(C27)=COLUMN($C27),$B$19,#REF!),"")</f>
        <v/>
      </c>
      <c r="D43" s="12" t="str">
        <f>IF(D$28&lt;&gt;"",IF(COLUMN(D27)=COLUMN($C27),$B$19,#REF!),"")</f>
        <v/>
      </c>
      <c r="E43" s="12" t="str">
        <f>IF(E$28&lt;&gt;"",IF(COLUMN(E27)=COLUMN($C27),$B$19,#REF!),"")</f>
        <v/>
      </c>
      <c r="F43" s="12" t="str">
        <f>IF(F$28&lt;&gt;"",IF(COLUMN(F27)=COLUMN($C27),$B$19,#REF!),"")</f>
        <v/>
      </c>
      <c r="G43" s="12" t="str">
        <f>IF(G$28&lt;&gt;"",IF(COLUMN(G27)=COLUMN($C27),$B$19,#REF!),"")</f>
        <v/>
      </c>
      <c r="H43" s="12" t="str">
        <f>IF(H$28&lt;&gt;"",IF(COLUMN(H27)=COLUMN($C27),$B$19,#REF!),"")</f>
        <v/>
      </c>
      <c r="I43" s="12" t="str">
        <f>IF(I$28&lt;&gt;"",IF(COLUMN(I27)=COLUMN($C27),$B$19,#REF!),"")</f>
        <v/>
      </c>
      <c r="J43" s="12" t="str">
        <f>IF(J$28&lt;&gt;"",IF(COLUMN(J27)=COLUMN($C27),$B$19,#REF!),"")</f>
        <v/>
      </c>
      <c r="K43" s="12" t="str">
        <f>IF(K$28&lt;&gt;"",IF(COLUMN(K27)=COLUMN($C27),$B$19,#REF!),"")</f>
        <v/>
      </c>
      <c r="L43" s="12" t="str">
        <f>IF(L$28&lt;&gt;"",IF(COLUMN(L27)=COLUMN($C27),$B$19,#REF!),"")</f>
        <v/>
      </c>
      <c r="N43" s="139"/>
    </row>
    <row r="44" spans="1:14" hidden="1" x14ac:dyDescent="0.35">
      <c r="A44" t="s">
        <v>30</v>
      </c>
      <c r="H44" s="12" t="str">
        <f>IF(H$28&lt;&gt;"",IF(COLUMN(H28)=COLUMN($C28),$C$19,#REF!),"")</f>
        <v/>
      </c>
      <c r="I44" s="12" t="str">
        <f>IF(I$28&lt;&gt;"",IF(COLUMN(I28)=COLUMN($C28),$C$19,#REF!),"")</f>
        <v/>
      </c>
      <c r="J44" s="12" t="str">
        <f>IF(J$28&lt;&gt;"",IF(COLUMN(J28)=COLUMN($C28),$C$19,#REF!),"")</f>
        <v/>
      </c>
      <c r="K44" s="12" t="str">
        <f>IF(K$28&lt;&gt;"",IF(COLUMN(K28)=COLUMN($C28),$C$19,#REF!),"")</f>
        <v/>
      </c>
      <c r="L44" s="12" t="str">
        <f>IF(L$28&lt;&gt;"",IF(COLUMN(L28)=COLUMN($C28),$C$19,#REF!),"")</f>
        <v/>
      </c>
      <c r="N44" s="139"/>
    </row>
    <row r="45" spans="1:14" x14ac:dyDescent="0.35">
      <c r="A45" s="1" t="s">
        <v>209</v>
      </c>
      <c r="B45" s="182"/>
      <c r="C45" s="12" t="str">
        <f>IF(C$28&lt;&gt;"",VLOOKUP(C33*1000000,'Mead-Elevation-Area'!$B$5:$D$676,3)*$B$18/1000000,"")</f>
        <v/>
      </c>
      <c r="D45" s="12" t="str">
        <f>IF(D$28&lt;&gt;"",VLOOKUP(D33*1000000,'Mead-Elevation-Area'!$B$5:$D$676,3)*$B$18/1000000,"")</f>
        <v/>
      </c>
      <c r="E45" s="12" t="str">
        <f>IF(E$28&lt;&gt;"",VLOOKUP(E33*1000000,'Mead-Elevation-Area'!$B$5:$D$676,3)*$B$18/1000000,"")</f>
        <v/>
      </c>
      <c r="F45" s="12" t="str">
        <f>IF(F$28&lt;&gt;"",VLOOKUP(F33*1000000,'Mead-Elevation-Area'!$B$5:$D$676,3)*$B$18/1000000,"")</f>
        <v/>
      </c>
      <c r="G45" s="12" t="str">
        <f>IF(G$28&lt;&gt;"",VLOOKUP(G33*1000000,'Mead-Elevation-Area'!$B$5:$D$676,3)*$B$18/1000000,"")</f>
        <v/>
      </c>
      <c r="H45" s="12" t="str">
        <f>IF(H$28&lt;&gt;"",VLOOKUP(H33*1000000,'Mead-Elevation-Area'!$B$5:$D$676,3)*$B$18/1000000,"")</f>
        <v/>
      </c>
      <c r="I45" s="12" t="str">
        <f>IF(I$28&lt;&gt;"",VLOOKUP(I33*1000000,'Mead-Elevation-Area'!$B$5:$D$676,3)*$B$18/1000000,"")</f>
        <v/>
      </c>
      <c r="J45" s="12" t="str">
        <f>IF(J$28&lt;&gt;"",VLOOKUP(J33*1000000,'Mead-Elevation-Area'!$B$5:$D$676,3)*$B$18/1000000,"")</f>
        <v/>
      </c>
      <c r="K45" s="12" t="str">
        <f>IF(K$28&lt;&gt;"",VLOOKUP(K33*1000000,'Mead-Elevation-Area'!$B$5:$D$676,3)*$B$18/1000000,"")</f>
        <v/>
      </c>
      <c r="L45" s="12" t="str">
        <f>IF(L$28&lt;&gt;"",VLOOKUP(L33*1000000,'Mead-Elevation-Area'!$B$5:$D$676,3)*$B$18/1000000,"")</f>
        <v/>
      </c>
      <c r="N45" s="138" t="s">
        <v>290</v>
      </c>
    </row>
    <row r="46" spans="1:14" x14ac:dyDescent="0.35">
      <c r="A46" t="str">
        <f t="shared" ref="A46:A51" si="10">IF(A5="","","    "&amp;A5&amp;" Share")</f>
        <v xml:space="preserve">    Reclamation - Protect Zone Share</v>
      </c>
      <c r="C46" s="12" t="str">
        <f t="shared" ref="C46:G51" si="11">IF(OR(C$28="",$A46=""),"",C$45*C36/C$33)</f>
        <v/>
      </c>
      <c r="D46" s="12" t="str">
        <f t="shared" si="11"/>
        <v/>
      </c>
      <c r="E46" s="12" t="str">
        <f t="shared" si="11"/>
        <v/>
      </c>
      <c r="F46" s="12" t="str">
        <f t="shared" si="11"/>
        <v/>
      </c>
      <c r="G46" s="12" t="str">
        <f t="shared" si="11"/>
        <v/>
      </c>
      <c r="H46" s="12" t="str">
        <f t="shared" ref="H46:L51" si="12">IF(OR(H$28="",$A46=""),"",H$45*H36/H$35)</f>
        <v/>
      </c>
      <c r="I46" s="12" t="str">
        <f t="shared" si="12"/>
        <v/>
      </c>
      <c r="J46" s="12" t="str">
        <f t="shared" si="12"/>
        <v/>
      </c>
      <c r="K46" s="12" t="str">
        <f t="shared" si="12"/>
        <v/>
      </c>
      <c r="L46" s="12" t="str">
        <f t="shared" si="12"/>
        <v/>
      </c>
      <c r="N46" s="139"/>
    </row>
    <row r="47" spans="1:14" x14ac:dyDescent="0.35">
      <c r="A47" t="str">
        <f t="shared" si="10"/>
        <v xml:space="preserve">    California Share</v>
      </c>
      <c r="B47" s="1"/>
      <c r="C47" s="12" t="str">
        <f t="shared" si="11"/>
        <v/>
      </c>
      <c r="D47" s="12" t="str">
        <f t="shared" si="11"/>
        <v/>
      </c>
      <c r="E47" s="12" t="str">
        <f t="shared" si="11"/>
        <v/>
      </c>
      <c r="F47" s="12" t="str">
        <f t="shared" si="11"/>
        <v/>
      </c>
      <c r="G47" s="12" t="str">
        <f t="shared" si="11"/>
        <v/>
      </c>
      <c r="H47" s="12" t="str">
        <f t="shared" si="12"/>
        <v/>
      </c>
      <c r="I47" s="12" t="str">
        <f t="shared" si="12"/>
        <v/>
      </c>
      <c r="J47" s="12" t="str">
        <f t="shared" si="12"/>
        <v/>
      </c>
      <c r="K47" s="12" t="str">
        <f t="shared" si="12"/>
        <v/>
      </c>
      <c r="L47" s="12" t="str">
        <f t="shared" si="12"/>
        <v/>
      </c>
      <c r="N47" s="139"/>
    </row>
    <row r="48" spans="1:14" x14ac:dyDescent="0.35">
      <c r="A48" t="str">
        <f t="shared" si="10"/>
        <v xml:space="preserve">    Arizona Share</v>
      </c>
      <c r="B48" s="1"/>
      <c r="C48" s="12" t="str">
        <f t="shared" si="11"/>
        <v/>
      </c>
      <c r="D48" s="12" t="str">
        <f t="shared" si="11"/>
        <v/>
      </c>
      <c r="E48" s="12" t="str">
        <f t="shared" si="11"/>
        <v/>
      </c>
      <c r="F48" s="12" t="str">
        <f t="shared" si="11"/>
        <v/>
      </c>
      <c r="G48" s="12" t="str">
        <f t="shared" si="11"/>
        <v/>
      </c>
      <c r="H48" s="12" t="str">
        <f t="shared" si="12"/>
        <v/>
      </c>
      <c r="I48" s="12" t="str">
        <f t="shared" si="12"/>
        <v/>
      </c>
      <c r="J48" s="12" t="str">
        <f t="shared" si="12"/>
        <v/>
      </c>
      <c r="K48" s="12" t="str">
        <f t="shared" si="12"/>
        <v/>
      </c>
      <c r="L48" s="12" t="str">
        <f t="shared" si="12"/>
        <v/>
      </c>
      <c r="N48" s="139"/>
    </row>
    <row r="49" spans="1:16" x14ac:dyDescent="0.35">
      <c r="A49" t="str">
        <f t="shared" si="10"/>
        <v xml:space="preserve">    Nevada Share</v>
      </c>
      <c r="B49" s="1"/>
      <c r="C49" s="12" t="str">
        <f t="shared" si="11"/>
        <v/>
      </c>
      <c r="D49" s="12" t="str">
        <f t="shared" si="11"/>
        <v/>
      </c>
      <c r="E49" s="12" t="str">
        <f t="shared" si="11"/>
        <v/>
      </c>
      <c r="F49" s="12" t="str">
        <f t="shared" si="11"/>
        <v/>
      </c>
      <c r="G49" s="12" t="str">
        <f t="shared" si="11"/>
        <v/>
      </c>
      <c r="H49" s="12" t="str">
        <f t="shared" si="12"/>
        <v/>
      </c>
      <c r="I49" s="12" t="str">
        <f t="shared" si="12"/>
        <v/>
      </c>
      <c r="J49" s="12" t="str">
        <f t="shared" si="12"/>
        <v/>
      </c>
      <c r="K49" s="12" t="str">
        <f t="shared" si="12"/>
        <v/>
      </c>
      <c r="L49" s="12" t="str">
        <f t="shared" si="12"/>
        <v/>
      </c>
      <c r="N49" s="139"/>
    </row>
    <row r="50" spans="1:16" x14ac:dyDescent="0.35">
      <c r="A50" t="str">
        <f t="shared" si="10"/>
        <v xml:space="preserve">    Mexico Share</v>
      </c>
      <c r="B50" s="1"/>
      <c r="C50" s="12" t="str">
        <f t="shared" si="11"/>
        <v/>
      </c>
      <c r="D50" s="12" t="str">
        <f t="shared" si="11"/>
        <v/>
      </c>
      <c r="E50" s="12" t="str">
        <f t="shared" si="11"/>
        <v/>
      </c>
      <c r="F50" s="12" t="str">
        <f t="shared" si="11"/>
        <v/>
      </c>
      <c r="G50" s="12" t="str">
        <f t="shared" si="11"/>
        <v/>
      </c>
      <c r="H50" s="12" t="str">
        <f t="shared" si="12"/>
        <v/>
      </c>
      <c r="I50" s="12" t="str">
        <f t="shared" si="12"/>
        <v/>
      </c>
      <c r="J50" s="12" t="str">
        <f t="shared" si="12"/>
        <v/>
      </c>
      <c r="K50" s="12" t="str">
        <f t="shared" si="12"/>
        <v/>
      </c>
      <c r="L50" s="12" t="str">
        <f t="shared" si="12"/>
        <v/>
      </c>
      <c r="N50" s="139"/>
    </row>
    <row r="51" spans="1:16" x14ac:dyDescent="0.35">
      <c r="A51" t="str">
        <f t="shared" si="10"/>
        <v xml:space="preserve">    Tribal Nations of the Lower Basin Share</v>
      </c>
      <c r="B51" s="1"/>
      <c r="C51" s="12" t="str">
        <f t="shared" si="11"/>
        <v/>
      </c>
      <c r="D51" s="12" t="str">
        <f t="shared" si="11"/>
        <v/>
      </c>
      <c r="E51" s="12" t="str">
        <f t="shared" si="11"/>
        <v/>
      </c>
      <c r="F51" s="12" t="str">
        <f t="shared" si="11"/>
        <v/>
      </c>
      <c r="G51" s="12" t="str">
        <f t="shared" si="11"/>
        <v/>
      </c>
      <c r="H51" s="12" t="str">
        <f t="shared" si="12"/>
        <v/>
      </c>
      <c r="I51" s="12" t="str">
        <f t="shared" si="12"/>
        <v/>
      </c>
      <c r="J51" s="12" t="str">
        <f t="shared" si="12"/>
        <v/>
      </c>
      <c r="K51" s="12" t="str">
        <f t="shared" si="12"/>
        <v/>
      </c>
      <c r="L51" s="12" t="str">
        <f t="shared" si="12"/>
        <v/>
      </c>
      <c r="N51" s="139"/>
    </row>
    <row r="52" spans="1:16" x14ac:dyDescent="0.35">
      <c r="A52" s="122" t="s">
        <v>244</v>
      </c>
      <c r="B52" s="200"/>
      <c r="C52" s="201" t="str">
        <f>IF(C28="","",SUM(C28))</f>
        <v/>
      </c>
      <c r="D52" s="201" t="str">
        <f>IF(D28="","",SUM(D28))</f>
        <v/>
      </c>
      <c r="E52" s="201" t="str">
        <f>IF(E28="","",SUM(E28))</f>
        <v/>
      </c>
      <c r="F52" s="201" t="str">
        <f>IF(F28="","",SUM(F28))</f>
        <v/>
      </c>
      <c r="G52" s="201" t="str">
        <f>IF(G28="","",SUM(G28))</f>
        <v/>
      </c>
      <c r="H52" s="29" t="str">
        <f>IF(H$28&lt;&gt;"",1.5-0.21/9/2-VLOOKUP(H44,MandatoryConservation!$C$5:$P$13,13)-H60*(1.5/8.7),"")</f>
        <v/>
      </c>
      <c r="I52" s="29" t="str">
        <f>IF(I$28&lt;&gt;"",1.5-0.21/9/2-VLOOKUP(I44,MandatoryConservation!$C$5:$P$13,13)-I60*(1.5/8.7),"")</f>
        <v/>
      </c>
      <c r="J52" s="29" t="str">
        <f>IF(J$28&lt;&gt;"",1.5-0.21/9/2-VLOOKUP(J44,MandatoryConservation!$C$5:$P$13,13)-J60*(1.5/8.7),"")</f>
        <v/>
      </c>
      <c r="K52" s="29" t="str">
        <f>IF(K$28&lt;&gt;"",1.5-0.21/9/2-VLOOKUP(K44,MandatoryConservation!$C$5:$P$13,13)-K60*(1.5/8.7),"")</f>
        <v/>
      </c>
      <c r="L52" s="29" t="str">
        <f>IF(L$28&lt;&gt;"",1.5-0.21/9/2-VLOOKUP(L44,MandatoryConservation!$C$5:$P$13,13)-L60*(1.5/8.7),"")</f>
        <v/>
      </c>
      <c r="M52" s="113"/>
      <c r="N52" s="138" t="s">
        <v>294</v>
      </c>
    </row>
    <row r="53" spans="1:16" x14ac:dyDescent="0.35">
      <c r="A53" t="str">
        <f>IF(A5="","","    To "&amp;A5)</f>
        <v xml:space="preserve">    To Reclamation - Protect Zone</v>
      </c>
      <c r="B53" s="183" t="s">
        <v>211</v>
      </c>
      <c r="C53" s="271" t="str">
        <f>IF(OR(C$28="",$A55=""),"",C46)</f>
        <v/>
      </c>
      <c r="D53" s="80" t="str">
        <f>IF(OR(D$28="",$A55=""),"",D46)</f>
        <v/>
      </c>
      <c r="E53" s="80" t="str">
        <f t="shared" ref="E53:G53" si="13">IF(OR(E$28="",$A55=""),"",E46)</f>
        <v/>
      </c>
      <c r="F53" s="80" t="str">
        <f t="shared" si="13"/>
        <v/>
      </c>
      <c r="G53" s="80" t="str">
        <f t="shared" si="13"/>
        <v/>
      </c>
      <c r="H53" s="12" t="str">
        <f t="shared" ref="H53:L53" si="14">IF(H28="","",SUM(H28:H30))</f>
        <v/>
      </c>
      <c r="I53" s="12" t="str">
        <f t="shared" si="14"/>
        <v/>
      </c>
      <c r="J53" s="12" t="str">
        <f t="shared" si="14"/>
        <v/>
      </c>
      <c r="K53" s="12" t="str">
        <f t="shared" si="14"/>
        <v/>
      </c>
      <c r="L53" s="12" t="str">
        <f t="shared" si="14"/>
        <v/>
      </c>
      <c r="M53" s="18">
        <f>SUM(C55:C59)</f>
        <v>0</v>
      </c>
      <c r="N53" s="180"/>
    </row>
    <row r="54" spans="1:16" x14ac:dyDescent="0.35">
      <c r="A54" t="s">
        <v>245</v>
      </c>
      <c r="C54" s="273" t="str">
        <f>IF(OR(C$28="",$A56=""),"",C52-C53)</f>
        <v/>
      </c>
      <c r="D54" s="80" t="str">
        <f>IF(OR(D$28="",$A56=""),"",D52-D53)</f>
        <v/>
      </c>
      <c r="E54" s="80" t="str">
        <f t="shared" ref="E54:G54" si="15">IF(OR(E$28="",$A56=""),"",E52-E53)</f>
        <v/>
      </c>
      <c r="F54" s="80" t="str">
        <f t="shared" si="15"/>
        <v/>
      </c>
      <c r="G54" s="80" t="str">
        <f t="shared" si="15"/>
        <v/>
      </c>
      <c r="H54" s="79" t="str">
        <f t="shared" ref="H54" si="16">IF(OR(H$28="",$A55=""),"",MAX(0,H53-SUM(H55:H60)))</f>
        <v/>
      </c>
      <c r="I54" s="79" t="str">
        <f t="shared" ref="I54" si="17">IF(OR(I$28="",$A55=""),"",MAX(0,I53-SUM(I55:I60)))</f>
        <v/>
      </c>
      <c r="J54" s="79" t="str">
        <f t="shared" ref="J54" si="18">IF(OR(J$28="",$A55=""),"",MAX(0,J53-SUM(J55:J60)))</f>
        <v/>
      </c>
      <c r="K54" s="79" t="str">
        <f t="shared" ref="K54" si="19">IF(OR(K$28="",$A55=""),"",MAX(0,K53-SUM(K55:K60)))</f>
        <v/>
      </c>
      <c r="L54" s="79" t="str">
        <f t="shared" ref="L54" si="20">IF(OR(L$28="",$A55=""),"",MAX(0,L53-SUM(L55:L60)))</f>
        <v/>
      </c>
      <c r="M54" s="17" t="e">
        <f>SUM(M55:M59)</f>
        <v>#VALUE!</v>
      </c>
      <c r="N54" s="140"/>
      <c r="P54" s="79"/>
    </row>
    <row r="55" spans="1:16" x14ac:dyDescent="0.35">
      <c r="A55" t="str">
        <f>IF(A6="","","       To "&amp;A6)</f>
        <v xml:space="preserve">       To California</v>
      </c>
      <c r="B55" s="199">
        <f>DivideInflow!T12</f>
        <v>0.49593533333333339</v>
      </c>
      <c r="C55" s="272" t="str">
        <f>IF(OR(C$28="",$A55=""),"",($B55*C$54))</f>
        <v/>
      </c>
      <c r="D55" s="272" t="str">
        <f t="shared" ref="D55:G55" si="21">IF(OR(D$28="",$A55=""),"",($B55*D$54))</f>
        <v/>
      </c>
      <c r="E55" s="272" t="str">
        <f t="shared" si="21"/>
        <v/>
      </c>
      <c r="F55" s="272" t="str">
        <f t="shared" si="21"/>
        <v/>
      </c>
      <c r="G55" s="272" t="str">
        <f t="shared" si="21"/>
        <v/>
      </c>
      <c r="H55" s="79"/>
      <c r="I55" s="79"/>
      <c r="J55" s="79"/>
      <c r="K55" s="79"/>
      <c r="L55" s="79"/>
      <c r="M55" s="205" t="e">
        <f>C55/C$54</f>
        <v>#VALUE!</v>
      </c>
      <c r="N55" s="140"/>
      <c r="P55" s="79"/>
    </row>
    <row r="56" spans="1:16" x14ac:dyDescent="0.35">
      <c r="A56" t="str">
        <f>IF(A7="","","       To "&amp;A7)</f>
        <v xml:space="preserve">       To Arizona</v>
      </c>
      <c r="B56" s="199">
        <f>DivideInflow!R12</f>
        <v>0.19965844444444442</v>
      </c>
      <c r="C56" s="272" t="str">
        <f t="shared" ref="C56:G59" si="22">IF(OR(C$28="",$A56=""),"",($B56*C$54))</f>
        <v/>
      </c>
      <c r="D56" s="272" t="str">
        <f t="shared" si="22"/>
        <v/>
      </c>
      <c r="E56" s="272" t="str">
        <f t="shared" si="22"/>
        <v/>
      </c>
      <c r="F56" s="272" t="str">
        <f t="shared" si="22"/>
        <v/>
      </c>
      <c r="G56" s="272" t="str">
        <f t="shared" si="22"/>
        <v/>
      </c>
      <c r="H56" s="80" t="str">
        <f t="shared" ref="H56" si="23">IF(OR(H$28="",$A56=""),"",MIN(H52,H$53-SUM(H57:H60)))</f>
        <v/>
      </c>
      <c r="I56" s="80" t="str">
        <f t="shared" ref="I56" si="24">IF(OR(I$28="",$A56=""),"",MIN(I52,I$53-SUM(I57:I60)))</f>
        <v/>
      </c>
      <c r="J56" s="80" t="str">
        <f t="shared" ref="J56" si="25">IF(OR(J$28="",$A56=""),"",MIN(J52,J$53-SUM(J57:J60)))</f>
        <v/>
      </c>
      <c r="K56" s="80" t="str">
        <f t="shared" ref="K56" si="26">IF(OR(K$28="",$A56=""),"",MIN(K52,K$53-SUM(K57:K60)))</f>
        <v/>
      </c>
      <c r="L56" s="80" t="str">
        <f t="shared" ref="L56" si="27">IF(OR(L$28="",$A56=""),"",MIN(L52,L$53-SUM(L57:L60)))</f>
        <v/>
      </c>
      <c r="M56" s="205" t="e">
        <f>C56/C$54</f>
        <v>#VALUE!</v>
      </c>
      <c r="N56" s="140"/>
    </row>
    <row r="57" spans="1:16" x14ac:dyDescent="0.35">
      <c r="A57" t="str">
        <f>IF(A8="","","       To "&amp;A8)</f>
        <v xml:space="preserve">       To Nevada</v>
      </c>
      <c r="B57" s="199">
        <f>DivideInflow!S8</f>
        <v>3.1940666666666666E-2</v>
      </c>
      <c r="C57" s="272" t="str">
        <f>IF(OR(C$28="",$A57=""),"",($B57*C$54))</f>
        <v/>
      </c>
      <c r="D57" s="272" t="str">
        <f t="shared" si="22"/>
        <v/>
      </c>
      <c r="E57" s="272" t="str">
        <f t="shared" si="22"/>
        <v/>
      </c>
      <c r="F57" s="272" t="str">
        <f t="shared" si="22"/>
        <v/>
      </c>
      <c r="G57" s="272" t="str">
        <f t="shared" si="22"/>
        <v/>
      </c>
      <c r="H57" s="103" t="str">
        <f t="shared" ref="H57" si="28">IF(OR(H$28="",$A57=""),"",MIN($B57,H$53-SUM(H58:H60)))</f>
        <v/>
      </c>
      <c r="I57" s="103" t="str">
        <f t="shared" ref="I57" si="29">IF(OR(I$28="",$A57=""),"",MIN($B57,I$53-SUM(I58:I60)))</f>
        <v/>
      </c>
      <c r="J57" s="103" t="str">
        <f t="shared" ref="J57" si="30">IF(OR(J$28="",$A57=""),"",MIN($B57,J$53-SUM(J58:J60)))</f>
        <v/>
      </c>
      <c r="K57" s="103" t="str">
        <f t="shared" ref="K57" si="31">IF(OR(K$28="",$A57=""),"",MIN($B57,K$53-SUM(K58:K60)))</f>
        <v/>
      </c>
      <c r="L57" s="103" t="str">
        <f t="shared" ref="L57" si="32">IF(OR(L$28="",$A57=""),"",MIN($B57,L$53-SUM(L58:L60)))</f>
        <v/>
      </c>
      <c r="M57" s="205" t="e">
        <f t="shared" ref="M57:M58" si="33">C57/C$54</f>
        <v>#VALUE!</v>
      </c>
      <c r="N57" s="140"/>
    </row>
    <row r="58" spans="1:16" x14ac:dyDescent="0.35">
      <c r="A58" t="str">
        <f>IF(A9="","","       To "&amp;A9)</f>
        <v xml:space="preserve">       To Mexico</v>
      </c>
      <c r="B58" s="199">
        <f>DivideInflow!U8</f>
        <v>0.16666666666666666</v>
      </c>
      <c r="C58" s="272" t="str">
        <f t="shared" si="22"/>
        <v/>
      </c>
      <c r="D58" s="272" t="str">
        <f t="shared" si="22"/>
        <v/>
      </c>
      <c r="E58" s="272" t="str">
        <f t="shared" si="22"/>
        <v/>
      </c>
      <c r="F58" s="272" t="str">
        <f t="shared" si="22"/>
        <v/>
      </c>
      <c r="G58" s="272" t="str">
        <f t="shared" si="22"/>
        <v/>
      </c>
      <c r="H58" s="79" t="str">
        <f t="shared" ref="H58" si="34">IF(OR(H$28="",$A58=""),"",MIN($B58,H$53-SUM(H59:H60)))</f>
        <v/>
      </c>
      <c r="I58" s="79" t="str">
        <f t="shared" ref="I58" si="35">IF(OR(I$28="",$A58=""),"",MIN($B58,I$53-SUM(I59:I60)))</f>
        <v/>
      </c>
      <c r="J58" s="79" t="str">
        <f t="shared" ref="J58" si="36">IF(OR(J$28="",$A58=""),"",MIN($B58,J$53-SUM(J59:J60)))</f>
        <v/>
      </c>
      <c r="K58" s="79" t="str">
        <f t="shared" ref="K58" si="37">IF(OR(K$28="",$A58=""),"",MIN($B58,K$53-SUM(K59:K60)))</f>
        <v/>
      </c>
      <c r="L58" s="79" t="str">
        <f t="shared" ref="L58" si="38">IF(OR(L$28="",$A58=""),"",MIN($B58,L$53-SUM(L59:L60)))</f>
        <v/>
      </c>
      <c r="M58" s="205" t="e">
        <f t="shared" si="33"/>
        <v>#VALUE!</v>
      </c>
      <c r="N58" s="140"/>
    </row>
    <row r="59" spans="1:16" x14ac:dyDescent="0.35">
      <c r="A59" t="str">
        <f>IF(A10="","","       To "&amp;A10)</f>
        <v xml:space="preserve">       To Tribal Nations of the Lower Basin</v>
      </c>
      <c r="B59" s="199">
        <f>IF(A59="","",DivideInflow!V8)</f>
        <v>0.10579888888888889</v>
      </c>
      <c r="C59" s="272" t="str">
        <f t="shared" si="22"/>
        <v/>
      </c>
      <c r="D59" s="272" t="str">
        <f t="shared" si="22"/>
        <v/>
      </c>
      <c r="E59" s="272" t="str">
        <f t="shared" si="22"/>
        <v/>
      </c>
      <c r="F59" s="272" t="str">
        <f t="shared" si="22"/>
        <v/>
      </c>
      <c r="G59" s="272" t="str">
        <f t="shared" si="22"/>
        <v/>
      </c>
      <c r="H59" s="149" t="str">
        <f t="shared" ref="H59:L59" si="39">IF(OR(H$28="",$A59=""),"",IF(H$53&gt;H51,H51,H53))</f>
        <v/>
      </c>
      <c r="I59" s="149" t="str">
        <f t="shared" si="39"/>
        <v/>
      </c>
      <c r="J59" s="149" t="str">
        <f t="shared" si="39"/>
        <v/>
      </c>
      <c r="K59" s="149" t="str">
        <f t="shared" si="39"/>
        <v/>
      </c>
      <c r="L59" s="149" t="str">
        <f t="shared" si="39"/>
        <v/>
      </c>
      <c r="M59" s="205" t="e">
        <f>IF(A59="","",C59/C$54)</f>
        <v>#VALUE!</v>
      </c>
      <c r="N59" s="140"/>
    </row>
    <row r="60" spans="1:16" hidden="1" x14ac:dyDescent="0.35">
      <c r="A60" t="str">
        <f>IF(A31="","","    To "&amp;A31)</f>
        <v xml:space="preserve">    To Havasu / Parker evaporation and ET</v>
      </c>
      <c r="B60" s="148" t="s">
        <v>159</v>
      </c>
      <c r="C60" s="150" t="str">
        <f>IF(OR(C$28="",$A60=""),"",MIN(C31,C52-C59))</f>
        <v/>
      </c>
      <c r="D60" s="150" t="str">
        <f>IF(OR(D$28="",$A60=""),"",MIN(D31,D52-D59))</f>
        <v/>
      </c>
      <c r="E60" s="150" t="str">
        <f>IF(OR(E$28="",$A60=""),"",MIN(E31,E52-E59))</f>
        <v/>
      </c>
      <c r="F60" s="150" t="str">
        <f>IF(OR(F$28="",$A60=""),"",MIN(F31,F52-F59))</f>
        <v/>
      </c>
      <c r="G60" s="150" t="str">
        <f>IF(OR(G$28="",$A60=""),"",MIN(G31,G52-G59))</f>
        <v/>
      </c>
      <c r="H60" s="150" t="str">
        <f t="shared" ref="H60" si="40">IF(OR(H$28="",$A60=""),"",MIN(H31,H53-H59))</f>
        <v/>
      </c>
      <c r="I60" s="150" t="str">
        <f t="shared" ref="I60" si="41">IF(OR(I$28="",$A60=""),"",MIN(I31,I53-I59))</f>
        <v/>
      </c>
      <c r="J60" s="150" t="str">
        <f t="shared" ref="J60" si="42">IF(OR(J$28="",$A60=""),"",MIN(J31,J53-J59))</f>
        <v/>
      </c>
      <c r="K60" s="150" t="str">
        <f t="shared" ref="K60" si="43">IF(OR(K$28="",$A60=""),"",MIN(K31,K53-K59))</f>
        <v/>
      </c>
      <c r="L60" s="150" t="str">
        <f t="shared" ref="L60" si="44">IF(OR(L$28="",$A60=""),"",MIN(L31,L53-L59))</f>
        <v/>
      </c>
      <c r="M60" s="205" t="e">
        <f t="shared" ref="M60" si="45">F60/F$54</f>
        <v>#VALUE!</v>
      </c>
      <c r="N60" s="140"/>
    </row>
    <row r="61" spans="1:16" x14ac:dyDescent="0.35">
      <c r="B61" s="18"/>
      <c r="C61" s="17"/>
      <c r="D61" s="17"/>
      <c r="E61" s="17"/>
      <c r="F61" s="113"/>
      <c r="G61" s="27"/>
      <c r="N61" s="139"/>
    </row>
    <row r="62" spans="1:16" x14ac:dyDescent="0.35">
      <c r="A62" s="99" t="s">
        <v>187</v>
      </c>
      <c r="B62" s="96"/>
      <c r="C62" s="96"/>
      <c r="D62" s="96"/>
      <c r="E62" s="96"/>
      <c r="F62" s="96"/>
      <c r="G62" s="96"/>
      <c r="H62" s="96"/>
      <c r="I62" s="96"/>
      <c r="J62" s="96"/>
      <c r="K62" s="96"/>
      <c r="L62" s="96"/>
      <c r="M62" s="96"/>
      <c r="N62" s="135" t="str">
        <f>N3</f>
        <v>HELP, CONTEXT, and SUGGESTIONS</v>
      </c>
    </row>
    <row r="63" spans="1:16" x14ac:dyDescent="0.35">
      <c r="A63" s="116" t="str">
        <f>IF(A$5="[Unused]","",A5&amp;" ("&amp;B5&amp;")")</f>
        <v>Reclamation - Protect Zone ()</v>
      </c>
      <c r="B63" s="97"/>
      <c r="C63" s="97"/>
      <c r="D63" s="97"/>
      <c r="E63" s="97"/>
      <c r="F63" s="97"/>
      <c r="G63" s="97"/>
      <c r="H63" s="97"/>
      <c r="I63" s="97"/>
      <c r="J63" s="97"/>
      <c r="K63" s="97"/>
      <c r="L63" s="97"/>
      <c r="M63" s="98" t="s">
        <v>25</v>
      </c>
      <c r="N63" s="136" t="s">
        <v>146</v>
      </c>
    </row>
    <row r="64" spans="1:16" x14ac:dyDescent="0.35">
      <c r="A64" s="123" t="str">
        <f>IF(A63="[Unused]","","   Enter volume to Buy(+) or Sell(-) [maf]")</f>
        <v xml:space="preserve">   Enter volume to Buy(+) or Sell(-) [maf]</v>
      </c>
      <c r="C64" s="89"/>
      <c r="D64" s="89"/>
      <c r="E64" s="89"/>
      <c r="F64" s="89"/>
      <c r="G64" s="89"/>
      <c r="H64" s="89"/>
      <c r="I64" s="89"/>
      <c r="J64" s="89"/>
      <c r="K64" s="89"/>
      <c r="L64" s="89"/>
      <c r="M64" s="328">
        <f>SUM(C64:G64)</f>
        <v>0</v>
      </c>
      <c r="N64" s="141" t="s">
        <v>147</v>
      </c>
    </row>
    <row r="65" spans="1:14" x14ac:dyDescent="0.35">
      <c r="A65" s="123" t="str">
        <f>IF(A64="","","   Enter price per acre-foot to Buy(-) or Sell(+)")</f>
        <v xml:space="preserve">   Enter price per acre-foot to Buy(-) or Sell(+)</v>
      </c>
      <c r="C65" s="90"/>
      <c r="D65" s="90"/>
      <c r="E65" s="90"/>
      <c r="F65" s="90"/>
      <c r="G65" s="90"/>
      <c r="H65" s="90"/>
      <c r="I65" s="90"/>
      <c r="J65" s="90"/>
      <c r="K65" s="90"/>
      <c r="L65" s="325"/>
      <c r="M65" s="326"/>
      <c r="N65" s="338" t="s">
        <v>469</v>
      </c>
    </row>
    <row r="66" spans="1:14" x14ac:dyDescent="0.35">
      <c r="A66" t="s">
        <v>465</v>
      </c>
      <c r="C66" s="324" t="str">
        <f>IF(OR(C64="",C65=""),"",IF(C65&gt;0,ABS(C64*C65),C64*C65)
)</f>
        <v/>
      </c>
      <c r="D66" s="324" t="str">
        <f>IF(OR(D64="",D65=""),"",IF(D65&gt;0,ABS(D64*D65),D64*D65)
)</f>
        <v/>
      </c>
      <c r="E66" s="324" t="str">
        <f t="shared" ref="E66:G66" si="46">IF(OR(E64="",E65=""),"",IF(E65&gt;0,ABS(E64*E65),E64*E65)
)</f>
        <v/>
      </c>
      <c r="F66" s="324" t="str">
        <f t="shared" si="46"/>
        <v/>
      </c>
      <c r="G66" s="324" t="str">
        <f t="shared" si="46"/>
        <v/>
      </c>
      <c r="H66" s="324"/>
      <c r="I66" s="324"/>
      <c r="J66" s="324"/>
      <c r="K66" s="324"/>
      <c r="L66" s="324"/>
      <c r="M66" s="327">
        <f>SUM(C66:G66)</f>
        <v>0</v>
      </c>
      <c r="N66" s="142" t="s">
        <v>148</v>
      </c>
    </row>
    <row r="67" spans="1:14" x14ac:dyDescent="0.35">
      <c r="A67" t="str">
        <f>IF(A65="","","   Net trade volume all participants (should be zero)")</f>
        <v xml:space="preserve">   Net trade volume all participants (should be zero)</v>
      </c>
      <c r="C67" s="42" t="str">
        <f t="shared" ref="C67:M67" si="47">IF(OR(C$28="",$A67=""),"",C$125)</f>
        <v/>
      </c>
      <c r="D67" s="42" t="str">
        <f>IF(OR(D$28="",$A67=""),"",D$125)</f>
        <v/>
      </c>
      <c r="E67" s="42" t="str">
        <f t="shared" si="47"/>
        <v/>
      </c>
      <c r="F67" s="42" t="str">
        <f t="shared" si="47"/>
        <v/>
      </c>
      <c r="G67" s="42" t="str">
        <f t="shared" si="47"/>
        <v/>
      </c>
      <c r="H67" s="42" t="str">
        <f t="shared" si="47"/>
        <v/>
      </c>
      <c r="I67" s="42" t="str">
        <f t="shared" si="47"/>
        <v/>
      </c>
      <c r="J67" s="42" t="str">
        <f t="shared" si="47"/>
        <v/>
      </c>
      <c r="K67" s="42" t="str">
        <f t="shared" si="47"/>
        <v/>
      </c>
      <c r="L67" s="42" t="str">
        <f t="shared" si="47"/>
        <v/>
      </c>
      <c r="M67" t="str">
        <f t="shared" si="47"/>
        <v/>
      </c>
      <c r="N67" s="138" t="s">
        <v>149</v>
      </c>
    </row>
    <row r="68" spans="1:14" x14ac:dyDescent="0.35">
      <c r="A68" s="1" t="str">
        <f>IF(A65="","","   Available Water [maf]")</f>
        <v xml:space="preserve">   Available Water [maf]</v>
      </c>
      <c r="C68" s="12" t="str">
        <f>IF(OR(C$28="",$A68=""),"",C36+C53-C46+C64)</f>
        <v/>
      </c>
      <c r="D68" s="12" t="str">
        <f>IF(OR(D$28="",$A68=""),"",D36+D53-D46+D64)</f>
        <v/>
      </c>
      <c r="E68" s="12" t="str">
        <f t="shared" ref="E68:G68" si="48">IF(OR(E$28="",$A68=""),"",E36+E53-E46+E64)</f>
        <v/>
      </c>
      <c r="F68" s="12" t="str">
        <f t="shared" si="48"/>
        <v/>
      </c>
      <c r="G68" s="12" t="str">
        <f t="shared" si="48"/>
        <v/>
      </c>
      <c r="H68" s="12" t="str">
        <f t="shared" ref="H68:L68" si="49">IF(OR(H$28="",$A68=""),"",H36+H54-H46+H64)</f>
        <v/>
      </c>
      <c r="I68" s="12" t="str">
        <f t="shared" si="49"/>
        <v/>
      </c>
      <c r="J68" s="12" t="str">
        <f t="shared" si="49"/>
        <v/>
      </c>
      <c r="K68" s="12" t="str">
        <f t="shared" si="49"/>
        <v/>
      </c>
      <c r="L68" s="12" t="str">
        <f t="shared" si="49"/>
        <v/>
      </c>
      <c r="N68" s="138" t="s">
        <v>150</v>
      </c>
    </row>
    <row r="69" spans="1:14" x14ac:dyDescent="0.35">
      <c r="A69" s="122" t="str">
        <f>IF(A68="","","   Enter withdraw [maf] within available water")</f>
        <v xml:space="preserve">   Enter withdraw [maf] within available water</v>
      </c>
      <c r="C69" s="91">
        <v>0</v>
      </c>
      <c r="D69" s="91"/>
      <c r="E69" s="91"/>
      <c r="F69" s="91"/>
      <c r="G69" s="91"/>
      <c r="H69" s="91"/>
      <c r="I69" s="91"/>
      <c r="J69" s="91"/>
      <c r="K69" s="91"/>
      <c r="L69" s="91"/>
      <c r="N69" s="138" t="s">
        <v>155</v>
      </c>
    </row>
    <row r="70" spans="1:14" x14ac:dyDescent="0.35">
      <c r="A70" t="str">
        <f>IF(A69="","","   End of Year Balance [maf]")</f>
        <v xml:space="preserve">   End of Year Balance [maf]</v>
      </c>
      <c r="C70" s="12" t="str">
        <f>IF(OR(C$28="",$A70=""),"",C68-C69)</f>
        <v/>
      </c>
      <c r="D70" s="12" t="str">
        <f t="shared" ref="D70:L70" si="50">IF(OR(D$28="",$A70=""),"",D68-D69)</f>
        <v/>
      </c>
      <c r="E70" s="12" t="str">
        <f t="shared" si="50"/>
        <v/>
      </c>
      <c r="F70" s="12" t="str">
        <f t="shared" ref="F70:G70" si="51">IF(OR(F$28="",$A70=""),"",F68-F69)</f>
        <v/>
      </c>
      <c r="G70" s="12" t="str">
        <f t="shared" si="51"/>
        <v/>
      </c>
      <c r="H70" s="12" t="str">
        <f t="shared" si="50"/>
        <v/>
      </c>
      <c r="I70" s="12" t="str">
        <f t="shared" si="50"/>
        <v/>
      </c>
      <c r="J70" s="12" t="str">
        <f t="shared" si="50"/>
        <v/>
      </c>
      <c r="K70" s="12" t="str">
        <f t="shared" si="50"/>
        <v/>
      </c>
      <c r="L70" s="12" t="str">
        <f t="shared" si="50"/>
        <v/>
      </c>
      <c r="N70" s="138" t="s">
        <v>151</v>
      </c>
    </row>
    <row r="71" spans="1:14" x14ac:dyDescent="0.35">
      <c r="C71"/>
      <c r="N71" s="139"/>
    </row>
    <row r="72" spans="1:14" x14ac:dyDescent="0.35">
      <c r="A72" s="116" t="str">
        <f>IF(A$6="","[Unused]",A6&amp;" ("&amp;B6&amp;")")</f>
        <v>California ()</v>
      </c>
      <c r="B72" s="97"/>
      <c r="C72" s="97"/>
      <c r="D72" s="97"/>
      <c r="E72" s="97"/>
      <c r="F72" s="97"/>
      <c r="G72" s="97"/>
      <c r="H72" s="97"/>
      <c r="I72" s="97"/>
      <c r="J72" s="97"/>
      <c r="K72" s="97"/>
      <c r="L72" s="97"/>
      <c r="M72" s="98" t="s">
        <v>25</v>
      </c>
      <c r="N72" s="136" t="s">
        <v>146</v>
      </c>
    </row>
    <row r="73" spans="1:14" x14ac:dyDescent="0.35">
      <c r="A73" s="123" t="str">
        <f>IF(A72="[Unused]","",$A$64)</f>
        <v xml:space="preserve">   Enter volume to Buy(+) or Sell(-) [maf]</v>
      </c>
      <c r="C73" s="89">
        <v>0.3</v>
      </c>
      <c r="D73" s="89"/>
      <c r="E73" s="89"/>
      <c r="F73" s="89"/>
      <c r="G73" s="89"/>
      <c r="H73" s="89"/>
      <c r="I73" s="89"/>
      <c r="J73" s="89"/>
      <c r="K73" s="89"/>
      <c r="L73" s="89"/>
      <c r="M73" s="329">
        <f>SUM(C73:L73)</f>
        <v>0.3</v>
      </c>
      <c r="N73" s="141" t="s">
        <v>147</v>
      </c>
    </row>
    <row r="74" spans="1:14" x14ac:dyDescent="0.35">
      <c r="A74" s="123" t="str">
        <f>IF(A73="","","   Enter price per acre-foot to Buy(-) or Sell(+)")</f>
        <v xml:space="preserve">   Enter price per acre-foot to Buy(-) or Sell(+)</v>
      </c>
      <c r="C74" s="90">
        <v>500</v>
      </c>
      <c r="D74" s="90"/>
      <c r="E74" s="90"/>
      <c r="F74" s="90"/>
      <c r="G74" s="90"/>
      <c r="H74" s="90"/>
      <c r="I74" s="90"/>
      <c r="J74" s="90"/>
      <c r="K74" s="90"/>
      <c r="L74" s="325"/>
      <c r="M74" s="326"/>
      <c r="N74" s="338" t="s">
        <v>469</v>
      </c>
    </row>
    <row r="75" spans="1:14" x14ac:dyDescent="0.35">
      <c r="A75" t="s">
        <v>465</v>
      </c>
      <c r="C75" s="324">
        <f>IF(OR(C73="",C74=""),"",IF(C74&gt;0,ABS(C73*C74),C73*C74)
)</f>
        <v>150</v>
      </c>
      <c r="D75" s="324" t="str">
        <f t="shared" ref="D75:G75" si="52">IF(OR(D73="",D74=""),"",IF(D74&gt;0,ABS(D73*D74),D73*D74)
)</f>
        <v/>
      </c>
      <c r="E75" s="324" t="str">
        <f t="shared" si="52"/>
        <v/>
      </c>
      <c r="F75" s="324" t="str">
        <f t="shared" si="52"/>
        <v/>
      </c>
      <c r="G75" s="324" t="str">
        <f t="shared" si="52"/>
        <v/>
      </c>
      <c r="H75" s="90"/>
      <c r="I75" s="90"/>
      <c r="J75" s="90"/>
      <c r="K75" s="90"/>
      <c r="L75" s="90"/>
      <c r="M75" s="330">
        <f>SUM(C75:L75)</f>
        <v>150</v>
      </c>
      <c r="N75" s="142" t="s">
        <v>148</v>
      </c>
    </row>
    <row r="76" spans="1:14" x14ac:dyDescent="0.35">
      <c r="A76" s="128" t="str">
        <f>IF(A74="","",$A$67)</f>
        <v xml:space="preserve">   Net trade volume all participants (should be zero)</v>
      </c>
      <c r="C76" s="42" t="str">
        <f t="shared" ref="C76:M76" si="53">IF(OR(C$28="",$A76=""),"",C$125)</f>
        <v/>
      </c>
      <c r="D76" s="42" t="str">
        <f>IF(OR(D$28="",$A76=""),"",D$125)</f>
        <v/>
      </c>
      <c r="E76" s="42" t="str">
        <f t="shared" si="53"/>
        <v/>
      </c>
      <c r="F76" s="42" t="str">
        <f t="shared" si="53"/>
        <v/>
      </c>
      <c r="G76" s="42" t="str">
        <f t="shared" si="53"/>
        <v/>
      </c>
      <c r="H76" s="42" t="str">
        <f t="shared" si="53"/>
        <v/>
      </c>
      <c r="I76" s="42" t="str">
        <f t="shared" si="53"/>
        <v/>
      </c>
      <c r="J76" s="42" t="str">
        <f t="shared" si="53"/>
        <v/>
      </c>
      <c r="K76" s="42" t="str">
        <f t="shared" si="53"/>
        <v/>
      </c>
      <c r="L76" s="42" t="str">
        <f t="shared" si="53"/>
        <v/>
      </c>
      <c r="M76" t="str">
        <f t="shared" si="53"/>
        <v/>
      </c>
      <c r="N76" s="138" t="s">
        <v>149</v>
      </c>
    </row>
    <row r="77" spans="1:14" x14ac:dyDescent="0.35">
      <c r="A77" s="1" t="str">
        <f>IF(A74="","","   Available Water [maf]")</f>
        <v xml:space="preserve">   Available Water [maf]</v>
      </c>
      <c r="C77" s="12" t="str">
        <f>IF(OR(C$28="",$A77=""),"",C37+C55-C47+C73)</f>
        <v/>
      </c>
      <c r="D77" s="12" t="str">
        <f>IF(OR(D$28="",$A77=""),"",D37+D55-D47+D73)</f>
        <v/>
      </c>
      <c r="E77" s="12" t="str">
        <f t="shared" ref="E77:G77" si="54">IF(OR(E$28="",$A77=""),"",E37+E55-E47+E73)</f>
        <v/>
      </c>
      <c r="F77" s="12" t="str">
        <f t="shared" si="54"/>
        <v/>
      </c>
      <c r="G77" s="12" t="str">
        <f t="shared" si="54"/>
        <v/>
      </c>
      <c r="H77" s="12" t="str">
        <f t="shared" ref="H77:L77" si="55">IF(OR(H$28="",$A77=""),"",H37+H55-H47+H73)</f>
        <v/>
      </c>
      <c r="I77" s="12" t="str">
        <f t="shared" si="55"/>
        <v/>
      </c>
      <c r="J77" s="12" t="str">
        <f t="shared" si="55"/>
        <v/>
      </c>
      <c r="K77" s="12" t="str">
        <f t="shared" si="55"/>
        <v/>
      </c>
      <c r="L77" s="12" t="str">
        <f t="shared" si="55"/>
        <v/>
      </c>
      <c r="N77" s="138" t="s">
        <v>150</v>
      </c>
    </row>
    <row r="78" spans="1:14" x14ac:dyDescent="0.35">
      <c r="A78" s="122" t="str">
        <f>IF(A77="","",$A$69)</f>
        <v xml:space="preserve">   Enter withdraw [maf] within available water</v>
      </c>
      <c r="C78" s="91">
        <v>2.8</v>
      </c>
      <c r="D78" s="91"/>
      <c r="E78" s="91"/>
      <c r="F78" s="91"/>
      <c r="G78" s="91"/>
      <c r="H78" s="91"/>
      <c r="I78" s="91"/>
      <c r="J78" s="91"/>
      <c r="K78" s="91"/>
      <c r="L78" s="91"/>
      <c r="N78" s="138" t="s">
        <v>155</v>
      </c>
    </row>
    <row r="79" spans="1:14" x14ac:dyDescent="0.35">
      <c r="A79" t="str">
        <f>IF(A78="","","   End of Year Balance [maf]")</f>
        <v xml:space="preserve">   End of Year Balance [maf]</v>
      </c>
      <c r="C79" s="12" t="str">
        <f>IF(OR(C$28="",$A79=""),"",C77-C78)</f>
        <v/>
      </c>
      <c r="D79" s="12" t="str">
        <f t="shared" ref="D79:L79" si="56">IF(OR(D$28="",$A79=""),"",D77-D78)</f>
        <v/>
      </c>
      <c r="E79" s="12" t="str">
        <f t="shared" si="56"/>
        <v/>
      </c>
      <c r="F79" s="12" t="str">
        <f t="shared" ref="F79:G79" si="57">IF(OR(F$28="",$A79=""),"",F77-F78)</f>
        <v/>
      </c>
      <c r="G79" s="12" t="str">
        <f t="shared" si="57"/>
        <v/>
      </c>
      <c r="H79" s="12" t="str">
        <f t="shared" si="56"/>
        <v/>
      </c>
      <c r="I79" s="12" t="str">
        <f t="shared" si="56"/>
        <v/>
      </c>
      <c r="J79" s="12" t="str">
        <f t="shared" si="56"/>
        <v/>
      </c>
      <c r="K79" s="12" t="str">
        <f t="shared" si="56"/>
        <v/>
      </c>
      <c r="L79" s="12" t="str">
        <f t="shared" si="56"/>
        <v/>
      </c>
      <c r="N79" s="138" t="s">
        <v>151</v>
      </c>
    </row>
    <row r="80" spans="1:14" x14ac:dyDescent="0.35">
      <c r="C80"/>
      <c r="N80" s="139"/>
    </row>
    <row r="81" spans="1:14" x14ac:dyDescent="0.35">
      <c r="A81" s="116" t="str">
        <f>IF(A$7="","[Unused]",A7&amp;" ("&amp;B7&amp;")")</f>
        <v>Arizona ()</v>
      </c>
      <c r="B81" s="97"/>
      <c r="C81" s="97"/>
      <c r="D81" s="97"/>
      <c r="E81" s="97"/>
      <c r="F81" s="97"/>
      <c r="G81" s="97"/>
      <c r="H81" s="97"/>
      <c r="I81" s="97"/>
      <c r="J81" s="97"/>
      <c r="K81" s="97"/>
      <c r="L81" s="97"/>
      <c r="M81" s="98" t="s">
        <v>25</v>
      </c>
      <c r="N81" s="136" t="s">
        <v>146</v>
      </c>
    </row>
    <row r="82" spans="1:14" x14ac:dyDescent="0.35">
      <c r="A82" s="123" t="str">
        <f>IF(A81="[Unused]","",$A$64)</f>
        <v xml:space="preserve">   Enter volume to Buy(+) or Sell(-) [maf]</v>
      </c>
      <c r="C82" s="89">
        <v>-0.2</v>
      </c>
      <c r="D82" s="89"/>
      <c r="E82" s="89"/>
      <c r="F82" s="89"/>
      <c r="G82" s="89"/>
      <c r="H82" s="89"/>
      <c r="I82" s="89"/>
      <c r="J82" s="89"/>
      <c r="K82" s="89"/>
      <c r="L82" s="89"/>
      <c r="M82" s="329">
        <f>SUM(C82:L82)</f>
        <v>-0.2</v>
      </c>
      <c r="N82" s="141" t="s">
        <v>147</v>
      </c>
    </row>
    <row r="83" spans="1:14" x14ac:dyDescent="0.35">
      <c r="A83" s="123" t="str">
        <f>IF(A82="","","   Enter price per acre-foot to Buy(-) or Sell(+)")</f>
        <v xml:space="preserve">   Enter price per acre-foot to Buy(-) or Sell(+)</v>
      </c>
      <c r="C83" s="90">
        <v>500</v>
      </c>
      <c r="D83" s="90"/>
      <c r="E83" s="90"/>
      <c r="F83" s="90"/>
      <c r="G83" s="90"/>
      <c r="H83" s="90"/>
      <c r="I83" s="90"/>
      <c r="J83" s="90"/>
      <c r="K83" s="90"/>
      <c r="L83" s="325"/>
      <c r="M83" s="326"/>
      <c r="N83" s="338" t="s">
        <v>469</v>
      </c>
    </row>
    <row r="84" spans="1:14" x14ac:dyDescent="0.35">
      <c r="A84" t="s">
        <v>465</v>
      </c>
      <c r="C84" s="324">
        <f>IF(OR(C82="",C83=""),"",IF(C83&gt;0,ABS(C82*C83),C82*C83)
)</f>
        <v>100</v>
      </c>
      <c r="D84" s="324" t="str">
        <f t="shared" ref="D84:G84" si="58">IF(OR(D82="",D83=""),"",IF(D83&gt;0,ABS(D82*D83),D82*D83)
)</f>
        <v/>
      </c>
      <c r="E84" s="324" t="str">
        <f t="shared" si="58"/>
        <v/>
      </c>
      <c r="F84" s="324" t="str">
        <f t="shared" si="58"/>
        <v/>
      </c>
      <c r="G84" s="324" t="str">
        <f t="shared" si="58"/>
        <v/>
      </c>
      <c r="H84" s="90"/>
      <c r="I84" s="90"/>
      <c r="J84" s="90"/>
      <c r="K84" s="90"/>
      <c r="L84" s="90"/>
      <c r="M84" s="330">
        <f>SUM(C84:L84)</f>
        <v>100</v>
      </c>
      <c r="N84" s="142" t="s">
        <v>148</v>
      </c>
    </row>
    <row r="85" spans="1:14" x14ac:dyDescent="0.35">
      <c r="A85" s="128" t="str">
        <f>IF(A83="","",$A$67)</f>
        <v xml:space="preserve">   Net trade volume all participants (should be zero)</v>
      </c>
      <c r="C85" s="42" t="str">
        <f t="shared" ref="C85:M85" si="59">IF(OR(C$28="",$A85=""),"",C$125)</f>
        <v/>
      </c>
      <c r="D85" s="42" t="str">
        <f>IF(OR(D$28="",$A85=""),"",D$125)</f>
        <v/>
      </c>
      <c r="E85" s="42" t="str">
        <f t="shared" si="59"/>
        <v/>
      </c>
      <c r="F85" s="42" t="str">
        <f t="shared" si="59"/>
        <v/>
      </c>
      <c r="G85" s="42" t="str">
        <f t="shared" si="59"/>
        <v/>
      </c>
      <c r="H85" s="42" t="str">
        <f t="shared" si="59"/>
        <v/>
      </c>
      <c r="I85" s="42" t="str">
        <f t="shared" si="59"/>
        <v/>
      </c>
      <c r="J85" s="42" t="str">
        <f t="shared" si="59"/>
        <v/>
      </c>
      <c r="K85" s="42" t="str">
        <f t="shared" si="59"/>
        <v/>
      </c>
      <c r="L85" s="42" t="str">
        <f t="shared" si="59"/>
        <v/>
      </c>
      <c r="M85" t="str">
        <f t="shared" si="59"/>
        <v/>
      </c>
      <c r="N85" s="138" t="s">
        <v>149</v>
      </c>
    </row>
    <row r="86" spans="1:14" x14ac:dyDescent="0.35">
      <c r="A86" s="1" t="str">
        <f>IF(A83="","","   Available Water [maf]")</f>
        <v xml:space="preserve">   Available Water [maf]</v>
      </c>
      <c r="C86" s="12" t="str">
        <f>IF(OR(C$28="",$A86=""),"",C38+C56-C48+C82)</f>
        <v/>
      </c>
      <c r="D86" s="12" t="str">
        <f t="shared" ref="D86:L86" si="60">IF(OR(D$28="",$A86=""),"",D38+D56-D48+D82)</f>
        <v/>
      </c>
      <c r="E86" s="12" t="str">
        <f t="shared" si="60"/>
        <v/>
      </c>
      <c r="F86" s="12" t="str">
        <f t="shared" ref="F86:G86" si="61">IF(OR(F$28="",$A86=""),"",F38+F56-F48+F82)</f>
        <v/>
      </c>
      <c r="G86" s="12" t="str">
        <f t="shared" si="61"/>
        <v/>
      </c>
      <c r="H86" s="12" t="str">
        <f t="shared" si="60"/>
        <v/>
      </c>
      <c r="I86" s="12" t="str">
        <f t="shared" si="60"/>
        <v/>
      </c>
      <c r="J86" s="12" t="str">
        <f t="shared" si="60"/>
        <v/>
      </c>
      <c r="K86" s="12" t="str">
        <f t="shared" si="60"/>
        <v/>
      </c>
      <c r="L86" s="12" t="str">
        <f t="shared" si="60"/>
        <v/>
      </c>
      <c r="N86" s="138" t="s">
        <v>150</v>
      </c>
    </row>
    <row r="87" spans="1:14" x14ac:dyDescent="0.35">
      <c r="A87" s="122" t="str">
        <f>IF(A86="","",$A$69)</f>
        <v xml:space="preserve">   Enter withdraw [maf] within available water</v>
      </c>
      <c r="C87" s="91">
        <v>0.75</v>
      </c>
      <c r="D87" s="91"/>
      <c r="E87" s="91"/>
      <c r="F87" s="91"/>
      <c r="G87" s="91"/>
      <c r="H87" s="91"/>
      <c r="I87" s="91"/>
      <c r="J87" s="91"/>
      <c r="K87" s="91"/>
      <c r="L87" s="91"/>
      <c r="N87" s="138" t="s">
        <v>155</v>
      </c>
    </row>
    <row r="88" spans="1:14" x14ac:dyDescent="0.35">
      <c r="A88" t="str">
        <f>IF(A87="","","   End of Year Balance [maf]")</f>
        <v xml:space="preserve">   End of Year Balance [maf]</v>
      </c>
      <c r="C88" s="12" t="str">
        <f>IF(OR(C$28="",$A88=""),"",C86-C87)</f>
        <v/>
      </c>
      <c r="D88" s="12" t="str">
        <f t="shared" ref="D88:L88" si="62">IF(OR(D$28="",$A88=""),"",D86-D87)</f>
        <v/>
      </c>
      <c r="E88" s="12" t="str">
        <f t="shared" si="62"/>
        <v/>
      </c>
      <c r="F88" s="12" t="str">
        <f t="shared" ref="F88:G88" si="63">IF(OR(F$28="",$A88=""),"",F86-F87)</f>
        <v/>
      </c>
      <c r="G88" s="12" t="str">
        <f t="shared" si="63"/>
        <v/>
      </c>
      <c r="H88" s="12" t="str">
        <f t="shared" si="62"/>
        <v/>
      </c>
      <c r="I88" s="12" t="str">
        <f t="shared" si="62"/>
        <v/>
      </c>
      <c r="J88" s="12" t="str">
        <f t="shared" si="62"/>
        <v/>
      </c>
      <c r="K88" s="12" t="str">
        <f t="shared" si="62"/>
        <v/>
      </c>
      <c r="L88" s="12" t="str">
        <f t="shared" si="62"/>
        <v/>
      </c>
      <c r="N88" s="138" t="s">
        <v>151</v>
      </c>
    </row>
    <row r="89" spans="1:14" x14ac:dyDescent="0.35">
      <c r="C89"/>
      <c r="N89" s="139"/>
    </row>
    <row r="90" spans="1:14" x14ac:dyDescent="0.35">
      <c r="A90" s="116" t="str">
        <f>IF(A$8="","[Unused]",A8&amp;" ("&amp;B8&amp;")")</f>
        <v>Nevada ()</v>
      </c>
      <c r="B90" s="97"/>
      <c r="C90" s="97"/>
      <c r="D90" s="97"/>
      <c r="E90" s="97"/>
      <c r="F90" s="97"/>
      <c r="G90" s="97"/>
      <c r="H90" s="97"/>
      <c r="I90" s="97"/>
      <c r="J90" s="97"/>
      <c r="K90" s="97"/>
      <c r="L90" s="97"/>
      <c r="M90" s="98" t="s">
        <v>25</v>
      </c>
      <c r="N90" s="136" t="s">
        <v>146</v>
      </c>
    </row>
    <row r="91" spans="1:14" x14ac:dyDescent="0.35">
      <c r="A91" s="123" t="str">
        <f>IF(A90="[Unused]","",$A$64)</f>
        <v xml:space="preserve">   Enter volume to Buy(+) or Sell(-) [maf]</v>
      </c>
      <c r="C91" s="89">
        <v>-0.1</v>
      </c>
      <c r="D91" s="89"/>
      <c r="E91" s="89"/>
      <c r="F91" s="89"/>
      <c r="G91" s="89"/>
      <c r="H91" s="89"/>
      <c r="I91" s="89"/>
      <c r="J91" s="89"/>
      <c r="K91" s="89"/>
      <c r="L91" s="89"/>
      <c r="M91" s="329">
        <f>SUM(C91:L91)</f>
        <v>-0.1</v>
      </c>
      <c r="N91" s="141" t="s">
        <v>147</v>
      </c>
    </row>
    <row r="92" spans="1:14" x14ac:dyDescent="0.35">
      <c r="A92" s="123" t="str">
        <f>IF(A91="","","   Enter price per acre-foot to Buy(-) or Sell(+)")</f>
        <v xml:space="preserve">   Enter price per acre-foot to Buy(-) or Sell(+)</v>
      </c>
      <c r="C92" s="90">
        <v>500</v>
      </c>
      <c r="D92" s="90"/>
      <c r="E92" s="90"/>
      <c r="F92" s="90"/>
      <c r="G92" s="90"/>
      <c r="H92" s="90"/>
      <c r="I92" s="90"/>
      <c r="J92" s="90"/>
      <c r="K92" s="90"/>
      <c r="L92" s="325"/>
      <c r="M92" s="326"/>
      <c r="N92" s="338" t="s">
        <v>469</v>
      </c>
    </row>
    <row r="93" spans="1:14" x14ac:dyDescent="0.35">
      <c r="A93" t="s">
        <v>465</v>
      </c>
      <c r="C93" s="324">
        <f>IF(OR(C91="",C92=""),"",IF(C92&gt;0,ABS(C91*C92),C91*C92)
)</f>
        <v>50</v>
      </c>
      <c r="D93" s="324" t="str">
        <f t="shared" ref="D93:G93" si="64">IF(OR(D91="",D92=""),"",IF(D92&gt;0,ABS(D91*D92),D91*D92)
)</f>
        <v/>
      </c>
      <c r="E93" s="324" t="str">
        <f t="shared" si="64"/>
        <v/>
      </c>
      <c r="F93" s="324" t="str">
        <f t="shared" si="64"/>
        <v/>
      </c>
      <c r="G93" s="324" t="str">
        <f t="shared" si="64"/>
        <v/>
      </c>
      <c r="H93" s="90"/>
      <c r="I93" s="90"/>
      <c r="J93" s="90"/>
      <c r="K93" s="90"/>
      <c r="L93" s="90"/>
      <c r="M93" s="330">
        <f>SUM(C93:L93)</f>
        <v>50</v>
      </c>
      <c r="N93" s="142" t="s">
        <v>148</v>
      </c>
    </row>
    <row r="94" spans="1:14" x14ac:dyDescent="0.35">
      <c r="A94" s="128" t="str">
        <f>IF(A92="","",$A$67)</f>
        <v xml:space="preserve">   Net trade volume all participants (should be zero)</v>
      </c>
      <c r="C94" s="42" t="str">
        <f t="shared" ref="C94:M94" si="65">IF(OR(C$28="",$A94=""),"",C$125)</f>
        <v/>
      </c>
      <c r="D94" s="42" t="str">
        <f>IF(OR(D$28="",$A94=""),"",D$125)</f>
        <v/>
      </c>
      <c r="E94" s="42" t="str">
        <f t="shared" si="65"/>
        <v/>
      </c>
      <c r="F94" s="42" t="str">
        <f t="shared" si="65"/>
        <v/>
      </c>
      <c r="G94" s="42" t="str">
        <f t="shared" si="65"/>
        <v/>
      </c>
      <c r="H94" s="42" t="str">
        <f t="shared" si="65"/>
        <v/>
      </c>
      <c r="I94" s="42" t="str">
        <f t="shared" si="65"/>
        <v/>
      </c>
      <c r="J94" s="42" t="str">
        <f t="shared" si="65"/>
        <v/>
      </c>
      <c r="K94" s="42" t="str">
        <f t="shared" si="65"/>
        <v/>
      </c>
      <c r="L94" s="42" t="str">
        <f t="shared" si="65"/>
        <v/>
      </c>
      <c r="M94" t="str">
        <f t="shared" si="65"/>
        <v/>
      </c>
      <c r="N94" s="138" t="s">
        <v>149</v>
      </c>
    </row>
    <row r="95" spans="1:14" x14ac:dyDescent="0.35">
      <c r="A95" s="1" t="str">
        <f>IF(A92="","","   Available Water [maf]")</f>
        <v xml:space="preserve">   Available Water [maf]</v>
      </c>
      <c r="C95" s="12" t="str">
        <f>IF(OR(C$28="",$A95=""),"",C39+C57-C49+C91)</f>
        <v/>
      </c>
      <c r="D95" s="12" t="str">
        <f t="shared" ref="D95:L95" si="66">IF(OR(D$28="",$A95=""),"",D39+D57-D49+D91)</f>
        <v/>
      </c>
      <c r="E95" s="12" t="str">
        <f t="shared" si="66"/>
        <v/>
      </c>
      <c r="F95" s="12" t="str">
        <f t="shared" ref="F95:G95" si="67">IF(OR(F$28="",$A95=""),"",F39+F57-F49+F91)</f>
        <v/>
      </c>
      <c r="G95" s="12" t="str">
        <f t="shared" si="67"/>
        <v/>
      </c>
      <c r="H95" s="114" t="str">
        <f t="shared" si="66"/>
        <v/>
      </c>
      <c r="I95" s="114" t="str">
        <f t="shared" si="66"/>
        <v/>
      </c>
      <c r="J95" s="114" t="str">
        <f t="shared" si="66"/>
        <v/>
      </c>
      <c r="K95" s="114" t="str">
        <f t="shared" si="66"/>
        <v/>
      </c>
      <c r="L95" s="114" t="str">
        <f t="shared" si="66"/>
        <v/>
      </c>
      <c r="N95" s="138" t="s">
        <v>150</v>
      </c>
    </row>
    <row r="96" spans="1:14" x14ac:dyDescent="0.35">
      <c r="A96" s="122" t="str">
        <f>IF(A95="","",$A$69)</f>
        <v xml:space="preserve">   Enter withdraw [maf] within available water</v>
      </c>
      <c r="C96" s="91">
        <v>0.2</v>
      </c>
      <c r="D96" s="91"/>
      <c r="E96" s="91"/>
      <c r="F96" s="91"/>
      <c r="G96" s="91"/>
      <c r="H96" s="115"/>
      <c r="I96" s="115"/>
      <c r="J96" s="115"/>
      <c r="K96" s="115"/>
      <c r="L96" s="115"/>
      <c r="N96" s="138" t="s">
        <v>155</v>
      </c>
    </row>
    <row r="97" spans="1:14" x14ac:dyDescent="0.35">
      <c r="A97" t="str">
        <f>IF(A96="","","   End of Year Balance [maf]")</f>
        <v xml:space="preserve">   End of Year Balance [maf]</v>
      </c>
      <c r="C97" s="12" t="str">
        <f>IF(OR(C$28="",$A97=""),"",C95-C96)</f>
        <v/>
      </c>
      <c r="D97" s="12" t="str">
        <f t="shared" ref="D97:L97" si="68">IF(OR(D$28="",$A97=""),"",D95-D96)</f>
        <v/>
      </c>
      <c r="E97" s="12" t="str">
        <f t="shared" si="68"/>
        <v/>
      </c>
      <c r="F97" s="12" t="str">
        <f t="shared" ref="F97:G97" si="69">IF(OR(F$28="",$A97=""),"",F95-F96)</f>
        <v/>
      </c>
      <c r="G97" s="12" t="str">
        <f t="shared" si="69"/>
        <v/>
      </c>
      <c r="H97" s="12" t="str">
        <f t="shared" si="68"/>
        <v/>
      </c>
      <c r="I97" s="12" t="str">
        <f t="shared" si="68"/>
        <v/>
      </c>
      <c r="J97" s="12" t="str">
        <f t="shared" si="68"/>
        <v/>
      </c>
      <c r="K97" s="12" t="str">
        <f t="shared" si="68"/>
        <v/>
      </c>
      <c r="L97" s="12" t="str">
        <f t="shared" si="68"/>
        <v/>
      </c>
      <c r="N97" s="138" t="s">
        <v>151</v>
      </c>
    </row>
    <row r="98" spans="1:14" x14ac:dyDescent="0.35">
      <c r="C98"/>
      <c r="N98" s="139"/>
    </row>
    <row r="99" spans="1:14" x14ac:dyDescent="0.35">
      <c r="A99" s="116" t="str">
        <f>IF(A$9="","[Unused]",A9&amp;" ("&amp;B9&amp;")")</f>
        <v>Mexico ()</v>
      </c>
      <c r="B99" s="97"/>
      <c r="C99" s="97"/>
      <c r="D99" s="97"/>
      <c r="E99" s="97"/>
      <c r="F99" s="97"/>
      <c r="G99" s="97"/>
      <c r="H99" s="97"/>
      <c r="I99" s="97"/>
      <c r="J99" s="97"/>
      <c r="K99" s="97"/>
      <c r="L99" s="97"/>
      <c r="M99" s="98" t="s">
        <v>25</v>
      </c>
      <c r="N99" s="136" t="s">
        <v>146</v>
      </c>
    </row>
    <row r="100" spans="1:14" x14ac:dyDescent="0.35">
      <c r="A100" s="123" t="s">
        <v>463</v>
      </c>
      <c r="B100" s="237"/>
      <c r="C100" s="89">
        <v>0.3</v>
      </c>
      <c r="D100" s="89"/>
      <c r="E100" s="89"/>
      <c r="F100" s="89"/>
      <c r="G100" s="89"/>
      <c r="H100" s="331">
        <v>0</v>
      </c>
      <c r="I100" s="89"/>
      <c r="J100" s="89"/>
      <c r="K100" s="89"/>
      <c r="L100" s="89"/>
      <c r="M100" s="329">
        <f>SUM(C100:L100)</f>
        <v>0.3</v>
      </c>
      <c r="N100" s="141" t="s">
        <v>147</v>
      </c>
    </row>
    <row r="101" spans="1:14" x14ac:dyDescent="0.35">
      <c r="A101" s="123" t="s">
        <v>464</v>
      </c>
      <c r="B101" s="237"/>
      <c r="C101" s="90">
        <v>800</v>
      </c>
      <c r="D101" s="90"/>
      <c r="E101" s="90"/>
      <c r="F101" s="90"/>
      <c r="G101" s="90"/>
      <c r="H101" s="332"/>
      <c r="I101" s="90"/>
      <c r="J101" s="90"/>
      <c r="K101" s="90"/>
      <c r="L101" s="90"/>
      <c r="M101" s="326"/>
      <c r="N101" s="338" t="s">
        <v>469</v>
      </c>
    </row>
    <row r="102" spans="1:14" x14ac:dyDescent="0.35">
      <c r="A102" t="s">
        <v>465</v>
      </c>
      <c r="B102" s="237"/>
      <c r="C102" s="324">
        <f>IF(OR(C100="",C101=""),"",IF(C101&gt;0,ABS(C100*C101),C100*C101)
)</f>
        <v>240</v>
      </c>
      <c r="D102" s="324" t="str">
        <f t="shared" ref="D102:G102" si="70">IF(OR(D100="",D101=""),"",IF(D101&gt;0,ABS(D100*D101),D100*D101)
)</f>
        <v/>
      </c>
      <c r="E102" s="324" t="str">
        <f t="shared" si="70"/>
        <v/>
      </c>
      <c r="F102" s="324" t="str">
        <f t="shared" si="70"/>
        <v/>
      </c>
      <c r="G102" s="324" t="str">
        <f t="shared" si="70"/>
        <v/>
      </c>
      <c r="H102" s="333">
        <v>0</v>
      </c>
      <c r="I102" s="90"/>
      <c r="J102" s="90"/>
      <c r="K102" s="90"/>
      <c r="L102" s="90"/>
      <c r="M102" s="330">
        <f>SUM(C102:L102)</f>
        <v>240</v>
      </c>
      <c r="N102" s="142" t="s">
        <v>148</v>
      </c>
    </row>
    <row r="103" spans="1:14" x14ac:dyDescent="0.35">
      <c r="A103" s="128" t="str">
        <f>IF(A101="","",$A$67)</f>
        <v xml:space="preserve">   Net trade volume all participants (should be zero)</v>
      </c>
      <c r="C103" s="42" t="str">
        <f t="shared" ref="C103:M103" si="71">IF(OR(C$28="",$A103=""),"",C$125)</f>
        <v/>
      </c>
      <c r="D103" s="42" t="str">
        <f>IF(OR(D$28="",$A103=""),"",D$125)</f>
        <v/>
      </c>
      <c r="E103" s="42" t="str">
        <f t="shared" si="71"/>
        <v/>
      </c>
      <c r="F103" s="42" t="str">
        <f t="shared" si="71"/>
        <v/>
      </c>
      <c r="G103" s="42" t="str">
        <f t="shared" si="71"/>
        <v/>
      </c>
      <c r="H103" s="42" t="str">
        <f t="shared" si="71"/>
        <v/>
      </c>
      <c r="I103" s="42" t="str">
        <f t="shared" si="71"/>
        <v/>
      </c>
      <c r="J103" s="42" t="str">
        <f t="shared" si="71"/>
        <v/>
      </c>
      <c r="K103" s="42" t="str">
        <f t="shared" si="71"/>
        <v/>
      </c>
      <c r="L103" s="42" t="str">
        <f t="shared" si="71"/>
        <v/>
      </c>
      <c r="M103" t="str">
        <f t="shared" si="71"/>
        <v/>
      </c>
      <c r="N103" s="138" t="s">
        <v>149</v>
      </c>
    </row>
    <row r="104" spans="1:14" x14ac:dyDescent="0.35">
      <c r="A104" s="1" t="str">
        <f>IF(A101="","","   Available Water [maf]")</f>
        <v xml:space="preserve">   Available Water [maf]</v>
      </c>
      <c r="C104" s="12" t="str">
        <f>IF(OR(C$28="",$A104=""),"",C40+C58-C50+C100)</f>
        <v/>
      </c>
      <c r="D104" s="12" t="str">
        <f t="shared" ref="D104:L104" si="72">IF(OR(D$28="",$A104=""),"",D40+D58-D50+D100)</f>
        <v/>
      </c>
      <c r="E104" s="12" t="str">
        <f t="shared" si="72"/>
        <v/>
      </c>
      <c r="F104" s="12" t="str">
        <f t="shared" ref="F104:G104" si="73">IF(OR(F$28="",$A104=""),"",F40+F58-F50+F100)</f>
        <v/>
      </c>
      <c r="G104" s="12" t="str">
        <f t="shared" si="73"/>
        <v/>
      </c>
      <c r="H104" s="12" t="str">
        <f t="shared" si="72"/>
        <v/>
      </c>
      <c r="I104" s="12" t="str">
        <f t="shared" si="72"/>
        <v/>
      </c>
      <c r="J104" s="12" t="str">
        <f t="shared" si="72"/>
        <v/>
      </c>
      <c r="K104" s="12" t="str">
        <f t="shared" si="72"/>
        <v/>
      </c>
      <c r="L104" s="12" t="str">
        <f t="shared" si="72"/>
        <v/>
      </c>
      <c r="N104" s="138" t="s">
        <v>150</v>
      </c>
    </row>
    <row r="105" spans="1:14" x14ac:dyDescent="0.35">
      <c r="A105" s="122" t="str">
        <f>IF(A104="","",$A$69)</f>
        <v xml:space="preserve">   Enter withdraw [maf] within available water</v>
      </c>
      <c r="C105" s="91">
        <v>0.75</v>
      </c>
      <c r="D105" s="91"/>
      <c r="E105" s="91"/>
      <c r="F105" s="91"/>
      <c r="G105" s="91"/>
      <c r="H105" s="91"/>
      <c r="I105" s="91"/>
      <c r="J105" s="91"/>
      <c r="K105" s="91"/>
      <c r="L105" s="91"/>
      <c r="N105" s="138" t="s">
        <v>155</v>
      </c>
    </row>
    <row r="106" spans="1:14" x14ac:dyDescent="0.35">
      <c r="A106" t="str">
        <f>IF(A105="","","   End of Year Balance [maf]")</f>
        <v xml:space="preserve">   End of Year Balance [maf]</v>
      </c>
      <c r="C106" s="12" t="str">
        <f>IF(OR(C$28="",$A106=""),"",C104-C105)</f>
        <v/>
      </c>
      <c r="D106" s="12" t="str">
        <f t="shared" ref="D106:L106" si="74">IF(OR(D$28="",$A106=""),"",D104-D105)</f>
        <v/>
      </c>
      <c r="E106" s="12" t="str">
        <f t="shared" si="74"/>
        <v/>
      </c>
      <c r="F106" s="12" t="str">
        <f t="shared" ref="F106:G106" si="75">IF(OR(F$28="",$A106=""),"",F104-F105)</f>
        <v/>
      </c>
      <c r="G106" s="12" t="str">
        <f t="shared" si="75"/>
        <v/>
      </c>
      <c r="H106" s="12" t="str">
        <f t="shared" si="74"/>
        <v/>
      </c>
      <c r="I106" s="12" t="str">
        <f t="shared" si="74"/>
        <v/>
      </c>
      <c r="J106" s="12" t="str">
        <f t="shared" si="74"/>
        <v/>
      </c>
      <c r="K106" s="12" t="str">
        <f t="shared" si="74"/>
        <v/>
      </c>
      <c r="L106" s="12" t="str">
        <f t="shared" si="74"/>
        <v/>
      </c>
      <c r="N106" s="138" t="s">
        <v>151</v>
      </c>
    </row>
    <row r="107" spans="1:14" x14ac:dyDescent="0.35">
      <c r="C107"/>
      <c r="N107" s="139"/>
    </row>
    <row r="108" spans="1:14" x14ac:dyDescent="0.35">
      <c r="A108" s="116" t="str">
        <f>IF(A$10="","[Unused]",A10&amp;" ("&amp;B10&amp;")")</f>
        <v>Tribal Nations of the Lower Basin ()</v>
      </c>
      <c r="B108" s="97"/>
      <c r="C108" s="97"/>
      <c r="D108" s="97"/>
      <c r="E108" s="97"/>
      <c r="F108" s="97"/>
      <c r="G108" s="97"/>
      <c r="H108" s="97"/>
      <c r="I108" s="97"/>
      <c r="J108" s="97"/>
      <c r="K108" s="97"/>
      <c r="L108" s="97"/>
      <c r="M108" s="98" t="s">
        <v>25</v>
      </c>
      <c r="N108" s="136" t="s">
        <v>146</v>
      </c>
    </row>
    <row r="109" spans="1:14" x14ac:dyDescent="0.35">
      <c r="A109" s="123" t="s">
        <v>463</v>
      </c>
      <c r="B109" s="237"/>
      <c r="C109" s="89">
        <v>-0.3</v>
      </c>
      <c r="D109" s="89"/>
      <c r="E109" s="89"/>
      <c r="F109" s="89"/>
      <c r="G109" s="89"/>
      <c r="H109" s="331">
        <v>0</v>
      </c>
      <c r="I109" s="89"/>
      <c r="J109" s="89"/>
      <c r="K109" s="89"/>
      <c r="L109" s="89"/>
      <c r="M109" s="329">
        <f>SUM(C109:L109)</f>
        <v>-0.3</v>
      </c>
      <c r="N109" s="141" t="s">
        <v>147</v>
      </c>
    </row>
    <row r="110" spans="1:14" x14ac:dyDescent="0.35">
      <c r="A110" s="123" t="s">
        <v>464</v>
      </c>
      <c r="B110" s="237"/>
      <c r="C110" s="90">
        <v>800</v>
      </c>
      <c r="D110" s="90"/>
      <c r="E110" s="90"/>
      <c r="F110" s="90"/>
      <c r="G110" s="90"/>
      <c r="H110" s="332"/>
      <c r="I110" s="90"/>
      <c r="J110" s="90"/>
      <c r="K110" s="90"/>
      <c r="L110" s="90"/>
      <c r="M110" s="326"/>
      <c r="N110" s="338" t="s">
        <v>469</v>
      </c>
    </row>
    <row r="111" spans="1:14" x14ac:dyDescent="0.35">
      <c r="A111" t="s">
        <v>465</v>
      </c>
      <c r="B111" s="237"/>
      <c r="C111" s="324">
        <f>IF(OR(C109="",C110=""),"",IF(C110&gt;0,ABS(C109*C110),C109*C110)
)</f>
        <v>240</v>
      </c>
      <c r="D111" s="324" t="str">
        <f t="shared" ref="D111:G111" si="76">IF(OR(D109="",D110=""),"",IF(D110&gt;0,ABS(D109*D110),D109*D110)
)</f>
        <v/>
      </c>
      <c r="E111" s="324" t="str">
        <f t="shared" si="76"/>
        <v/>
      </c>
      <c r="F111" s="324" t="str">
        <f t="shared" si="76"/>
        <v/>
      </c>
      <c r="G111" s="324" t="str">
        <f t="shared" si="76"/>
        <v/>
      </c>
      <c r="H111" s="333">
        <v>0</v>
      </c>
      <c r="I111" s="90"/>
      <c r="J111" s="90"/>
      <c r="K111" s="90"/>
      <c r="L111" s="90"/>
      <c r="M111" s="330">
        <f>SUM(C111:L111)</f>
        <v>240</v>
      </c>
      <c r="N111" s="142" t="s">
        <v>148</v>
      </c>
    </row>
    <row r="112" spans="1:14" x14ac:dyDescent="0.35">
      <c r="A112" s="128" t="str">
        <f>IF(A110="","",$A$67)</f>
        <v xml:space="preserve">   Net trade volume all participants (should be zero)</v>
      </c>
      <c r="C112" s="42" t="str">
        <f>IF(OR(C$28="",$A112=""),"",C$125)</f>
        <v/>
      </c>
      <c r="D112" s="42" t="str">
        <f t="shared" ref="D112:M112" si="77">IF(OR(D$28="",$A112=""),"",D$125)</f>
        <v/>
      </c>
      <c r="E112" s="42" t="str">
        <f t="shared" si="77"/>
        <v/>
      </c>
      <c r="F112" s="42" t="str">
        <f t="shared" si="77"/>
        <v/>
      </c>
      <c r="G112" s="42" t="str">
        <f t="shared" si="77"/>
        <v/>
      </c>
      <c r="H112" s="42" t="str">
        <f t="shared" si="77"/>
        <v/>
      </c>
      <c r="I112" s="42" t="str">
        <f t="shared" si="77"/>
        <v/>
      </c>
      <c r="J112" s="42" t="str">
        <f t="shared" si="77"/>
        <v/>
      </c>
      <c r="K112" s="42" t="str">
        <f t="shared" si="77"/>
        <v/>
      </c>
      <c r="L112" s="42" t="str">
        <f t="shared" si="77"/>
        <v/>
      </c>
      <c r="M112" t="str">
        <f t="shared" si="77"/>
        <v/>
      </c>
      <c r="N112" s="138" t="s">
        <v>149</v>
      </c>
    </row>
    <row r="113" spans="1:14" x14ac:dyDescent="0.35">
      <c r="A113" s="1" t="str">
        <f>IF(A110="","","   Available Water [maf]")</f>
        <v xml:space="preserve">   Available Water [maf]</v>
      </c>
      <c r="C113" s="12" t="str">
        <f>IF(OR(C$28="",$A113=""),"",C41+C59-C51+C109)</f>
        <v/>
      </c>
      <c r="D113" s="12" t="str">
        <f t="shared" ref="D113:L113" si="78">IF(OR(D$28="",$A113=""),"",D41+D59-D51+D109)</f>
        <v/>
      </c>
      <c r="E113" s="12" t="str">
        <f t="shared" si="78"/>
        <v/>
      </c>
      <c r="F113" s="12" t="str">
        <f t="shared" ref="F113:G113" si="79">IF(OR(F$28="",$A113=""),"",F41+F59-F51+F109)</f>
        <v/>
      </c>
      <c r="G113" s="12" t="str">
        <f t="shared" si="79"/>
        <v/>
      </c>
      <c r="H113" s="12" t="str">
        <f t="shared" si="78"/>
        <v/>
      </c>
      <c r="I113" s="12" t="str">
        <f t="shared" si="78"/>
        <v/>
      </c>
      <c r="J113" s="12" t="str">
        <f t="shared" si="78"/>
        <v/>
      </c>
      <c r="K113" s="12" t="str">
        <f t="shared" si="78"/>
        <v/>
      </c>
      <c r="L113" s="12" t="str">
        <f t="shared" si="78"/>
        <v/>
      </c>
      <c r="N113" s="138" t="s">
        <v>150</v>
      </c>
    </row>
    <row r="114" spans="1:14" x14ac:dyDescent="0.35">
      <c r="A114" s="122" t="str">
        <f>IF(A113="","",$A$69)</f>
        <v xml:space="preserve">   Enter withdraw [maf] within available water</v>
      </c>
      <c r="C114" s="91">
        <v>0.05</v>
      </c>
      <c r="D114" s="91"/>
      <c r="E114" s="91"/>
      <c r="F114" s="91"/>
      <c r="G114" s="91"/>
      <c r="H114" s="26"/>
      <c r="I114" s="26"/>
      <c r="J114" s="26"/>
      <c r="K114" s="26"/>
      <c r="L114" s="26"/>
      <c r="N114" s="138" t="s">
        <v>155</v>
      </c>
    </row>
    <row r="115" spans="1:14" x14ac:dyDescent="0.35">
      <c r="A115" t="str">
        <f>IF(A114="","","   End of Year Balance [maf]")</f>
        <v xml:space="preserve">   End of Year Balance [maf]</v>
      </c>
      <c r="C115" s="12" t="str">
        <f>IF(OR(C$28="",$A115=""),"",C113-C114)</f>
        <v/>
      </c>
      <c r="D115" s="12" t="str">
        <f t="shared" ref="D115:L115" si="80">IF(OR(D$28="",$A115=""),"",D113-D114)</f>
        <v/>
      </c>
      <c r="E115" s="12" t="str">
        <f t="shared" si="80"/>
        <v/>
      </c>
      <c r="F115" s="12" t="str">
        <f t="shared" ref="F115:G115" si="81">IF(OR(F$28="",$A115=""),"",F113-F114)</f>
        <v/>
      </c>
      <c r="G115" s="12" t="str">
        <f t="shared" si="81"/>
        <v/>
      </c>
      <c r="H115" s="12" t="str">
        <f t="shared" si="80"/>
        <v/>
      </c>
      <c r="I115" s="12" t="str">
        <f t="shared" si="80"/>
        <v/>
      </c>
      <c r="J115" s="12" t="str">
        <f t="shared" si="80"/>
        <v/>
      </c>
      <c r="K115" s="12" t="str">
        <f t="shared" si="80"/>
        <v/>
      </c>
      <c r="L115" s="12" t="str">
        <f t="shared" si="80"/>
        <v/>
      </c>
      <c r="N115" s="138" t="s">
        <v>151</v>
      </c>
    </row>
    <row r="116" spans="1:14" x14ac:dyDescent="0.35">
      <c r="C116"/>
      <c r="N116" s="139"/>
    </row>
    <row r="117" spans="1:14" x14ac:dyDescent="0.35">
      <c r="A117" s="99" t="s">
        <v>188</v>
      </c>
      <c r="B117" s="99"/>
      <c r="C117" s="99"/>
      <c r="D117" s="99"/>
      <c r="E117" s="99"/>
      <c r="F117" s="99"/>
      <c r="G117" s="99"/>
      <c r="H117" s="99"/>
      <c r="I117" s="99"/>
      <c r="J117" s="99"/>
      <c r="K117" s="99"/>
      <c r="L117" s="99"/>
      <c r="M117" s="99"/>
      <c r="N117" s="138" t="s">
        <v>152</v>
      </c>
    </row>
    <row r="118" spans="1:14" x14ac:dyDescent="0.35">
      <c r="A118" s="1" t="s">
        <v>102</v>
      </c>
      <c r="C118"/>
      <c r="M118" t="s">
        <v>49</v>
      </c>
      <c r="N118" s="139"/>
    </row>
    <row r="119" spans="1:14" x14ac:dyDescent="0.35">
      <c r="A119" t="str">
        <f t="shared" ref="A119:A124" si="82">IF(A5="","","    "&amp;A5)</f>
        <v xml:space="preserve">    Reclamation - Protect Zone</v>
      </c>
      <c r="B119" s="1"/>
      <c r="C119" s="42" t="str">
        <f>IF(OR(C$28="",$A119=""),"",C64)</f>
        <v/>
      </c>
      <c r="D119" s="42" t="str">
        <f t="shared" ref="D119:G119" si="83">IF(OR(D$28="",$A119=""),"",D64)</f>
        <v/>
      </c>
      <c r="E119" s="42" t="str">
        <f t="shared" si="83"/>
        <v/>
      </c>
      <c r="F119" s="42" t="str">
        <f t="shared" si="83"/>
        <v/>
      </c>
      <c r="G119" s="42" t="str">
        <f t="shared" si="83"/>
        <v/>
      </c>
      <c r="H119" s="42" t="str">
        <f t="shared" ref="H119:L119" ca="1" si="84">IF(OR(H$28="",$A119=""),"",OFFSET(H$64,8*(ROW(G119)-ROW(G$119)),0))</f>
        <v/>
      </c>
      <c r="I119" s="42" t="str">
        <f t="shared" ca="1" si="84"/>
        <v/>
      </c>
      <c r="J119" s="42" t="str">
        <f t="shared" ca="1" si="84"/>
        <v/>
      </c>
      <c r="K119" s="42" t="str">
        <f t="shared" ca="1" si="84"/>
        <v/>
      </c>
      <c r="L119" s="132" t="str">
        <f t="shared" ca="1" si="84"/>
        <v/>
      </c>
      <c r="M119" s="133">
        <f ca="1">IF(OR($A119=""),"",SUM(C119:L119))</f>
        <v>0</v>
      </c>
      <c r="N119" s="143"/>
    </row>
    <row r="120" spans="1:14" x14ac:dyDescent="0.35">
      <c r="A120" t="str">
        <f t="shared" si="82"/>
        <v xml:space="preserve">    California</v>
      </c>
      <c r="B120" s="1"/>
      <c r="C120" s="42" t="str">
        <f>IF(OR(C$28="",$A120=""),"",C73)</f>
        <v/>
      </c>
      <c r="D120" s="42" t="str">
        <f t="shared" ref="D120:G120" si="85">IF(OR(D$28="",$A120=""),"",D73)</f>
        <v/>
      </c>
      <c r="E120" s="42" t="str">
        <f t="shared" si="85"/>
        <v/>
      </c>
      <c r="F120" s="42" t="str">
        <f t="shared" si="85"/>
        <v/>
      </c>
      <c r="G120" s="42" t="str">
        <f t="shared" si="85"/>
        <v/>
      </c>
      <c r="H120" s="42" t="str">
        <f t="shared" ref="H120:L120" ca="1" si="86">IF(OR(H$28="",$A120=""),"",OFFSET(H$64,8*(ROW(G120)-ROW(G$119)),0))</f>
        <v/>
      </c>
      <c r="I120" s="42" t="str">
        <f t="shared" ca="1" si="86"/>
        <v/>
      </c>
      <c r="J120" s="42" t="str">
        <f t="shared" ca="1" si="86"/>
        <v/>
      </c>
      <c r="K120" s="42" t="str">
        <f t="shared" ca="1" si="86"/>
        <v/>
      </c>
      <c r="L120" s="132" t="str">
        <f t="shared" ca="1" si="86"/>
        <v/>
      </c>
      <c r="M120" s="133">
        <f t="shared" ref="M120:M124" ca="1" si="87">IF(OR($A120=""),"",SUM(C120:L120))</f>
        <v>0</v>
      </c>
      <c r="N120" s="143"/>
    </row>
    <row r="121" spans="1:14" x14ac:dyDescent="0.35">
      <c r="A121" t="str">
        <f t="shared" si="82"/>
        <v xml:space="preserve">    Arizona</v>
      </c>
      <c r="B121" s="1"/>
      <c r="C121" s="42" t="str">
        <f>IF(OR(C$28="",$A121=""),"",C82)</f>
        <v/>
      </c>
      <c r="D121" s="42" t="str">
        <f t="shared" ref="D121:G121" si="88">IF(OR(D$28="",$A121=""),"",D82)</f>
        <v/>
      </c>
      <c r="E121" s="42" t="str">
        <f t="shared" si="88"/>
        <v/>
      </c>
      <c r="F121" s="42" t="str">
        <f t="shared" si="88"/>
        <v/>
      </c>
      <c r="G121" s="42" t="str">
        <f t="shared" si="88"/>
        <v/>
      </c>
      <c r="H121" s="42" t="str">
        <f t="shared" ref="H121:L121" ca="1" si="89">IF(OR(H$28="",$A121=""),"",OFFSET(H$64,8*(ROW(G121)-ROW(G$119)),0))</f>
        <v/>
      </c>
      <c r="I121" s="42" t="str">
        <f t="shared" ca="1" si="89"/>
        <v/>
      </c>
      <c r="J121" s="42" t="str">
        <f t="shared" ca="1" si="89"/>
        <v/>
      </c>
      <c r="K121" s="42" t="str">
        <f t="shared" ca="1" si="89"/>
        <v/>
      </c>
      <c r="L121" s="132" t="str">
        <f t="shared" ca="1" si="89"/>
        <v/>
      </c>
      <c r="M121" s="133">
        <f t="shared" ca="1" si="87"/>
        <v>0</v>
      </c>
      <c r="N121" s="143"/>
    </row>
    <row r="122" spans="1:14" x14ac:dyDescent="0.35">
      <c r="A122" t="str">
        <f t="shared" si="82"/>
        <v xml:space="preserve">    Nevada</v>
      </c>
      <c r="B122" s="1"/>
      <c r="C122" s="42" t="str">
        <f>IF(OR(C$28="",$A122=""),"",C91)</f>
        <v/>
      </c>
      <c r="D122" s="42" t="str">
        <f t="shared" ref="D122:G122" si="90">IF(OR(D$28="",$A122=""),"",D91)</f>
        <v/>
      </c>
      <c r="E122" s="42" t="str">
        <f t="shared" si="90"/>
        <v/>
      </c>
      <c r="F122" s="42" t="str">
        <f t="shared" si="90"/>
        <v/>
      </c>
      <c r="G122" s="42" t="str">
        <f t="shared" si="90"/>
        <v/>
      </c>
      <c r="H122" s="42" t="str">
        <f t="shared" ref="H122:L122" ca="1" si="91">IF(OR(H$28="",$A122=""),"",OFFSET(H$64,8*(ROW(G122)-ROW(G$119)),0))</f>
        <v/>
      </c>
      <c r="I122" s="42" t="str">
        <f t="shared" ca="1" si="91"/>
        <v/>
      </c>
      <c r="J122" s="42" t="str">
        <f t="shared" ca="1" si="91"/>
        <v/>
      </c>
      <c r="K122" s="42" t="str">
        <f t="shared" ca="1" si="91"/>
        <v/>
      </c>
      <c r="L122" s="132" t="str">
        <f t="shared" ca="1" si="91"/>
        <v/>
      </c>
      <c r="M122" s="133">
        <f t="shared" ca="1" si="87"/>
        <v>0</v>
      </c>
      <c r="N122" s="143"/>
    </row>
    <row r="123" spans="1:14" x14ac:dyDescent="0.35">
      <c r="A123" t="str">
        <f t="shared" si="82"/>
        <v xml:space="preserve">    Mexico</v>
      </c>
      <c r="B123" s="1"/>
      <c r="C123" s="42" t="str">
        <f>IF(OR(C$28="",$A123=""),"",C100)</f>
        <v/>
      </c>
      <c r="D123" s="42" t="str">
        <f t="shared" ref="D123:G123" si="92">IF(OR(D$28="",$A123=""),"",D100)</f>
        <v/>
      </c>
      <c r="E123" s="42" t="str">
        <f t="shared" si="92"/>
        <v/>
      </c>
      <c r="F123" s="42" t="str">
        <f t="shared" si="92"/>
        <v/>
      </c>
      <c r="G123" s="42" t="str">
        <f t="shared" si="92"/>
        <v/>
      </c>
      <c r="H123" s="42" t="str">
        <f t="shared" ref="H123:L123" ca="1" si="93">IF(OR(H$28="",$A123=""),"",OFFSET(H$64,8*(ROW(G123)-ROW(G$119)),0))</f>
        <v/>
      </c>
      <c r="I123" s="42" t="str">
        <f t="shared" ca="1" si="93"/>
        <v/>
      </c>
      <c r="J123" s="42" t="str">
        <f t="shared" ca="1" si="93"/>
        <v/>
      </c>
      <c r="K123" s="42" t="str">
        <f t="shared" ca="1" si="93"/>
        <v/>
      </c>
      <c r="L123" s="132" t="str">
        <f t="shared" ca="1" si="93"/>
        <v/>
      </c>
      <c r="M123" s="133">
        <f t="shared" ca="1" si="87"/>
        <v>0</v>
      </c>
      <c r="N123" s="143"/>
    </row>
    <row r="124" spans="1:14" x14ac:dyDescent="0.35">
      <c r="A124" t="str">
        <f t="shared" si="82"/>
        <v xml:space="preserve">    Tribal Nations of the Lower Basin</v>
      </c>
      <c r="B124" s="1"/>
      <c r="C124" s="42" t="str">
        <f>IF(OR(C$28="",$A124=""),"",C109)</f>
        <v/>
      </c>
      <c r="D124" s="42" t="str">
        <f t="shared" ref="D124:G124" si="94">IF(OR(D$28="",$A124=""),"",D109)</f>
        <v/>
      </c>
      <c r="E124" s="42" t="str">
        <f t="shared" si="94"/>
        <v/>
      </c>
      <c r="F124" s="42" t="str">
        <f t="shared" si="94"/>
        <v/>
      </c>
      <c r="G124" s="42" t="str">
        <f t="shared" si="94"/>
        <v/>
      </c>
      <c r="H124" s="42" t="str">
        <f t="shared" ref="H124:L124" ca="1" si="95">IF(OR(H$28="",$A124=""),"",OFFSET(H$64,8*(ROW(G124)-ROW(G$119)),0))</f>
        <v/>
      </c>
      <c r="I124" s="42" t="str">
        <f t="shared" ca="1" si="95"/>
        <v/>
      </c>
      <c r="J124" s="42" t="str">
        <f t="shared" ca="1" si="95"/>
        <v/>
      </c>
      <c r="K124" s="42" t="str">
        <f t="shared" ca="1" si="95"/>
        <v/>
      </c>
      <c r="L124" s="132" t="str">
        <f t="shared" ca="1" si="95"/>
        <v/>
      </c>
      <c r="M124" s="133">
        <f t="shared" ca="1" si="87"/>
        <v>0</v>
      </c>
      <c r="N124" s="143"/>
    </row>
    <row r="125" spans="1:14" x14ac:dyDescent="0.35">
      <c r="A125" t="s">
        <v>38</v>
      </c>
      <c r="B125" s="1"/>
      <c r="C125" s="12" t="str">
        <f>IF(C$28&lt;&gt;"",SUM(C119:C124),"")</f>
        <v/>
      </c>
      <c r="D125" s="12" t="str">
        <f t="shared" ref="D125:G125" si="96">IF(D$28&lt;&gt;"",SUM(D119:D124),"")</f>
        <v/>
      </c>
      <c r="E125" s="12" t="str">
        <f t="shared" si="96"/>
        <v/>
      </c>
      <c r="F125" s="12" t="str">
        <f t="shared" si="96"/>
        <v/>
      </c>
      <c r="G125" s="12" t="str">
        <f t="shared" si="96"/>
        <v/>
      </c>
      <c r="H125" s="31" t="str">
        <f t="shared" ref="H125:L125" si="97">IF(H$28&lt;&gt;"",SUM(H119:H124),"")</f>
        <v/>
      </c>
      <c r="I125" s="31" t="str">
        <f t="shared" si="97"/>
        <v/>
      </c>
      <c r="J125" s="31" t="str">
        <f t="shared" si="97"/>
        <v/>
      </c>
      <c r="K125" s="31" t="str">
        <f t="shared" si="97"/>
        <v/>
      </c>
      <c r="L125" s="31" t="str">
        <f t="shared" si="97"/>
        <v/>
      </c>
      <c r="M125" s="19"/>
      <c r="N125" s="144"/>
    </row>
    <row r="126" spans="1:14" x14ac:dyDescent="0.35">
      <c r="A126" s="1" t="s">
        <v>103</v>
      </c>
      <c r="B126" s="1"/>
      <c r="C126" s="33"/>
      <c r="D126" s="2"/>
      <c r="E126" s="33"/>
      <c r="F126" s="2"/>
      <c r="G126" s="2"/>
      <c r="H126" s="2"/>
      <c r="I126" s="2"/>
      <c r="J126" s="2"/>
      <c r="K126" s="2"/>
      <c r="L126" s="2"/>
      <c r="N126" s="139"/>
    </row>
    <row r="127" spans="1:14" x14ac:dyDescent="0.35">
      <c r="A127" t="str">
        <f>IF(A5="","","    "&amp;A5&amp;" - Consumptive Use and Headwaters Losses")</f>
        <v xml:space="preserve">    Reclamation - Protect Zone - Consumptive Use and Headwaters Losses</v>
      </c>
      <c r="C127" s="42" t="str">
        <f>IF(OR(C$28="",$A127=""),"",C69)</f>
        <v/>
      </c>
      <c r="D127" s="42" t="str">
        <f t="shared" ref="D127:G127" si="98">IF(OR(D$28="",$A127=""),"",D69)</f>
        <v/>
      </c>
      <c r="E127" s="42" t="str">
        <f t="shared" si="98"/>
        <v/>
      </c>
      <c r="F127" s="42" t="str">
        <f t="shared" si="98"/>
        <v/>
      </c>
      <c r="G127" s="42" t="str">
        <f t="shared" si="98"/>
        <v/>
      </c>
      <c r="H127" s="42" t="str">
        <f t="shared" ref="H127:L127" ca="1" si="99">IF(OR(H$28="",$A127=""),"",OFFSET(H$69,8*(ROW(G127)-ROW(G$127)),0))</f>
        <v/>
      </c>
      <c r="I127" s="42" t="str">
        <f t="shared" ca="1" si="99"/>
        <v/>
      </c>
      <c r="J127" s="42" t="str">
        <f t="shared" ca="1" si="99"/>
        <v/>
      </c>
      <c r="K127" s="42" t="str">
        <f t="shared" ca="1" si="99"/>
        <v/>
      </c>
      <c r="L127" s="42" t="str">
        <f t="shared" ca="1" si="99"/>
        <v/>
      </c>
      <c r="N127" s="139"/>
    </row>
    <row r="128" spans="1:14" x14ac:dyDescent="0.35">
      <c r="A128" t="str">
        <f>IF(A6="","","    "&amp;A6&amp;" - Release from Mead")</f>
        <v xml:space="preserve">    California - Release from Mead</v>
      </c>
      <c r="C128" s="42" t="str">
        <f>IF(OR(C$28="",$A128=""),"",C78)</f>
        <v/>
      </c>
      <c r="D128" s="42" t="str">
        <f t="shared" ref="D128:G128" si="100">IF(OR(D$28="",$A128=""),"",D78)</f>
        <v/>
      </c>
      <c r="E128" s="42" t="str">
        <f t="shared" si="100"/>
        <v/>
      </c>
      <c r="F128" s="42" t="str">
        <f t="shared" si="100"/>
        <v/>
      </c>
      <c r="G128" s="42" t="str">
        <f t="shared" si="100"/>
        <v/>
      </c>
      <c r="H128" s="42" t="str">
        <f t="shared" ref="H128:L128" ca="1" si="101">IF(OR(H$28="",$A128=""),"",OFFSET(H$69,8*(ROW(G128)-ROW(G$127)),0))</f>
        <v/>
      </c>
      <c r="I128" s="42" t="str">
        <f t="shared" ca="1" si="101"/>
        <v/>
      </c>
      <c r="J128" s="42" t="str">
        <f t="shared" ca="1" si="101"/>
        <v/>
      </c>
      <c r="K128" s="42" t="str">
        <f t="shared" ca="1" si="101"/>
        <v/>
      </c>
      <c r="L128" s="42" t="str">
        <f t="shared" ca="1" si="101"/>
        <v/>
      </c>
      <c r="N128" s="139"/>
    </row>
    <row r="129" spans="1:14" x14ac:dyDescent="0.35">
      <c r="A129" t="str">
        <f>IF(A7="","","    "&amp;A7&amp;" - Release from Mead")</f>
        <v xml:space="preserve">    Arizona - Release from Mead</v>
      </c>
      <c r="C129" s="42" t="str">
        <f>IF(OR(C$28="",$A129=""),"",C87)</f>
        <v/>
      </c>
      <c r="D129" s="42" t="str">
        <f t="shared" ref="D129:G129" si="102">IF(OR(D$28="",$A129=""),"",D87)</f>
        <v/>
      </c>
      <c r="E129" s="42" t="str">
        <f t="shared" si="102"/>
        <v/>
      </c>
      <c r="F129" s="42" t="str">
        <f t="shared" si="102"/>
        <v/>
      </c>
      <c r="G129" s="42" t="str">
        <f t="shared" si="102"/>
        <v/>
      </c>
      <c r="H129" s="42" t="str">
        <f t="shared" ref="H129:L129" ca="1" si="103">IF(OR(H$28="",$A129=""),"",OFFSET(H$69,8*(ROW(G129)-ROW(G$127)),0))</f>
        <v/>
      </c>
      <c r="I129" s="42" t="str">
        <f t="shared" ca="1" si="103"/>
        <v/>
      </c>
      <c r="J129" s="42" t="str">
        <f t="shared" ca="1" si="103"/>
        <v/>
      </c>
      <c r="K129" s="42" t="str">
        <f t="shared" ca="1" si="103"/>
        <v/>
      </c>
      <c r="L129" s="42" t="str">
        <f t="shared" ca="1" si="103"/>
        <v/>
      </c>
      <c r="N129" s="139"/>
    </row>
    <row r="130" spans="1:14" x14ac:dyDescent="0.35">
      <c r="A130" t="str">
        <f>IF(A8="","","    "&amp;A8&amp;" - Release from Mead")</f>
        <v xml:space="preserve">    Nevada - Release from Mead</v>
      </c>
      <c r="C130" s="42" t="str">
        <f>IF(OR(C$28="",$A130=""),"",C96)</f>
        <v/>
      </c>
      <c r="D130" s="42" t="str">
        <f t="shared" ref="D130:G130" si="104">IF(OR(D$28="",$A130=""),"",D96)</f>
        <v/>
      </c>
      <c r="E130" s="42" t="str">
        <f t="shared" si="104"/>
        <v/>
      </c>
      <c r="F130" s="42" t="str">
        <f t="shared" si="104"/>
        <v/>
      </c>
      <c r="G130" s="42" t="str">
        <f t="shared" si="104"/>
        <v/>
      </c>
      <c r="H130" s="42" t="str">
        <f t="shared" ref="H130:L130" ca="1" si="105">IF(OR(H$28="",$A130=""),"",OFFSET(H$69,8*(ROW(G130)-ROW(G$127)),0))</f>
        <v/>
      </c>
      <c r="I130" s="42" t="str">
        <f t="shared" ca="1" si="105"/>
        <v/>
      </c>
      <c r="J130" s="42" t="str">
        <f t="shared" ca="1" si="105"/>
        <v/>
      </c>
      <c r="K130" s="42" t="str">
        <f t="shared" ca="1" si="105"/>
        <v/>
      </c>
      <c r="L130" s="42" t="str">
        <f t="shared" ca="1" si="105"/>
        <v/>
      </c>
      <c r="N130" s="139"/>
    </row>
    <row r="131" spans="1:14" x14ac:dyDescent="0.35">
      <c r="A131" t="str">
        <f>IF(A9="","","    "&amp;A9&amp;" - Release from Mead")</f>
        <v xml:space="preserve">    Mexico - Release from Mead</v>
      </c>
      <c r="C131" s="42" t="str">
        <f>IF(OR(C$28="",$A131=""),"",C105)</f>
        <v/>
      </c>
      <c r="D131" s="42" t="str">
        <f t="shared" ref="D131:G131" si="106">IF(OR(D$28="",$A131=""),"",D105)</f>
        <v/>
      </c>
      <c r="E131" s="42" t="str">
        <f t="shared" si="106"/>
        <v/>
      </c>
      <c r="F131" s="42" t="str">
        <f t="shared" si="106"/>
        <v/>
      </c>
      <c r="G131" s="42" t="str">
        <f t="shared" si="106"/>
        <v/>
      </c>
      <c r="H131" s="42" t="str">
        <f t="shared" ref="H131:L131" ca="1" si="107">IF(OR(H$28="",$A131=""),"",OFFSET(H$69,8*(ROW(G131)-ROW(G$127)),0))</f>
        <v/>
      </c>
      <c r="I131" s="42" t="str">
        <f t="shared" ca="1" si="107"/>
        <v/>
      </c>
      <c r="J131" s="42" t="str">
        <f t="shared" ca="1" si="107"/>
        <v/>
      </c>
      <c r="K131" s="42" t="str">
        <f t="shared" ca="1" si="107"/>
        <v/>
      </c>
      <c r="L131" s="42" t="str">
        <f t="shared" ca="1" si="107"/>
        <v/>
      </c>
      <c r="N131" s="139"/>
    </row>
    <row r="132" spans="1:14" x14ac:dyDescent="0.35">
      <c r="A132" t="str">
        <f>IF(A10="","","    "&amp;A10&amp;" - Release from Mead")</f>
        <v xml:space="preserve">    Tribal Nations of the Lower Basin - Release from Mead</v>
      </c>
      <c r="C132" s="42" t="str">
        <f>IF(OR(C$28="",$A132=""),"",C114)</f>
        <v/>
      </c>
      <c r="D132" s="42" t="str">
        <f t="shared" ref="D132:G132" si="108">IF(OR(D$28="",$A132=""),"",D114)</f>
        <v/>
      </c>
      <c r="E132" s="42" t="str">
        <f t="shared" si="108"/>
        <v/>
      </c>
      <c r="F132" s="42" t="str">
        <f t="shared" si="108"/>
        <v/>
      </c>
      <c r="G132" s="42" t="str">
        <f t="shared" si="108"/>
        <v/>
      </c>
      <c r="H132" s="42" t="str">
        <f t="shared" ref="H132:L132" ca="1" si="109">IF(OR(H$28="",$A132=""),"",OFFSET(H$69,8*(ROW(G132)-ROW(G$127)),0))</f>
        <v/>
      </c>
      <c r="I132" s="42" t="str">
        <f t="shared" ca="1" si="109"/>
        <v/>
      </c>
      <c r="J132" s="42" t="str">
        <f t="shared" ca="1" si="109"/>
        <v/>
      </c>
      <c r="K132" s="42" t="str">
        <f t="shared" ca="1" si="109"/>
        <v/>
      </c>
      <c r="L132" s="42" t="str">
        <f t="shared" ca="1" si="109"/>
        <v/>
      </c>
      <c r="N132" s="139"/>
    </row>
    <row r="133" spans="1:14" x14ac:dyDescent="0.35">
      <c r="A133" s="1" t="s">
        <v>252</v>
      </c>
      <c r="B133" s="1"/>
      <c r="C133" s="17"/>
      <c r="D133" s="2"/>
      <c r="E133" s="2"/>
      <c r="F133" s="2"/>
      <c r="G133" s="2"/>
      <c r="H133" s="2"/>
      <c r="I133" s="2"/>
      <c r="J133" s="2"/>
      <c r="K133" s="2"/>
      <c r="L133" s="2"/>
      <c r="N133" s="139"/>
    </row>
    <row r="134" spans="1:14" x14ac:dyDescent="0.35">
      <c r="A134" t="str">
        <f t="shared" ref="A134:A139" si="110">IF(A5="","","    "&amp;A5)</f>
        <v xml:space="preserve">    Reclamation - Protect Zone</v>
      </c>
      <c r="C134" s="42" t="str">
        <f>IF(OR(C$28="",$A134=""),"",C70)</f>
        <v/>
      </c>
      <c r="D134" s="42" t="str">
        <f t="shared" ref="D134:G134" si="111">IF(OR(D$28="",$A134=""),"",D70)</f>
        <v/>
      </c>
      <c r="E134" s="42" t="str">
        <f t="shared" si="111"/>
        <v/>
      </c>
      <c r="F134" s="42" t="str">
        <f t="shared" si="111"/>
        <v/>
      </c>
      <c r="G134" s="42" t="str">
        <f t="shared" si="111"/>
        <v/>
      </c>
      <c r="H134" s="42" t="str">
        <f t="shared" ref="H134:L134" ca="1" si="112">IF(OR(H$28="",$A134=""),"",OFFSET(H$70,8*(ROW(G134)-ROW(G$134)),0))</f>
        <v/>
      </c>
      <c r="I134" s="42" t="str">
        <f t="shared" ca="1" si="112"/>
        <v/>
      </c>
      <c r="J134" s="42" t="str">
        <f t="shared" ca="1" si="112"/>
        <v/>
      </c>
      <c r="K134" s="42" t="str">
        <f t="shared" ca="1" si="112"/>
        <v/>
      </c>
      <c r="L134" s="42" t="str">
        <f t="shared" ca="1" si="112"/>
        <v/>
      </c>
      <c r="N134" s="139"/>
    </row>
    <row r="135" spans="1:14" x14ac:dyDescent="0.35">
      <c r="A135" t="str">
        <f t="shared" si="110"/>
        <v xml:space="preserve">    California</v>
      </c>
      <c r="C135" s="42" t="str">
        <f>IF(OR(C$28="",$A135=""),"",C79)</f>
        <v/>
      </c>
      <c r="D135" s="42" t="str">
        <f t="shared" ref="D135:G135" si="113">IF(OR(D$28="",$A135=""),"",D79)</f>
        <v/>
      </c>
      <c r="E135" s="42" t="str">
        <f t="shared" si="113"/>
        <v/>
      </c>
      <c r="F135" s="42" t="str">
        <f t="shared" si="113"/>
        <v/>
      </c>
      <c r="G135" s="42" t="str">
        <f t="shared" si="113"/>
        <v/>
      </c>
      <c r="H135" s="42" t="str">
        <f t="shared" ref="H135:L135" ca="1" si="114">IF(OR(H$28="",$A135=""),"",OFFSET(H$70,8*(ROW(G135)-ROW(G$134)),0))</f>
        <v/>
      </c>
      <c r="I135" s="42" t="str">
        <f t="shared" ca="1" si="114"/>
        <v/>
      </c>
      <c r="J135" s="42" t="str">
        <f t="shared" ca="1" si="114"/>
        <v/>
      </c>
      <c r="K135" s="42" t="str">
        <f t="shared" ca="1" si="114"/>
        <v/>
      </c>
      <c r="L135" s="42" t="str">
        <f t="shared" ca="1" si="114"/>
        <v/>
      </c>
      <c r="N135" s="139"/>
    </row>
    <row r="136" spans="1:14" x14ac:dyDescent="0.35">
      <c r="A136" t="str">
        <f t="shared" si="110"/>
        <v xml:space="preserve">    Arizona</v>
      </c>
      <c r="C136" s="42" t="str">
        <f>IF(OR(C$28="",$A136=""),"",C88)</f>
        <v/>
      </c>
      <c r="D136" s="42" t="str">
        <f t="shared" ref="D136:G136" si="115">IF(OR(D$28="",$A136=""),"",D88)</f>
        <v/>
      </c>
      <c r="E136" s="42" t="str">
        <f t="shared" si="115"/>
        <v/>
      </c>
      <c r="F136" s="42" t="str">
        <f t="shared" si="115"/>
        <v/>
      </c>
      <c r="G136" s="42" t="str">
        <f t="shared" si="115"/>
        <v/>
      </c>
      <c r="H136" s="42" t="str">
        <f t="shared" ref="H136:L136" ca="1" si="116">IF(OR(H$28="",$A136=""),"",OFFSET(H$70,8*(ROW(G136)-ROW(G$134)),0))</f>
        <v/>
      </c>
      <c r="I136" s="42" t="str">
        <f t="shared" ca="1" si="116"/>
        <v/>
      </c>
      <c r="J136" s="42" t="str">
        <f t="shared" ca="1" si="116"/>
        <v/>
      </c>
      <c r="K136" s="42" t="str">
        <f t="shared" ca="1" si="116"/>
        <v/>
      </c>
      <c r="L136" s="42" t="str">
        <f t="shared" ca="1" si="116"/>
        <v/>
      </c>
      <c r="N136" s="139"/>
    </row>
    <row r="137" spans="1:14" x14ac:dyDescent="0.35">
      <c r="A137" t="str">
        <f t="shared" si="110"/>
        <v xml:space="preserve">    Nevada</v>
      </c>
      <c r="C137" s="42" t="str">
        <f>IF(OR(C$28="",$A137=""),"",C97)</f>
        <v/>
      </c>
      <c r="D137" s="42" t="str">
        <f t="shared" ref="D137:G137" si="117">IF(OR(D$28="",$A137=""),"",D97)</f>
        <v/>
      </c>
      <c r="E137" s="42" t="str">
        <f t="shared" si="117"/>
        <v/>
      </c>
      <c r="F137" s="42" t="str">
        <f t="shared" si="117"/>
        <v/>
      </c>
      <c r="G137" s="42" t="str">
        <f t="shared" si="117"/>
        <v/>
      </c>
      <c r="H137" s="42" t="str">
        <f t="shared" ref="H137:L137" ca="1" si="118">IF(OR(H$28="",$A137=""),"",OFFSET(H$70,8*(ROW(G137)-ROW(G$134)),0))</f>
        <v/>
      </c>
      <c r="I137" s="42" t="str">
        <f t="shared" ca="1" si="118"/>
        <v/>
      </c>
      <c r="J137" s="42" t="str">
        <f t="shared" ca="1" si="118"/>
        <v/>
      </c>
      <c r="K137" s="42" t="str">
        <f t="shared" ca="1" si="118"/>
        <v/>
      </c>
      <c r="L137" s="42" t="str">
        <f t="shared" ca="1" si="118"/>
        <v/>
      </c>
      <c r="N137" s="139"/>
    </row>
    <row r="138" spans="1:14" x14ac:dyDescent="0.35">
      <c r="A138" t="str">
        <f t="shared" si="110"/>
        <v xml:space="preserve">    Mexico</v>
      </c>
      <c r="C138" s="42" t="str">
        <f>IF(OR(C$28="",$A138=""),"",C106)</f>
        <v/>
      </c>
      <c r="D138" s="42" t="str">
        <f t="shared" ref="D138:G138" si="119">IF(OR(D$28="",$A138=""),"",D106)</f>
        <v/>
      </c>
      <c r="E138" s="42" t="str">
        <f t="shared" si="119"/>
        <v/>
      </c>
      <c r="F138" s="42" t="str">
        <f t="shared" si="119"/>
        <v/>
      </c>
      <c r="G138" s="42" t="str">
        <f t="shared" si="119"/>
        <v/>
      </c>
      <c r="H138" s="42" t="str">
        <f t="shared" ref="H138:L138" ca="1" si="120">IF(OR(H$28="",$A138=""),"",OFFSET(H$70,8*(ROW(G138)-ROW(G$134)),0))</f>
        <v/>
      </c>
      <c r="I138" s="42" t="str">
        <f t="shared" ca="1" si="120"/>
        <v/>
      </c>
      <c r="J138" s="42" t="str">
        <f t="shared" ca="1" si="120"/>
        <v/>
      </c>
      <c r="K138" s="42" t="str">
        <f t="shared" ca="1" si="120"/>
        <v/>
      </c>
      <c r="L138" s="42" t="str">
        <f t="shared" ca="1" si="120"/>
        <v/>
      </c>
      <c r="N138" s="139"/>
    </row>
    <row r="139" spans="1:14" x14ac:dyDescent="0.35">
      <c r="A139" t="str">
        <f t="shared" si="110"/>
        <v xml:space="preserve">    Tribal Nations of the Lower Basin</v>
      </c>
      <c r="C139" s="42" t="str">
        <f>IF(OR(C$28="",$A139=""),"",C115)</f>
        <v/>
      </c>
      <c r="D139" s="42" t="str">
        <f t="shared" ref="D139:G139" si="121">IF(OR(D$28="",$A139=""),"",D115)</f>
        <v/>
      </c>
      <c r="E139" s="42" t="str">
        <f t="shared" si="121"/>
        <v/>
      </c>
      <c r="F139" s="42" t="str">
        <f t="shared" si="121"/>
        <v/>
      </c>
      <c r="G139" s="42" t="str">
        <f t="shared" si="121"/>
        <v/>
      </c>
      <c r="H139" s="42" t="str">
        <f t="shared" ref="H139:L139" ca="1" si="122">IF(OR(H$28="",$A139=""),"",OFFSET(H$70,8*(ROW(G139)-ROW(G$134)),0))</f>
        <v/>
      </c>
      <c r="I139" s="42" t="str">
        <f t="shared" ca="1" si="122"/>
        <v/>
      </c>
      <c r="J139" s="42" t="str">
        <f t="shared" ca="1" si="122"/>
        <v/>
      </c>
      <c r="K139" s="42" t="str">
        <f t="shared" ca="1" si="122"/>
        <v/>
      </c>
      <c r="L139" s="42" t="str">
        <f t="shared" ca="1" si="122"/>
        <v/>
      </c>
      <c r="N139" s="139"/>
    </row>
    <row r="140" spans="1:14" x14ac:dyDescent="0.35">
      <c r="A140" s="1" t="s">
        <v>247</v>
      </c>
      <c r="C140" s="17"/>
      <c r="H140" s="12" t="str">
        <f t="shared" ref="H140:L140" si="123">IF(H$28&lt;&gt;"",SUM(H134:H139),"")</f>
        <v/>
      </c>
      <c r="I140" s="12" t="str">
        <f t="shared" si="123"/>
        <v/>
      </c>
      <c r="J140" s="12" t="str">
        <f t="shared" si="123"/>
        <v/>
      </c>
      <c r="K140" s="12" t="str">
        <f t="shared" si="123"/>
        <v/>
      </c>
      <c r="L140" s="12" t="str">
        <f t="shared" si="123"/>
        <v/>
      </c>
      <c r="N140" s="138" t="s">
        <v>295</v>
      </c>
    </row>
    <row r="141" spans="1:14" x14ac:dyDescent="0.35">
      <c r="A141" t="s">
        <v>248</v>
      </c>
      <c r="B141" s="1"/>
      <c r="C141" s="12" t="str">
        <f>IF(C$28&lt;&gt;"",SUM(C134:C139),"")</f>
        <v/>
      </c>
      <c r="D141" s="12" t="str">
        <f>IF(D$28&lt;&gt;"",SUM(D134:D139),"")</f>
        <v/>
      </c>
      <c r="E141" s="12" t="str">
        <f t="shared" ref="E141:G141" si="124">IF(E$28&lt;&gt;"",SUM(E134:E139),"")</f>
        <v/>
      </c>
      <c r="F141" s="12" t="str">
        <f t="shared" si="124"/>
        <v/>
      </c>
      <c r="G141" s="12" t="str">
        <f t="shared" si="124"/>
        <v/>
      </c>
      <c r="H141" s="12"/>
      <c r="I141" s="12"/>
      <c r="J141" s="12"/>
      <c r="K141" s="12"/>
      <c r="L141" s="12"/>
      <c r="N141" s="138"/>
    </row>
    <row r="142" spans="1:14" x14ac:dyDescent="0.35">
      <c r="A142" t="s">
        <v>249</v>
      </c>
      <c r="B142" s="1"/>
      <c r="C142" s="339" t="str">
        <f>IF(C$28&lt;&gt;"",VLOOKUP(C141*1000000,'Mead-Elevation-Area'!$B$5:$H$689,7),"")</f>
        <v/>
      </c>
      <c r="D142" s="204" t="str">
        <f>IF(D$28&lt;&gt;"",VLOOKUP(D141*1000000,'Mead-Elevation-Area'!$B$5:$H$689,7),"")</f>
        <v/>
      </c>
      <c r="E142" s="339" t="str">
        <f>IF(E$28&lt;&gt;"",VLOOKUP(E141*1000000,'Mead-Elevation-Area'!$B$5:$H$689,7),"")</f>
        <v/>
      </c>
      <c r="F142" s="204" t="str">
        <f>IF(F$28&lt;&gt;"",VLOOKUP(F141*1000000,'Mead-Elevation-Area'!$B$5:$H$689,7),"")</f>
        <v/>
      </c>
      <c r="G142" s="339" t="str">
        <f>IF(G$28&lt;&gt;"",VLOOKUP(G141*1000000,'Mead-Elevation-Area'!$B$5:$H$689,7),"")</f>
        <v/>
      </c>
      <c r="H142" s="12"/>
      <c r="I142" s="12"/>
      <c r="J142" s="12"/>
      <c r="K142" s="12"/>
      <c r="L142" s="12"/>
      <c r="N142" s="138"/>
    </row>
    <row r="143" spans="1:14" x14ac:dyDescent="0.35">
      <c r="A143" s="122" t="s">
        <v>250</v>
      </c>
      <c r="C143" s="17"/>
      <c r="N143" s="138" t="s">
        <v>153</v>
      </c>
    </row>
    <row r="145" spans="4:4" x14ac:dyDescent="0.35">
      <c r="D145" s="14"/>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69">
    <cfRule type="cellIs" dxfId="55" priority="35" operator="greaterThan">
      <formula>$C$68</formula>
    </cfRule>
  </conditionalFormatting>
  <conditionalFormatting sqref="C78">
    <cfRule type="cellIs" dxfId="54" priority="94" operator="greaterThan">
      <formula>$C$77</formula>
    </cfRule>
  </conditionalFormatting>
  <conditionalFormatting sqref="C87 E87 G87">
    <cfRule type="cellIs" dxfId="53" priority="84" operator="greaterThan">
      <formula>$C$86</formula>
    </cfRule>
  </conditionalFormatting>
  <conditionalFormatting sqref="C96">
    <cfRule type="cellIs" dxfId="52" priority="24" operator="greaterThan">
      <formula>$C$95</formula>
    </cfRule>
  </conditionalFormatting>
  <conditionalFormatting sqref="C105 E105 G105">
    <cfRule type="cellIs" dxfId="51" priority="64" operator="greaterThan">
      <formula>$C$104</formula>
    </cfRule>
  </conditionalFormatting>
  <conditionalFormatting sqref="C114">
    <cfRule type="cellIs" dxfId="50" priority="4" operator="greaterThan">
      <formula>$C$113</formula>
    </cfRule>
  </conditionalFormatting>
  <conditionalFormatting sqref="D69">
    <cfRule type="cellIs" dxfId="49" priority="33" operator="greaterThan">
      <formula>$D$68</formula>
    </cfRule>
  </conditionalFormatting>
  <conditionalFormatting sqref="D78">
    <cfRule type="cellIs" dxfId="48" priority="25" operator="greaterThan">
      <formula>$D$77</formula>
    </cfRule>
  </conditionalFormatting>
  <conditionalFormatting sqref="D87 F87">
    <cfRule type="cellIs" dxfId="47" priority="44" operator="greaterThan">
      <formula>$F$86</formula>
    </cfRule>
  </conditionalFormatting>
  <conditionalFormatting sqref="D87">
    <cfRule type="cellIs" dxfId="46" priority="22" operator="greaterThan">
      <formula>$D$86</formula>
    </cfRule>
  </conditionalFormatting>
  <conditionalFormatting sqref="D96">
    <cfRule type="cellIs" dxfId="45" priority="42" operator="greaterThan">
      <formula>$D$95</formula>
    </cfRule>
  </conditionalFormatting>
  <conditionalFormatting sqref="D105 F105">
    <cfRule type="cellIs" dxfId="44" priority="40" operator="greaterThan">
      <formula>$F$104</formula>
    </cfRule>
  </conditionalFormatting>
  <conditionalFormatting sqref="D105">
    <cfRule type="cellIs" dxfId="43" priority="20" operator="greaterThan">
      <formula>$D$104</formula>
    </cfRule>
  </conditionalFormatting>
  <conditionalFormatting sqref="D114 F114">
    <cfRule type="cellIs" dxfId="42" priority="38" operator="greaterThan">
      <formula>$F$113</formula>
    </cfRule>
  </conditionalFormatting>
  <conditionalFormatting sqref="D114">
    <cfRule type="cellIs" dxfId="41" priority="18" operator="greaterThan">
      <formula>$D$113</formula>
    </cfRule>
  </conditionalFormatting>
  <conditionalFormatting sqref="E69">
    <cfRule type="cellIs" dxfId="40" priority="31" operator="greaterThan">
      <formula>$E$68</formula>
    </cfRule>
  </conditionalFormatting>
  <conditionalFormatting sqref="E78">
    <cfRule type="cellIs" dxfId="39" priority="16" operator="greaterThan">
      <formula>$E$77</formula>
    </cfRule>
  </conditionalFormatting>
  <conditionalFormatting sqref="E96">
    <cfRule type="cellIs" dxfId="38" priority="14" operator="greaterThan">
      <formula>$E$95</formula>
    </cfRule>
  </conditionalFormatting>
  <conditionalFormatting sqref="E114">
    <cfRule type="cellIs" dxfId="37" priority="2" operator="greaterThan">
      <formula>$E$113</formula>
    </cfRule>
  </conditionalFormatting>
  <conditionalFormatting sqref="F69">
    <cfRule type="cellIs" dxfId="36" priority="29" operator="greaterThan">
      <formula>$F$68</formula>
    </cfRule>
  </conditionalFormatting>
  <conditionalFormatting sqref="F78">
    <cfRule type="cellIs" dxfId="35" priority="12" operator="greaterThan">
      <formula>$F$77</formula>
    </cfRule>
  </conditionalFormatting>
  <conditionalFormatting sqref="F96">
    <cfRule type="cellIs" dxfId="34" priority="10" operator="greaterThan">
      <formula>$F$95</formula>
    </cfRule>
  </conditionalFormatting>
  <conditionalFormatting sqref="G69">
    <cfRule type="cellIs" dxfId="33" priority="8" operator="greaterThan">
      <formula>$G$68</formula>
    </cfRule>
  </conditionalFormatting>
  <conditionalFormatting sqref="G78">
    <cfRule type="cellIs" dxfId="32" priority="6" operator="greaterThan">
      <formula>$G$77</formula>
    </cfRule>
  </conditionalFormatting>
  <conditionalFormatting sqref="G96">
    <cfRule type="cellIs" dxfId="31" priority="74" operator="greaterThan">
      <formula>$G$95</formula>
    </cfRule>
  </conditionalFormatting>
  <conditionalFormatting sqref="G114">
    <cfRule type="cellIs" dxfId="30" priority="54" operator="greaterThan">
      <formula>$G$113</formula>
    </cfRule>
  </conditionalFormatting>
  <conditionalFormatting sqref="H69">
    <cfRule type="cellIs" dxfId="29" priority="181" operator="greaterThan">
      <formula>$H$68</formula>
    </cfRule>
  </conditionalFormatting>
  <conditionalFormatting sqref="H78">
    <cfRule type="cellIs" dxfId="28" priority="164" operator="greaterThan">
      <formula>$H$77</formula>
    </cfRule>
  </conditionalFormatting>
  <conditionalFormatting sqref="H87">
    <cfRule type="cellIs" dxfId="27" priority="154" operator="greaterThan">
      <formula>$H$86</formula>
    </cfRule>
  </conditionalFormatting>
  <conditionalFormatting sqref="H105">
    <cfRule type="cellIs" dxfId="26" priority="143" operator="greaterThan">
      <formula>$H$104</formula>
    </cfRule>
  </conditionalFormatting>
  <conditionalFormatting sqref="H114">
    <cfRule type="cellIs" dxfId="25" priority="133" operator="greaterThan">
      <formula>$H$113</formula>
    </cfRule>
  </conditionalFormatting>
  <conditionalFormatting sqref="H96:L96">
    <cfRule type="cellIs" dxfId="24" priority="149" operator="greaterThan">
      <formula>$C$95</formula>
    </cfRule>
  </conditionalFormatting>
  <conditionalFormatting sqref="I69">
    <cfRule type="cellIs" dxfId="23" priority="180" operator="greaterThan">
      <formula>$I$68</formula>
    </cfRule>
  </conditionalFormatting>
  <conditionalFormatting sqref="I78">
    <cfRule type="cellIs" dxfId="22" priority="163" operator="greaterThan">
      <formula>$I$77</formula>
    </cfRule>
  </conditionalFormatting>
  <conditionalFormatting sqref="I87">
    <cfRule type="cellIs" dxfId="21" priority="153" operator="greaterThan">
      <formula>$I$86</formula>
    </cfRule>
  </conditionalFormatting>
  <conditionalFormatting sqref="I105">
    <cfRule type="cellIs" dxfId="20" priority="142" operator="greaterThan">
      <formula>$I$104</formula>
    </cfRule>
  </conditionalFormatting>
  <conditionalFormatting sqref="I114">
    <cfRule type="cellIs" dxfId="19" priority="132" operator="greaterThan">
      <formula>$I$113</formula>
    </cfRule>
  </conditionalFormatting>
  <conditionalFormatting sqref="J69">
    <cfRule type="cellIs" dxfId="18" priority="179" operator="greaterThan">
      <formula>$J$68</formula>
    </cfRule>
  </conditionalFormatting>
  <conditionalFormatting sqref="J78">
    <cfRule type="cellIs" dxfId="17" priority="162" operator="greaterThan">
      <formula>$J$77</formula>
    </cfRule>
  </conditionalFormatting>
  <conditionalFormatting sqref="J87">
    <cfRule type="cellIs" dxfId="16" priority="152" operator="greaterThan">
      <formula>$J$86</formula>
    </cfRule>
  </conditionalFormatting>
  <conditionalFormatting sqref="J105">
    <cfRule type="cellIs" dxfId="15" priority="141" operator="greaterThan">
      <formula>$J$104</formula>
    </cfRule>
  </conditionalFormatting>
  <conditionalFormatting sqref="J114">
    <cfRule type="cellIs" dxfId="14" priority="131" operator="greaterThan">
      <formula>$J$113</formula>
    </cfRule>
  </conditionalFormatting>
  <conditionalFormatting sqref="K69">
    <cfRule type="cellIs" dxfId="13" priority="178" operator="greaterThan">
      <formula>$K$68</formula>
    </cfRule>
  </conditionalFormatting>
  <conditionalFormatting sqref="K78">
    <cfRule type="cellIs" dxfId="12" priority="161" operator="greaterThan">
      <formula>$K$77</formula>
    </cfRule>
  </conditionalFormatting>
  <conditionalFormatting sqref="K87">
    <cfRule type="cellIs" dxfId="11" priority="151" operator="greaterThan">
      <formula>$K$86</formula>
    </cfRule>
  </conditionalFormatting>
  <conditionalFormatting sqref="K105">
    <cfRule type="cellIs" dxfId="10" priority="140" operator="greaterThan">
      <formula>$K$104</formula>
    </cfRule>
  </conditionalFormatting>
  <conditionalFormatting sqref="K114">
    <cfRule type="cellIs" dxfId="9" priority="130" operator="greaterThan">
      <formula>$K$113</formula>
    </cfRule>
  </conditionalFormatting>
  <conditionalFormatting sqref="L69">
    <cfRule type="cellIs" dxfId="8" priority="177" operator="greaterThan">
      <formula>$L$68</formula>
    </cfRule>
  </conditionalFormatting>
  <conditionalFormatting sqref="L78">
    <cfRule type="cellIs" dxfId="7" priority="160" operator="greaterThan">
      <formula>$L$77</formula>
    </cfRule>
  </conditionalFormatting>
  <conditionalFormatting sqref="L87">
    <cfRule type="cellIs" dxfId="6" priority="150" operator="greaterThan">
      <formula>$L$86</formula>
    </cfRule>
  </conditionalFormatting>
  <conditionalFormatting sqref="L105">
    <cfRule type="cellIs" dxfId="5" priority="139" operator="greaterThan">
      <formula>$L$104</formula>
    </cfRule>
  </conditionalFormatting>
  <conditionalFormatting sqref="L114">
    <cfRule type="cellIs" dxfId="4" priority="129" operator="greaterThan">
      <formula>$L$113</formula>
    </cfRule>
  </conditionalFormatting>
  <hyperlinks>
    <hyperlink ref="N4" r:id="rId1" location="step-1-assign-accounts-articulate-vulnerabilities-and-strategies-to-manage-vulnerability" display="Help assign parties" xr:uid="{DF55C70C-AEA5-4BB4-9BD1-23B882C83781}"/>
    <hyperlink ref="N17" r:id="rId2" location="1b-make-assumptions" xr:uid="{91CC7212-C579-4B1B-A8B8-969D4549837D}"/>
    <hyperlink ref="N18" r:id="rId3" location="i-evaporation-rates" xr:uid="{23C61350-606E-472B-90E1-88574D6741EE}"/>
    <hyperlink ref="N19" r:id="rId4" location="ii-start-storage" xr:uid="{692C3AE6-515B-4C08-B6EC-0557E75E9511}"/>
    <hyperlink ref="N20" r:id="rId5" location="iii-protection-elevation" xr:uid="{16CC5ED4-0369-416C-AC3E-3AD6F831A454}"/>
    <hyperlink ref="N21" r:id="rId6" location="iv-storage-above-protect-zone" display="Help protect volume" xr:uid="{D7802E8D-5298-4564-9936-B3226B6E96DA}"/>
    <hyperlink ref="N22" r:id="rId7" location="v-water-conservation-program-ics-total-balance" xr:uid="{9E773CCF-F296-48D2-ADA9-5456ABC7F062}"/>
    <hyperlink ref="N23" r:id="rId8" location="vi-remaining-storage-above-the-protect-and-ics-balances" xr:uid="{8CAE8559-5BD9-4D9F-8655-D1F3AE1FCD4D}"/>
    <hyperlink ref="N28" r:id="rId9" location="step-2-specify-lake-mead-inflow" xr:uid="{78DF76B4-BE79-4AC1-9F08-EC86A0A72F91}"/>
    <hyperlink ref="N29" r:id="rId10" location="2a-intervening-grand-canyon-flow" xr:uid="{CFD884C0-2149-42F6-AD5A-482CF40D5292}"/>
    <hyperlink ref="N30" r:id="rId11" location="2b-mead-to-imperial-dam-intervening-flow" xr:uid="{B8EF30C2-739D-4E21-B63A-F17F9947326A}"/>
    <hyperlink ref="N31" r:id="rId12" location="2c-havasuparker-evaporation-and-evapotranspiration" xr:uid="{70E7AC6A-42AC-4DE1-ADFB-FBA8230C308E}"/>
    <hyperlink ref="N35" r:id="rId13" location="step-3-split-existing-lake-mead-storage-among-accounts-year-1-only" xr:uid="{B36B453C-62F8-4461-8E49-8546C848C695}"/>
    <hyperlink ref="N42" r:id="rId14" location="3a-begin-of-year-reservoir-storage" xr:uid="{52EB1038-72CB-4676-AD3B-3DD4322D2D3C}"/>
    <hyperlink ref="N45" r:id="rId15" location="3b-calculate-mead-evaporation" xr:uid="{9002111C-2D36-45B1-97D8-5FCB363BD9BD}"/>
    <hyperlink ref="N52" r:id="rId16" location="split-lake-mead-inflow-among-accounts" xr:uid="{C14FC6B3-6E3C-48F5-B820-A74ADC9C86D6}"/>
    <hyperlink ref="N63" r:id="rId17" location="step-5-participant-dashboards--conserve-consume-and-trade" xr:uid="{E1DA626C-61A5-4CB7-94B9-52C34A1556D5}"/>
    <hyperlink ref="N67" r:id="rId18" location="iv-net-trade-volume-all-participants" xr:uid="{3E7AF6CA-1278-4129-B9E4-725FD18D820D}"/>
    <hyperlink ref="N68" r:id="rId19" location="v-available-water" xr:uid="{4566CC8F-1D0F-43BA-BAD8-C66179151606}"/>
    <hyperlink ref="N69" r:id="rId20" location="vi-enter-withdraw-within-available-water" xr:uid="{FA435611-F017-4A4C-84C0-3BC240C90BC3}"/>
    <hyperlink ref="N70" r:id="rId21" location="vii-end-of-year-balance" xr:uid="{43A45EF2-1AE7-497D-9090-A6710371091B}"/>
    <hyperlink ref="N117" r:id="rId22" location="step-6-summary-of-participant-actions" xr:uid="{39E9E91B-EE9B-4603-9A19-992E43688C4C}"/>
    <hyperlink ref="N140" r:id="rId23" location="lake-mead--end-of-year" xr:uid="{18709FDC-6FB8-4FF1-82C7-3E0140C4C207}"/>
    <hyperlink ref="N143" r:id="rId24" location="step-7-move-to-next-year" xr:uid="{0D1EBCA9-BE7F-441F-A17C-5330CFCE7596}"/>
    <hyperlink ref="N64" r:id="rId25" location="i-buy-or-sell-water-from-other-participantss" xr:uid="{D2AC05B4-FD61-425B-9046-D87C8AAAAEA0}"/>
    <hyperlink ref="N12" r:id="rId26" location="1a-explain-cell-types" xr:uid="{5E0F137C-003B-4215-AD3B-C722FAB0B485}"/>
    <hyperlink ref="N24" r:id="rId27" location="vii-percent-of-tribal-nation-water-in-california" xr:uid="{01F1D035-6ABB-47DA-9902-C2811F877041}"/>
    <hyperlink ref="N25" r:id="rId28" location="vii-percent-of-tribal-nation-water-in-arizona" xr:uid="{B1DD0B97-92EB-4086-A5FA-F5A6D9250A94}"/>
    <hyperlink ref="F19" r:id="rId29" xr:uid="{CD397428-8500-47BF-8A64-FE41EFAB9B3F}"/>
    <hyperlink ref="N72" r:id="rId30" location="step-5-participant-dashboards--conserve-consume-and-trade" xr:uid="{397FD8F0-2E30-496A-BE44-5B257A0157EE}"/>
    <hyperlink ref="N73" r:id="rId31" location="i-buy-or-sell-water-from-other-participantss" xr:uid="{E7375CF2-EC0F-401A-8AFE-0454313662AF}"/>
    <hyperlink ref="N81" r:id="rId32" location="step-5-participant-dashboards--conserve-consume-and-trade" xr:uid="{A70DB134-907F-477F-AB0B-5659C9C11813}"/>
    <hyperlink ref="N82" r:id="rId33" location="i-buy-or-sell-water-from-other-participantss" xr:uid="{BA50878C-D141-4CB0-B547-DD4E0AB28999}"/>
    <hyperlink ref="N90" r:id="rId34" location="step-5-participant-dashboards--conserve-consume-and-trade" xr:uid="{39EC330A-C201-45C3-99B6-B424E8A32D15}"/>
    <hyperlink ref="N91" r:id="rId35" location="i-buy-or-sell-water-from-other-participantss" xr:uid="{A5C5B388-17B6-437D-A672-71973A49D5E7}"/>
    <hyperlink ref="N99" r:id="rId36" location="step-5-participant-dashboards--conserve-consume-and-trade" xr:uid="{9D4E2F1A-09BE-48C9-9068-C731FDB7E63B}"/>
    <hyperlink ref="N100" r:id="rId37" location="i-buy-or-sell-water-from-other-participantss" xr:uid="{FAB9FF44-F4B9-4203-BBC6-8852F3D9A20B}"/>
    <hyperlink ref="N108" r:id="rId38" location="step-5-participant-dashboards--conserve-consume-and-trade" xr:uid="{E770BD7B-95C0-4128-95DC-F80C83C66E2B}"/>
    <hyperlink ref="N109" r:id="rId39" location="i-buy-or-sell-water-from-other-participantss" xr:uid="{0294E6B9-5E30-4F0F-A0BF-7C0B7042CF51}"/>
    <hyperlink ref="N65" r:id="rId40" location="ii-pricing" xr:uid="{07F90C0C-4BE8-9F47-949C-5E40835C4203}"/>
    <hyperlink ref="N66" r:id="rId41" location="iii-compensation" xr:uid="{8188F256-8CFE-A148-B33A-F63FA498AE19}"/>
    <hyperlink ref="N74" r:id="rId42" location="ii-pricing" xr:uid="{6862140C-DB0B-094D-94CA-31C03E1C1278}"/>
    <hyperlink ref="N83" r:id="rId43" location="ii-pricing" xr:uid="{4B1B7631-30FB-3C41-B91E-30EEFE05555F}"/>
    <hyperlink ref="N92" r:id="rId44" location="ii-pricing" xr:uid="{8AD6D0C6-AB1B-2446-9C13-FF7F035146C7}"/>
    <hyperlink ref="N101" r:id="rId45" location="ii-pricing" xr:uid="{A2F97124-4E15-E84A-B300-7F30089983C5}"/>
    <hyperlink ref="N110" r:id="rId46" location="ii-pricing" xr:uid="{CFFD471B-7401-A243-B9C4-DA53B683C616}"/>
    <hyperlink ref="N76" r:id="rId47" location="iv-net-trade-volume-all-participants" xr:uid="{9C7E75E9-E826-41E4-9184-7E4B309FDD50}"/>
    <hyperlink ref="N77" r:id="rId48" location="v-available-water" xr:uid="{1ACBE56A-5F8C-4E90-8D96-05CE9EED1A47}"/>
    <hyperlink ref="N78" r:id="rId49" location="vi-enter-withdraw-within-available-water" xr:uid="{EEA3AF55-9690-48AE-8079-B8C38467C08C}"/>
    <hyperlink ref="N79" r:id="rId50" location="vii-end-of-year-balance" xr:uid="{9781E9F6-28AD-4063-9862-8B90327890EF}"/>
    <hyperlink ref="N75" r:id="rId51" location="iii-compensation" xr:uid="{52757B67-D7E7-427B-B986-BE1C5FBEF153}"/>
    <hyperlink ref="N85" r:id="rId52" location="iv-net-trade-volume-all-participants" xr:uid="{DE4656C6-F8D3-4778-9F58-85135DFD0DC9}"/>
    <hyperlink ref="N86" r:id="rId53" location="v-available-water" xr:uid="{B5BB6540-A792-4536-8BDD-31B82F4BC44E}"/>
    <hyperlink ref="N87" r:id="rId54" location="vi-enter-withdraw-within-available-water" xr:uid="{8E1C6B64-6501-4BD7-B714-96738EA53634}"/>
    <hyperlink ref="N88" r:id="rId55" location="vii-end-of-year-balance" xr:uid="{199D1EB7-C4D3-4F33-8CD5-BECC43948EBA}"/>
    <hyperlink ref="N84" r:id="rId56" location="iii-compensation" xr:uid="{D71B7D4E-F1EF-4758-A6D6-E33D1033BF50}"/>
    <hyperlink ref="N94" r:id="rId57" location="iv-net-trade-volume-all-participants" xr:uid="{5378746B-C8BF-4736-89DF-5CDB6132BB8A}"/>
    <hyperlink ref="N95" r:id="rId58" location="v-available-water" xr:uid="{5045D881-74F4-4520-B448-704355E086CB}"/>
    <hyperlink ref="N96" r:id="rId59" location="vi-enter-withdraw-within-available-water" xr:uid="{61B46E76-E06C-491C-A6BC-73882FDA0E3B}"/>
    <hyperlink ref="N97" r:id="rId60" location="vii-end-of-year-balance" xr:uid="{71605A13-8231-4022-B245-AB73B97294E5}"/>
    <hyperlink ref="N93" r:id="rId61" location="iii-compensation" xr:uid="{4DE6BC54-CCE1-4F1E-A73F-37C962B178D3}"/>
    <hyperlink ref="N103" r:id="rId62" location="iv-net-trade-volume-all-participants" xr:uid="{D151D099-7F24-4E5B-B915-E71028B99DDB}"/>
    <hyperlink ref="N104" r:id="rId63" location="v-available-water" xr:uid="{A02489D6-06F1-4BE5-B127-9EB1146F9197}"/>
    <hyperlink ref="N105" r:id="rId64" location="vi-enter-withdraw-within-available-water" xr:uid="{CD1F609E-AF5E-487D-ACD3-EE1AA919A04D}"/>
    <hyperlink ref="N106" r:id="rId65" location="vii-end-of-year-balance" xr:uid="{978F6615-2034-4DC8-B778-E814A16C0267}"/>
    <hyperlink ref="N102" r:id="rId66" location="iii-compensation" xr:uid="{4AFAFA30-C835-4BD5-A293-40D476BF0557}"/>
    <hyperlink ref="N112" r:id="rId67" location="iv-net-trade-volume-all-participants" xr:uid="{99311102-6A54-4518-A868-1F7FA4895582}"/>
    <hyperlink ref="N113" r:id="rId68" location="v-available-water" xr:uid="{3515A232-E9F6-41D1-B871-0686FE9F4596}"/>
    <hyperlink ref="N114" r:id="rId69" location="vi-enter-withdraw-within-available-water" xr:uid="{132A2B10-B938-4360-82D8-102FBC746DD3}"/>
    <hyperlink ref="N115" r:id="rId70" location="vii-end-of-year-balance" xr:uid="{6373F7C3-B3A6-416C-82DB-9500DD0F1880}"/>
    <hyperlink ref="N111" r:id="rId71" location="iii-compensation" xr:uid="{163553D7-6621-48AB-8F90-EB07CB024824}"/>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4" id="{67BD5567-B9E3-294F-8090-EF2E01062FB6}">
            <x14:iconSet iconSet="3Symbols2" custom="1">
              <x14:cfvo type="percent">
                <xm:f>0</xm:f>
              </x14:cfvo>
              <x14:cfvo type="num">
                <xm:f>$C$68</xm:f>
              </x14:cfvo>
              <x14:cfvo type="num">
                <xm:f>$C$68</xm:f>
              </x14:cfvo>
              <x14:cfIcon iconSet="NoIcons" iconId="0"/>
              <x14:cfIcon iconSet="3Symbols2" iconId="0"/>
              <x14:cfIcon iconSet="3Symbols2" iconId="0"/>
            </x14:iconSet>
          </x14:cfRule>
          <xm:sqref>C69</xm:sqref>
        </x14:conditionalFormatting>
        <x14:conditionalFormatting xmlns:xm="http://schemas.microsoft.com/office/excel/2006/main">
          <x14:cfRule type="iconSet" priority="93" id="{40EBAACB-EEF6-AE4C-B1C4-B33647A64EA7}">
            <x14:iconSet iconSet="3Symbols" custom="1">
              <x14:cfvo type="percent">
                <xm:f>0</xm:f>
              </x14:cfvo>
              <x14:cfvo type="num">
                <xm:f>$C$77</xm:f>
              </x14:cfvo>
              <x14:cfvo type="num">
                <xm:f>$C$77</xm:f>
              </x14:cfvo>
              <x14:cfIcon iconSet="NoIcons" iconId="0"/>
              <x14:cfIcon iconSet="3Symbols2" iconId="0"/>
              <x14:cfIcon iconSet="3Symbols2" iconId="0"/>
            </x14:iconSet>
          </x14:cfRule>
          <xm:sqref>C78</xm:sqref>
        </x14:conditionalFormatting>
        <x14:conditionalFormatting xmlns:xm="http://schemas.microsoft.com/office/excel/2006/main">
          <x14:cfRule type="iconSet" priority="83" id="{99C3FE96-8001-7B4F-9CCB-D74A3EE27990}">
            <x14:iconSet iconSet="3Symbols" custom="1">
              <x14:cfvo type="percent">
                <xm:f>0</xm:f>
              </x14:cfvo>
              <x14:cfvo type="num">
                <xm:f>$C$86</xm:f>
              </x14:cfvo>
              <x14:cfvo type="num">
                <xm:f>$C$86</xm:f>
              </x14:cfvo>
              <x14:cfIcon iconSet="NoIcons" iconId="0"/>
              <x14:cfIcon iconSet="3Symbols2" iconId="0"/>
              <x14:cfIcon iconSet="3Symbols2" iconId="0"/>
            </x14:iconSet>
          </x14:cfRule>
          <xm:sqref>C87 E87 G87</xm:sqref>
        </x14:conditionalFormatting>
        <x14:conditionalFormatting xmlns:xm="http://schemas.microsoft.com/office/excel/2006/main">
          <x14:cfRule type="iconSet" priority="23" id="{CF9AC84E-AFF1-CD49-9E35-62560F7F3DE0}">
            <x14:iconSet custom="1">
              <x14:cfvo type="percent">
                <xm:f>0</xm:f>
              </x14:cfvo>
              <x14:cfvo type="num">
                <xm:f>$C$95</xm:f>
              </x14:cfvo>
              <x14:cfvo type="num">
                <xm:f>$C$95</xm:f>
              </x14:cfvo>
              <x14:cfIcon iconSet="NoIcons" iconId="0"/>
              <x14:cfIcon iconSet="3Symbols2" iconId="0"/>
              <x14:cfIcon iconSet="3Symbols2" iconId="0"/>
            </x14:iconSet>
          </x14:cfRule>
          <xm:sqref>C96</xm:sqref>
        </x14:conditionalFormatting>
        <x14:conditionalFormatting xmlns:xm="http://schemas.microsoft.com/office/excel/2006/main">
          <x14:cfRule type="iconSet" priority="63" id="{B2EEB6A2-E5F9-8645-B6FA-FBDD7C7499B2}">
            <x14:iconSet iconSet="3Symbols" custom="1">
              <x14:cfvo type="percent">
                <xm:f>0</xm:f>
              </x14:cfvo>
              <x14:cfvo type="num">
                <xm:f>$C$104</xm:f>
              </x14:cfvo>
              <x14:cfvo type="num">
                <xm:f>$C$104</xm:f>
              </x14:cfvo>
              <x14:cfIcon iconSet="NoIcons" iconId="0"/>
              <x14:cfIcon iconSet="3Symbols2" iconId="0"/>
              <x14:cfIcon iconSet="3Symbols2" iconId="0"/>
            </x14:iconSet>
          </x14:cfRule>
          <xm:sqref>C105 E105 G105</xm:sqref>
        </x14:conditionalFormatting>
        <x14:conditionalFormatting xmlns:xm="http://schemas.microsoft.com/office/excel/2006/main">
          <x14:cfRule type="iconSet" priority="3" id="{683B3F52-C1A9-164A-9D66-19A61031FD52}">
            <x14:iconSet custom="1">
              <x14:cfvo type="percent">
                <xm:f>0</xm:f>
              </x14:cfvo>
              <x14:cfvo type="num">
                <xm:f>$C$113</xm:f>
              </x14:cfvo>
              <x14:cfvo type="num">
                <xm:f>$C$113</xm:f>
              </x14:cfvo>
              <x14:cfIcon iconSet="NoIcons" iconId="0"/>
              <x14:cfIcon iconSet="3Symbols2" iconId="0"/>
              <x14:cfIcon iconSet="3Symbols2" iconId="0"/>
            </x14:iconSet>
          </x14:cfRule>
          <xm:sqref>C114</xm:sqref>
        </x14:conditionalFormatting>
        <x14:conditionalFormatting xmlns:xm="http://schemas.microsoft.com/office/excel/2006/main">
          <x14:cfRule type="iconSet" priority="32" id="{03B9D7CD-9578-934E-BCCB-CE48223911BC}">
            <x14:iconSet custom="1">
              <x14:cfvo type="percent">
                <xm:f>0</xm:f>
              </x14:cfvo>
              <x14:cfvo type="num">
                <xm:f>$D$68</xm:f>
              </x14:cfvo>
              <x14:cfvo type="num">
                <xm:f>$D$68</xm:f>
              </x14:cfvo>
              <x14:cfIcon iconSet="NoIcons" iconId="0"/>
              <x14:cfIcon iconSet="3Symbols2" iconId="0"/>
              <x14:cfIcon iconSet="3Symbols2" iconId="0"/>
            </x14:iconSet>
          </x14:cfRule>
          <xm:sqref>D69</xm:sqref>
        </x14:conditionalFormatting>
        <x14:conditionalFormatting xmlns:xm="http://schemas.microsoft.com/office/excel/2006/main">
          <x14:cfRule type="iconSet" priority="45" id="{91D44B4A-8C25-1746-8718-8544A152DE08}">
            <x14:iconSet iconSet="3Symbols" custom="1">
              <x14:cfvo type="percent">
                <xm:f>0</xm:f>
              </x14:cfvo>
              <x14:cfvo type="num" gte="0">
                <xm:f>$D$77</xm:f>
              </x14:cfvo>
              <x14:cfvo type="num">
                <xm:f>$D$77</xm:f>
              </x14:cfvo>
              <x14:cfIcon iconSet="NoIcons" iconId="0"/>
              <x14:cfIcon iconSet="3Symbols2" iconId="0"/>
              <x14:cfIcon iconSet="3Symbols2" iconId="0"/>
            </x14:iconSet>
          </x14:cfRule>
          <xm:sqref>D78</xm:sqref>
        </x14:conditionalFormatting>
        <x14:conditionalFormatting xmlns:xm="http://schemas.microsoft.com/office/excel/2006/main">
          <x14:cfRule type="iconSet" priority="43" id="{4F00C71B-9441-F945-8832-5189D652BD0A}">
            <x14:iconSet iconSet="3Symbols" custom="1">
              <x14:cfvo type="percent">
                <xm:f>0</xm:f>
              </x14:cfvo>
              <x14:cfvo type="num" gte="0">
                <xm:f>$F$86</xm:f>
              </x14:cfvo>
              <x14:cfvo type="num">
                <xm:f>$F$86</xm:f>
              </x14:cfvo>
              <x14:cfIcon iconSet="NoIcons" iconId="0"/>
              <x14:cfIcon iconSet="3Symbols2" iconId="0"/>
              <x14:cfIcon iconSet="3Symbols2" iconId="0"/>
            </x14:iconSet>
          </x14:cfRule>
          <xm:sqref>D87 F87</xm:sqref>
        </x14:conditionalFormatting>
        <x14:conditionalFormatting xmlns:xm="http://schemas.microsoft.com/office/excel/2006/main">
          <x14:cfRule type="iconSet" priority="21" id="{FEEC7782-122B-F540-A440-AEAEE93988DC}">
            <x14:iconSet custom="1">
              <x14:cfvo type="percent">
                <xm:f>0</xm:f>
              </x14:cfvo>
              <x14:cfvo type="num">
                <xm:f>$D$86</xm:f>
              </x14:cfvo>
              <x14:cfvo type="num">
                <xm:f>$D$86</xm:f>
              </x14:cfvo>
              <x14:cfIcon iconSet="NoIcons" iconId="0"/>
              <x14:cfIcon iconSet="3Symbols2" iconId="0"/>
              <x14:cfIcon iconSet="3Symbols2" iconId="0"/>
            </x14:iconSet>
          </x14:cfRule>
          <xm:sqref>D87</xm:sqref>
        </x14:conditionalFormatting>
        <x14:conditionalFormatting xmlns:xm="http://schemas.microsoft.com/office/excel/2006/main">
          <x14:cfRule type="iconSet" priority="41" id="{BFC27FA9-59A3-824B-9D55-1A4686CACE74}">
            <x14:iconSet iconSet="3Symbols" custom="1">
              <x14:cfvo type="percent">
                <xm:f>0</xm:f>
              </x14:cfvo>
              <x14:cfvo type="num" gte="0">
                <xm:f>$D$95</xm:f>
              </x14:cfvo>
              <x14:cfvo type="num">
                <xm:f>$D$95</xm:f>
              </x14:cfvo>
              <x14:cfIcon iconSet="NoIcons" iconId="0"/>
              <x14:cfIcon iconSet="3Symbols2" iconId="0"/>
              <x14:cfIcon iconSet="3Symbols2" iconId="0"/>
            </x14:iconSet>
          </x14:cfRule>
          <xm:sqref>D96</xm:sqref>
        </x14:conditionalFormatting>
        <x14:conditionalFormatting xmlns:xm="http://schemas.microsoft.com/office/excel/2006/main">
          <x14:cfRule type="iconSet" priority="39" id="{8E49B538-7305-9947-9D76-DE695140CA2D}">
            <x14:iconSet iconSet="3Symbols" custom="1">
              <x14:cfvo type="percent">
                <xm:f>0</xm:f>
              </x14:cfvo>
              <x14:cfvo type="num" gte="0">
                <xm:f>$F$104</xm:f>
              </x14:cfvo>
              <x14:cfvo type="num">
                <xm:f>$F$104</xm:f>
              </x14:cfvo>
              <x14:cfIcon iconSet="NoIcons" iconId="0"/>
              <x14:cfIcon iconSet="3Symbols2" iconId="0"/>
              <x14:cfIcon iconSet="3Symbols2" iconId="0"/>
            </x14:iconSet>
          </x14:cfRule>
          <xm:sqref>D105 F105</xm:sqref>
        </x14:conditionalFormatting>
        <x14:conditionalFormatting xmlns:xm="http://schemas.microsoft.com/office/excel/2006/main">
          <x14:cfRule type="iconSet" priority="19" id="{4B45A6FA-F811-1E44-BC13-877B32C15001}">
            <x14:iconSet iconSet="3Symbols2" custom="1">
              <x14:cfvo type="percent">
                <xm:f>0</xm:f>
              </x14:cfvo>
              <x14:cfvo type="num">
                <xm:f>$D$104</xm:f>
              </x14:cfvo>
              <x14:cfvo type="num">
                <xm:f>$D$104</xm:f>
              </x14:cfvo>
              <x14:cfIcon iconSet="NoIcons" iconId="0"/>
              <x14:cfIcon iconSet="3Symbols2" iconId="0"/>
              <x14:cfIcon iconSet="3Symbols2" iconId="0"/>
            </x14:iconSet>
          </x14:cfRule>
          <xm:sqref>D105</xm:sqref>
        </x14:conditionalFormatting>
        <x14:conditionalFormatting xmlns:xm="http://schemas.microsoft.com/office/excel/2006/main">
          <x14:cfRule type="iconSet" priority="37" id="{43A362E7-F437-F641-B43D-F8F15F5CC08B}">
            <x14:iconSet iconSet="3Symbols" custom="1">
              <x14:cfvo type="percent">
                <xm:f>0</xm:f>
              </x14:cfvo>
              <x14:cfvo type="num" gte="0">
                <xm:f>$F$113</xm:f>
              </x14:cfvo>
              <x14:cfvo type="num">
                <xm:f>$F$113</xm:f>
              </x14:cfvo>
              <x14:cfIcon iconSet="NoIcons" iconId="0"/>
              <x14:cfIcon iconSet="3Symbols2" iconId="0"/>
              <x14:cfIcon iconSet="3Symbols2" iconId="0"/>
            </x14:iconSet>
          </x14:cfRule>
          <xm:sqref>D114 F114</xm:sqref>
        </x14:conditionalFormatting>
        <x14:conditionalFormatting xmlns:xm="http://schemas.microsoft.com/office/excel/2006/main">
          <x14:cfRule type="iconSet" priority="17" id="{A0C7B887-CEB8-2A4D-ACBC-164083F09439}">
            <x14:iconSet custom="1">
              <x14:cfvo type="percent">
                <xm:f>0</xm:f>
              </x14:cfvo>
              <x14:cfvo type="num">
                <xm:f>$D$113</xm:f>
              </x14:cfvo>
              <x14:cfvo type="num">
                <xm:f>$D$113</xm:f>
              </x14:cfvo>
              <x14:cfIcon iconSet="NoIcons" iconId="0"/>
              <x14:cfIcon iconSet="3Symbols2" iconId="0"/>
              <x14:cfIcon iconSet="3Symbols2" iconId="0"/>
            </x14:iconSet>
          </x14:cfRule>
          <xm:sqref>D114</xm:sqref>
        </x14:conditionalFormatting>
        <x14:conditionalFormatting xmlns:xm="http://schemas.microsoft.com/office/excel/2006/main">
          <x14:cfRule type="iconSet" priority="30" id="{1F5DA14E-031D-624C-BA67-E7E66B004DDF}">
            <x14:iconSet custom="1">
              <x14:cfvo type="percent">
                <xm:f>0</xm:f>
              </x14:cfvo>
              <x14:cfvo type="num">
                <xm:f>$E$68</xm:f>
              </x14:cfvo>
              <x14:cfvo type="num">
                <xm:f>$E$68</xm:f>
              </x14:cfvo>
              <x14:cfIcon iconSet="NoIcons" iconId="0"/>
              <x14:cfIcon iconSet="3Symbols2" iconId="0"/>
              <x14:cfIcon iconSet="3Symbols2" iconId="0"/>
            </x14:iconSet>
          </x14:cfRule>
          <xm:sqref>E69</xm:sqref>
        </x14:conditionalFormatting>
        <x14:conditionalFormatting xmlns:xm="http://schemas.microsoft.com/office/excel/2006/main">
          <x14:cfRule type="iconSet" priority="15" id="{8B0BB9B0-09E7-A840-9D64-16D722ED25F9}">
            <x14:iconSet custom="1">
              <x14:cfvo type="percent">
                <xm:f>0</xm:f>
              </x14:cfvo>
              <x14:cfvo type="num">
                <xm:f>$E$77</xm:f>
              </x14:cfvo>
              <x14:cfvo type="num">
                <xm:f>$E$77</xm:f>
              </x14:cfvo>
              <x14:cfIcon iconSet="NoIcons" iconId="0"/>
              <x14:cfIcon iconSet="3Symbols2" iconId="0"/>
              <x14:cfIcon iconSet="3Symbols2" iconId="0"/>
            </x14:iconSet>
          </x14:cfRule>
          <xm:sqref>E78</xm:sqref>
        </x14:conditionalFormatting>
        <x14:conditionalFormatting xmlns:xm="http://schemas.microsoft.com/office/excel/2006/main">
          <x14:cfRule type="iconSet" priority="13" id="{A71DDD48-C841-7F44-BBAF-C60047D53C2A}">
            <x14:iconSet custom="1">
              <x14:cfvo type="percent">
                <xm:f>0</xm:f>
              </x14:cfvo>
              <x14:cfvo type="num">
                <xm:f>$E$95</xm:f>
              </x14:cfvo>
              <x14:cfvo type="num">
                <xm:f>$E$95</xm:f>
              </x14:cfvo>
              <x14:cfIcon iconSet="NoIcons" iconId="0"/>
              <x14:cfIcon iconSet="3Symbols2" iconId="0"/>
              <x14:cfIcon iconSet="3Symbols2" iconId="0"/>
            </x14:iconSet>
          </x14:cfRule>
          <xm:sqref>E96</xm:sqref>
        </x14:conditionalFormatting>
        <x14:conditionalFormatting xmlns:xm="http://schemas.microsoft.com/office/excel/2006/main">
          <x14:cfRule type="iconSet" priority="1" id="{E6B30D26-B04B-A94E-8837-512BFF19270A}">
            <x14:iconSet custom="1">
              <x14:cfvo type="percent">
                <xm:f>0</xm:f>
              </x14:cfvo>
              <x14:cfvo type="num">
                <xm:f>$E$113</xm:f>
              </x14:cfvo>
              <x14:cfvo type="num">
                <xm:f>$E$113</xm:f>
              </x14:cfvo>
              <x14:cfIcon iconSet="NoIcons" iconId="0"/>
              <x14:cfIcon iconSet="3Symbols2" iconId="0"/>
              <x14:cfIcon iconSet="3Symbols2" iconId="0"/>
            </x14:iconSet>
          </x14:cfRule>
          <xm:sqref>E114</xm:sqref>
        </x14:conditionalFormatting>
        <x14:conditionalFormatting xmlns:xm="http://schemas.microsoft.com/office/excel/2006/main">
          <x14:cfRule type="iconSet" priority="28" id="{199D058F-38E4-E54F-BB23-3C4D634F4431}">
            <x14:iconSet custom="1">
              <x14:cfvo type="percent">
                <xm:f>0</xm:f>
              </x14:cfvo>
              <x14:cfvo type="num">
                <xm:f>$F$68</xm:f>
              </x14:cfvo>
              <x14:cfvo type="num">
                <xm:f>$F$68</xm:f>
              </x14:cfvo>
              <x14:cfIcon iconSet="NoIcons" iconId="0"/>
              <x14:cfIcon iconSet="3Symbols2" iconId="0"/>
              <x14:cfIcon iconSet="3Symbols2" iconId="0"/>
            </x14:iconSet>
          </x14:cfRule>
          <xm:sqref>F69</xm:sqref>
        </x14:conditionalFormatting>
        <x14:conditionalFormatting xmlns:xm="http://schemas.microsoft.com/office/excel/2006/main">
          <x14:cfRule type="iconSet" priority="11" id="{DD5AD040-6C8D-C449-9BAE-399A2BD193AF}">
            <x14:iconSet custom="1">
              <x14:cfvo type="percent">
                <xm:f>0</xm:f>
              </x14:cfvo>
              <x14:cfvo type="num">
                <xm:f>$F$77</xm:f>
              </x14:cfvo>
              <x14:cfvo type="num">
                <xm:f>$F$77</xm:f>
              </x14:cfvo>
              <x14:cfIcon iconSet="NoIcons" iconId="0"/>
              <x14:cfIcon iconSet="3Symbols2" iconId="0"/>
              <x14:cfIcon iconSet="3Symbols2" iconId="0"/>
            </x14:iconSet>
          </x14:cfRule>
          <xm:sqref>F78</xm:sqref>
        </x14:conditionalFormatting>
        <x14:conditionalFormatting xmlns:xm="http://schemas.microsoft.com/office/excel/2006/main">
          <x14:cfRule type="iconSet" priority="9" id="{B17C0DD0-83C3-1445-8D53-700839146B62}">
            <x14:iconSet custom="1">
              <x14:cfvo type="percent">
                <xm:f>0</xm:f>
              </x14:cfvo>
              <x14:cfvo type="num">
                <xm:f>$F$95</xm:f>
              </x14:cfvo>
              <x14:cfvo type="num">
                <xm:f>$F$95</xm:f>
              </x14:cfvo>
              <x14:cfIcon iconSet="NoIcons" iconId="0"/>
              <x14:cfIcon iconSet="3Symbols2" iconId="0"/>
              <x14:cfIcon iconSet="3Symbols2" iconId="0"/>
            </x14:iconSet>
          </x14:cfRule>
          <xm:sqref>F96</xm:sqref>
        </x14:conditionalFormatting>
        <x14:conditionalFormatting xmlns:xm="http://schemas.microsoft.com/office/excel/2006/main">
          <x14:cfRule type="iconSet" priority="7" id="{5F2B815D-D29F-9F4C-980D-A489EBA74A9E}">
            <x14:iconSet custom="1">
              <x14:cfvo type="percent">
                <xm:f>0</xm:f>
              </x14:cfvo>
              <x14:cfvo type="num">
                <xm:f>$G$68</xm:f>
              </x14:cfvo>
              <x14:cfvo type="num">
                <xm:f>$G$68</xm:f>
              </x14:cfvo>
              <x14:cfIcon iconSet="NoIcons" iconId="0"/>
              <x14:cfIcon iconSet="3Symbols2" iconId="0"/>
              <x14:cfIcon iconSet="3Symbols2" iconId="0"/>
            </x14:iconSet>
          </x14:cfRule>
          <x14:cfRule type="iconSet" priority="26" id="{45FA0E87-3E8F-834D-BADD-E0D886213D6A}">
            <x14:iconSet custom="1">
              <x14:cfvo type="percent">
                <xm:f>0</xm:f>
              </x14:cfvo>
              <x14:cfvo type="num">
                <xm:f>$G$68</xm:f>
              </x14:cfvo>
              <x14:cfvo type="num">
                <xm:f>$G$68</xm:f>
              </x14:cfvo>
              <x14:cfIcon iconSet="NoIcons" iconId="0"/>
              <x14:cfIcon iconSet="3Symbols2" iconId="0"/>
              <x14:cfIcon iconSet="3Symbols2" iconId="0"/>
            </x14:iconSet>
          </x14:cfRule>
          <xm:sqref>G69</xm:sqref>
        </x14:conditionalFormatting>
        <x14:conditionalFormatting xmlns:xm="http://schemas.microsoft.com/office/excel/2006/main">
          <x14:cfRule type="iconSet" priority="5" id="{96D22E39-A667-E445-9146-BFF7CB43E1E0}">
            <x14:iconSet custom="1">
              <x14:cfvo type="percent">
                <xm:f>0</xm:f>
              </x14:cfvo>
              <x14:cfvo type="num">
                <xm:f>$G$77</xm:f>
              </x14:cfvo>
              <x14:cfvo type="num">
                <xm:f>$G$77</xm:f>
              </x14:cfvo>
              <x14:cfIcon iconSet="NoIcons" iconId="0"/>
              <x14:cfIcon iconSet="3Symbols2" iconId="0"/>
              <x14:cfIcon iconSet="3Symbols2" iconId="0"/>
            </x14:iconSet>
          </x14:cfRule>
          <xm:sqref>G78</xm:sqref>
        </x14:conditionalFormatting>
        <x14:conditionalFormatting xmlns:xm="http://schemas.microsoft.com/office/excel/2006/main">
          <x14:cfRule type="iconSet" priority="73" id="{E661F95E-13F0-8A42-A345-790348EBEF58}">
            <x14:iconSet iconSet="3Symbols" custom="1">
              <x14:cfvo type="percent">
                <xm:f>0</xm:f>
              </x14:cfvo>
              <x14:cfvo type="num">
                <xm:f>$G$95</xm:f>
              </x14:cfvo>
              <x14:cfvo type="num">
                <xm:f>$G$95</xm:f>
              </x14:cfvo>
              <x14:cfIcon iconSet="NoIcons" iconId="0"/>
              <x14:cfIcon iconSet="3Symbols2" iconId="0"/>
              <x14:cfIcon iconSet="3Symbols2" iconId="0"/>
            </x14:iconSet>
          </x14:cfRule>
          <xm:sqref>G96</xm:sqref>
        </x14:conditionalFormatting>
        <x14:conditionalFormatting xmlns:xm="http://schemas.microsoft.com/office/excel/2006/main">
          <x14:cfRule type="iconSet" priority="53" id="{E0D32E4B-2920-934E-AE60-9F49ED139ADD}">
            <x14:iconSet iconSet="3Symbols" custom="1">
              <x14:cfvo type="percent">
                <xm:f>0</xm:f>
              </x14:cfvo>
              <x14:cfvo type="num">
                <xm:f>$G$113</xm:f>
              </x14:cfvo>
              <x14:cfvo type="num">
                <xm:f>$G$113</xm:f>
              </x14:cfvo>
              <x14:cfIcon iconSet="NoIcons" iconId="0"/>
              <x14:cfIcon iconSet="3Symbols2" iconId="0"/>
              <x14:cfIcon iconSet="3Symbols2" iconId="0"/>
            </x14:iconSet>
          </x14:cfRule>
          <xm:sqref>G114</xm:sqref>
        </x14:conditionalFormatting>
        <x14:conditionalFormatting xmlns:xm="http://schemas.microsoft.com/office/excel/2006/main">
          <x14:cfRule type="iconSet" priority="173"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H69</xm:sqref>
        </x14:conditionalFormatting>
        <x14:conditionalFormatting xmlns:xm="http://schemas.microsoft.com/office/excel/2006/main">
          <x14:cfRule type="iconSet" priority="172"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I69</xm:sqref>
        </x14:conditionalFormatting>
        <x14:conditionalFormatting xmlns:xm="http://schemas.microsoft.com/office/excel/2006/main">
          <x14:cfRule type="iconSet" priority="171" id="{FC9241E0-399F-4612-9178-0FDDFFF0E42A}">
            <x14:iconSet iconSet="3Symbols2" custom="1">
              <x14:cfvo type="percent">
                <xm:f>0</xm:f>
              </x14:cfvo>
              <x14:cfvo type="num">
                <xm:f>$J$68</xm:f>
              </x14:cfvo>
              <x14:cfvo type="num">
                <xm:f>$J$68</xm:f>
              </x14:cfvo>
              <x14:cfIcon iconSet="NoIcons" iconId="0"/>
              <x14:cfIcon iconSet="3Symbols2" iconId="0"/>
              <x14:cfIcon iconSet="3Symbols2" iconId="0"/>
            </x14:iconSet>
          </x14:cfRule>
          <xm:sqref>J69</xm:sqref>
        </x14:conditionalFormatting>
        <x14:conditionalFormatting xmlns:xm="http://schemas.microsoft.com/office/excel/2006/main">
          <x14:cfRule type="iconSet" priority="170" id="{DD71F70E-9732-4C09-96AD-AC28A6D96762}">
            <x14:iconSet iconSet="3Symbols2" custom="1">
              <x14:cfvo type="percent">
                <xm:f>0</xm:f>
              </x14:cfvo>
              <x14:cfvo type="formula">
                <xm:f>$K$68</xm:f>
              </x14:cfvo>
              <x14:cfvo type="formula">
                <xm:f>$K$68</xm:f>
              </x14:cfvo>
              <x14:cfIcon iconSet="NoIcons" iconId="0"/>
              <x14:cfIcon iconSet="3Symbols2" iconId="0"/>
              <x14:cfIcon iconSet="3Symbols2" iconId="0"/>
            </x14:iconSet>
          </x14:cfRule>
          <xm:sqref>K69</xm:sqref>
        </x14:conditionalFormatting>
        <x14:conditionalFormatting xmlns:xm="http://schemas.microsoft.com/office/excel/2006/main">
          <x14:cfRule type="iconSet" priority="128" id="{C970D36A-412D-482A-B900-0C93FEFDE178}">
            <x14:iconSet iconSet="3Symbols" custom="1">
              <x14:cfvo type="percent">
                <xm:f>0</xm:f>
              </x14:cfvo>
              <x14:cfvo type="formula">
                <xm:f>$L$68</xm:f>
              </x14:cfvo>
              <x14:cfvo type="formula">
                <xm:f>$L$68</xm:f>
              </x14:cfvo>
              <x14:cfIcon iconSet="NoIcons" iconId="0"/>
              <x14:cfIcon iconSet="3Symbols2" iconId="0"/>
              <x14:cfIcon iconSet="3Symbols2" iconId="0"/>
            </x14:iconSet>
          </x14:cfRule>
          <xm:sqref>L69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BF51"/>
  <sheetViews>
    <sheetView topLeftCell="J5" zoomScale="132" zoomScaleNormal="279" workbookViewId="0">
      <selection activeCell="W20" sqref="W20"/>
    </sheetView>
  </sheetViews>
  <sheetFormatPr defaultColWidth="8.81640625" defaultRowHeight="14.5" x14ac:dyDescent="0.35"/>
  <cols>
    <col min="1" max="1" width="10.1796875" customWidth="1"/>
    <col min="2" max="2" width="14.453125" customWidth="1"/>
    <col min="3" max="3" width="8.1796875" customWidth="1"/>
    <col min="4" max="4" width="9.81640625" customWidth="1"/>
    <col min="5" max="5" width="10.6328125" customWidth="1"/>
    <col min="6" max="6" width="7.6328125" customWidth="1"/>
    <col min="7" max="7" width="7.1796875" customWidth="1"/>
    <col min="8" max="8" width="8" customWidth="1"/>
    <col min="9" max="9" width="6.1796875" customWidth="1"/>
    <col min="10" max="10" width="13.453125" customWidth="1"/>
    <col min="11" max="11" width="12.1796875" customWidth="1"/>
    <col min="12" max="12" width="7.6328125" customWidth="1"/>
    <col min="13" max="13" width="7.81640625" customWidth="1"/>
    <col min="14" max="14" width="10.1796875" customWidth="1"/>
    <col min="16" max="16" width="6.81640625" customWidth="1"/>
    <col min="19" max="19" width="9.36328125" customWidth="1"/>
    <col min="20" max="20" width="10.36328125" customWidth="1"/>
    <col min="21" max="21" width="7.36328125" style="2" customWidth="1"/>
    <col min="23" max="23" width="10.1796875" bestFit="1" customWidth="1"/>
    <col min="24" max="24" width="8.81640625" customWidth="1"/>
    <col min="25" max="25" width="7" customWidth="1"/>
    <col min="26" max="26" width="9.81640625" customWidth="1"/>
    <col min="27" max="27" width="8.1796875" customWidth="1"/>
    <col min="28" max="29" width="11.6328125" bestFit="1" customWidth="1"/>
    <col min="30" max="30" width="9.81640625" customWidth="1"/>
    <col min="35" max="36" width="10" customWidth="1"/>
    <col min="41" max="41" width="7.36328125" customWidth="1"/>
    <col min="42" max="42" width="7.36328125" bestFit="1" customWidth="1"/>
    <col min="43" max="43" width="7" bestFit="1" customWidth="1"/>
    <col min="45" max="45" width="41.6328125" bestFit="1" customWidth="1"/>
  </cols>
  <sheetData>
    <row r="1" spans="1:53" x14ac:dyDescent="0.35">
      <c r="A1" s="1" t="s">
        <v>260</v>
      </c>
    </row>
    <row r="2" spans="1:53" x14ac:dyDescent="0.35">
      <c r="A2" t="s">
        <v>261</v>
      </c>
    </row>
    <row r="3" spans="1:53" x14ac:dyDescent="0.35">
      <c r="A3" t="s">
        <v>212</v>
      </c>
    </row>
    <row r="4" spans="1:53" ht="15" customHeight="1" x14ac:dyDescent="0.35"/>
    <row r="5" spans="1:53" ht="31" customHeight="1" x14ac:dyDescent="0.35">
      <c r="B5" s="185" t="s">
        <v>217</v>
      </c>
      <c r="C5" s="185" t="s">
        <v>203</v>
      </c>
      <c r="D5" s="185" t="s">
        <v>204</v>
      </c>
      <c r="E5" s="185" t="s">
        <v>202</v>
      </c>
      <c r="F5" s="185" t="s">
        <v>18</v>
      </c>
      <c r="G5" s="185" t="s">
        <v>25</v>
      </c>
      <c r="I5" s="422" t="s">
        <v>424</v>
      </c>
      <c r="J5" s="423"/>
      <c r="K5" s="423"/>
      <c r="L5" s="423"/>
      <c r="M5" s="423"/>
      <c r="N5" s="423"/>
      <c r="O5" s="423"/>
      <c r="P5" s="423"/>
      <c r="Q5" s="423"/>
      <c r="R5" s="423"/>
      <c r="S5" s="423"/>
      <c r="T5" s="423"/>
      <c r="U5" s="423"/>
      <c r="V5" s="423"/>
      <c r="W5" s="424"/>
      <c r="Y5" s="192"/>
      <c r="Z5" s="192"/>
      <c r="AA5" s="192"/>
      <c r="AB5" s="334"/>
    </row>
    <row r="6" spans="1:53" s="184" customFormat="1" ht="27.5" customHeight="1" x14ac:dyDescent="0.3">
      <c r="B6" s="414" t="s">
        <v>228</v>
      </c>
      <c r="C6" s="415"/>
      <c r="D6" s="415"/>
      <c r="E6" s="415"/>
      <c r="F6" s="415"/>
      <c r="G6" s="416"/>
      <c r="I6" s="425" t="s">
        <v>13</v>
      </c>
      <c r="J6" s="427" t="s">
        <v>410</v>
      </c>
      <c r="K6" s="427" t="s">
        <v>409</v>
      </c>
      <c r="L6" s="428" t="s">
        <v>215</v>
      </c>
      <c r="M6" s="429"/>
      <c r="N6" s="429"/>
      <c r="O6" s="429"/>
      <c r="P6" s="429"/>
      <c r="Q6" s="430"/>
      <c r="R6" s="431" t="s">
        <v>216</v>
      </c>
      <c r="S6" s="432"/>
      <c r="T6" s="432"/>
      <c r="U6" s="432"/>
      <c r="V6" s="432"/>
      <c r="W6" s="433"/>
      <c r="Y6" s="307"/>
      <c r="Z6" s="307"/>
      <c r="AA6" s="307"/>
      <c r="AB6" s="335"/>
    </row>
    <row r="7" spans="1:53" s="184" customFormat="1" ht="44" customHeight="1" x14ac:dyDescent="0.3">
      <c r="B7" s="193">
        <v>0</v>
      </c>
      <c r="C7" s="194">
        <v>0</v>
      </c>
      <c r="D7" s="194">
        <v>0</v>
      </c>
      <c r="E7" s="194">
        <v>0</v>
      </c>
      <c r="F7" s="194">
        <v>0</v>
      </c>
      <c r="G7" s="194">
        <f>SUM(C7:F7)</f>
        <v>0</v>
      </c>
      <c r="I7" s="426"/>
      <c r="J7" s="426"/>
      <c r="K7" s="426"/>
      <c r="L7" s="186" t="s">
        <v>411</v>
      </c>
      <c r="M7" s="186" t="s">
        <v>412</v>
      </c>
      <c r="N7" s="186" t="s">
        <v>413</v>
      </c>
      <c r="O7" s="186" t="s">
        <v>407</v>
      </c>
      <c r="P7" s="186" t="s">
        <v>408</v>
      </c>
      <c r="Q7" s="261" t="s">
        <v>222</v>
      </c>
      <c r="R7" s="187" t="s">
        <v>414</v>
      </c>
      <c r="S7" s="187" t="s">
        <v>415</v>
      </c>
      <c r="T7" s="187" t="s">
        <v>416</v>
      </c>
      <c r="U7" s="187" t="s">
        <v>417</v>
      </c>
      <c r="V7" s="187" t="s">
        <v>408</v>
      </c>
      <c r="W7" s="247" t="s">
        <v>227</v>
      </c>
      <c r="Y7" s="308"/>
      <c r="Z7" s="337"/>
      <c r="AA7" s="337"/>
      <c r="AB7" s="337"/>
    </row>
    <row r="8" spans="1:53" s="192" customFormat="1" ht="14" x14ac:dyDescent="0.3">
      <c r="B8" s="193" t="s">
        <v>230</v>
      </c>
      <c r="C8" s="197">
        <v>0.8</v>
      </c>
      <c r="D8" s="197">
        <v>3.3300000000000003E-2</v>
      </c>
      <c r="E8" s="197">
        <v>0</v>
      </c>
      <c r="F8" s="197">
        <v>0.16669999999999999</v>
      </c>
      <c r="G8" s="197">
        <f t="shared" ref="G8:G9" si="0">SUM(C8:F8)</f>
        <v>1</v>
      </c>
      <c r="I8" s="297" t="s">
        <v>402</v>
      </c>
      <c r="J8" s="292">
        <v>0</v>
      </c>
      <c r="K8" s="292">
        <v>9</v>
      </c>
      <c r="L8" s="293">
        <f>L22-(P8*TribalWater!$H$6)</f>
        <v>2.0168659999999998</v>
      </c>
      <c r="M8" s="293">
        <f>M22-(P8*TribalWater!$H$5)</f>
        <v>0.287466</v>
      </c>
      <c r="N8" s="293">
        <f>N22-(P8*TribalWater!$H$7)</f>
        <v>4.2434780000000005</v>
      </c>
      <c r="O8" s="293">
        <f>O22</f>
        <v>1.5</v>
      </c>
      <c r="P8" s="293">
        <f>TribalWater!$G$8/1000000</f>
        <v>0.95218999999999998</v>
      </c>
      <c r="Q8" s="292">
        <f t="shared" ref="Q8:Q17" si="1">SUM(L8:P8)</f>
        <v>9</v>
      </c>
      <c r="R8" s="294">
        <f>L8/$K8</f>
        <v>0.2240962222222222</v>
      </c>
      <c r="S8" s="294">
        <f>M8/$K8</f>
        <v>3.1940666666666666E-2</v>
      </c>
      <c r="T8" s="294">
        <f>N8/$K8</f>
        <v>0.47149755555555561</v>
      </c>
      <c r="U8" s="294">
        <f>O8/$K8</f>
        <v>0.16666666666666666</v>
      </c>
      <c r="V8" s="294">
        <f>P8/$K8</f>
        <v>0.10579888888888889</v>
      </c>
      <c r="W8" s="295">
        <f t="shared" ref="W8:W17" si="2">SUM(R8:V8)</f>
        <v>1</v>
      </c>
      <c r="X8" s="192" t="s">
        <v>432</v>
      </c>
      <c r="Y8" s="308"/>
    </row>
    <row r="9" spans="1:53" s="192" customFormat="1" ht="14" x14ac:dyDescent="0.3">
      <c r="B9" s="193" t="s">
        <v>232</v>
      </c>
      <c r="C9" s="197">
        <v>0.43330000000000002</v>
      </c>
      <c r="D9" s="197">
        <v>3.3300000000000003E-2</v>
      </c>
      <c r="E9" s="197">
        <v>0.36670000000000003</v>
      </c>
      <c r="F9" s="197">
        <v>0.16669999999999999</v>
      </c>
      <c r="G9" s="197">
        <f t="shared" si="0"/>
        <v>1</v>
      </c>
      <c r="I9" s="244" t="s">
        <v>229</v>
      </c>
      <c r="J9" s="246">
        <v>0.3</v>
      </c>
      <c r="K9" s="246">
        <v>8.6999999999999993</v>
      </c>
      <c r="L9" s="245">
        <f>L23-(P9*TribalWater!$H$6)</f>
        <v>1.9129804666666668</v>
      </c>
      <c r="M9" s="245">
        <f>M23-(P9*TribalWater!$H$5)</f>
        <v>0.27789379999999997</v>
      </c>
      <c r="N9" s="245">
        <f>N23-(P9*TribalWater!$H$7)</f>
        <v>4.1386854000000008</v>
      </c>
      <c r="O9" s="245">
        <f t="shared" ref="O9:O17" si="3">U9*K9</f>
        <v>1.4499999999999997</v>
      </c>
      <c r="P9" s="245">
        <f t="shared" ref="P9:P17" si="4">V9*K9</f>
        <v>0.92045033333333326</v>
      </c>
      <c r="Q9" s="246">
        <f t="shared" si="1"/>
        <v>8.7000100000000007</v>
      </c>
      <c r="R9" s="260">
        <f t="shared" ref="R9:R17" si="5">L9/$K9</f>
        <v>0.21988281226053644</v>
      </c>
      <c r="S9" s="260">
        <f t="shared" ref="S9:S17" si="6">M9/$K9</f>
        <v>3.1941816091954019E-2</v>
      </c>
      <c r="T9" s="260">
        <f t="shared" ref="T9:T17" si="7">N9/K9</f>
        <v>0.47571096551724151</v>
      </c>
      <c r="U9" s="260">
        <v>0.16666666666666666</v>
      </c>
      <c r="V9" s="260">
        <v>0.10579888888888889</v>
      </c>
      <c r="W9" s="259">
        <f t="shared" si="2"/>
        <v>1.0000011494252874</v>
      </c>
      <c r="AX9" s="285"/>
      <c r="AY9" s="285"/>
      <c r="AZ9" s="285"/>
    </row>
    <row r="10" spans="1:53" s="192" customFormat="1" ht="14" x14ac:dyDescent="0.3">
      <c r="B10" s="417" t="s">
        <v>237</v>
      </c>
      <c r="C10" s="417"/>
      <c r="D10" s="417"/>
      <c r="E10" s="417"/>
      <c r="F10" s="417"/>
      <c r="G10" s="417"/>
      <c r="I10" s="244" t="s">
        <v>231</v>
      </c>
      <c r="J10" s="246">
        <v>0.4</v>
      </c>
      <c r="K10" s="246">
        <v>8.6</v>
      </c>
      <c r="L10" s="245">
        <f>L24-(P10*TribalWater!$H$6)</f>
        <v>1.8783519555555555</v>
      </c>
      <c r="M10" s="245">
        <f>M24-(P10*TribalWater!$H$5)</f>
        <v>0.27470306666666666</v>
      </c>
      <c r="N10" s="245">
        <f>N24-(P10*TribalWater!$H$7)</f>
        <v>4.1037545333333334</v>
      </c>
      <c r="O10" s="245">
        <f t="shared" si="3"/>
        <v>1.4333333333333331</v>
      </c>
      <c r="P10" s="245">
        <f t="shared" si="4"/>
        <v>0.90987044444444443</v>
      </c>
      <c r="Q10" s="246">
        <f t="shared" si="1"/>
        <v>8.6000133333333331</v>
      </c>
      <c r="R10" s="260">
        <f t="shared" si="5"/>
        <v>0.21841301808785529</v>
      </c>
      <c r="S10" s="260">
        <f t="shared" si="6"/>
        <v>3.1942217054263568E-2</v>
      </c>
      <c r="T10" s="260">
        <f t="shared" si="7"/>
        <v>0.47718075968992252</v>
      </c>
      <c r="U10" s="260">
        <v>0.16666666666666666</v>
      </c>
      <c r="V10" s="260">
        <v>0.10579888888888889</v>
      </c>
      <c r="W10" s="259">
        <f t="shared" si="2"/>
        <v>1.000001550387597</v>
      </c>
      <c r="AX10" s="285"/>
      <c r="AY10" s="285"/>
      <c r="AZ10" s="285"/>
    </row>
    <row r="11" spans="1:53" s="192" customFormat="1" ht="14" x14ac:dyDescent="0.3">
      <c r="B11" s="193">
        <v>0</v>
      </c>
      <c r="C11" s="198">
        <v>0</v>
      </c>
      <c r="D11" s="198">
        <v>0</v>
      </c>
      <c r="E11" s="198">
        <v>0</v>
      </c>
      <c r="F11" s="198">
        <v>0</v>
      </c>
      <c r="G11" s="198">
        <f>SUM(C11:F11)</f>
        <v>0</v>
      </c>
      <c r="I11" s="244" t="s">
        <v>233</v>
      </c>
      <c r="J11" s="246">
        <v>1</v>
      </c>
      <c r="K11" s="246">
        <v>8</v>
      </c>
      <c r="L11" s="245">
        <f>L25-(P11*TribalWater!$H$6)</f>
        <v>1.6705808888888887</v>
      </c>
      <c r="M11" s="245">
        <f>M25-(P11*TribalWater!$H$5)</f>
        <v>0.25555866666666666</v>
      </c>
      <c r="N11" s="245">
        <f>N25-(P11*TribalWater!$H$7)</f>
        <v>3.894169333333334</v>
      </c>
      <c r="O11" s="245">
        <f t="shared" si="3"/>
        <v>1.3333333333333333</v>
      </c>
      <c r="P11" s="245">
        <f t="shared" si="4"/>
        <v>0.84639111111111109</v>
      </c>
      <c r="Q11" s="246">
        <f t="shared" si="1"/>
        <v>8.0000333333333344</v>
      </c>
      <c r="R11" s="260">
        <f t="shared" si="5"/>
        <v>0.20882261111111108</v>
      </c>
      <c r="S11" s="260">
        <f t="shared" si="6"/>
        <v>3.1944833333333332E-2</v>
      </c>
      <c r="T11" s="260">
        <f t="shared" si="7"/>
        <v>0.48677116666666675</v>
      </c>
      <c r="U11" s="260">
        <v>0.16666666666666666</v>
      </c>
      <c r="V11" s="260">
        <v>0.10579888888888889</v>
      </c>
      <c r="W11" s="259">
        <f t="shared" si="2"/>
        <v>1.0000041666666668</v>
      </c>
      <c r="AO11" s="276"/>
      <c r="AS11" s="276"/>
    </row>
    <row r="12" spans="1:53" s="192" customFormat="1" ht="14" x14ac:dyDescent="0.3">
      <c r="B12" s="193">
        <v>0.3</v>
      </c>
      <c r="C12" s="196">
        <f t="shared" ref="C12:F15" si="8">$B12*C$9</f>
        <v>0.12998999999999999</v>
      </c>
      <c r="D12" s="196">
        <f t="shared" si="8"/>
        <v>9.9900000000000006E-3</v>
      </c>
      <c r="E12" s="196">
        <f t="shared" si="8"/>
        <v>0.11001000000000001</v>
      </c>
      <c r="F12" s="196">
        <f t="shared" si="8"/>
        <v>5.0009999999999992E-2</v>
      </c>
      <c r="G12" s="196">
        <f>SUM(C12:F12)</f>
        <v>0.3</v>
      </c>
      <c r="I12" s="299" t="s">
        <v>236</v>
      </c>
      <c r="J12" s="300">
        <v>1.5</v>
      </c>
      <c r="K12" s="300">
        <v>7.5</v>
      </c>
      <c r="L12" s="301">
        <f>L26-(P12*TribalWater!$H$6)</f>
        <v>1.4974383333333332</v>
      </c>
      <c r="M12" s="301">
        <f>M26-(P12*TribalWater!$H$5)</f>
        <v>0.23960499999999998</v>
      </c>
      <c r="N12" s="301">
        <f>N26-(P12*TribalWater!$H$7)</f>
        <v>3.7195150000000003</v>
      </c>
      <c r="O12" s="301">
        <f t="shared" si="3"/>
        <v>1.25</v>
      </c>
      <c r="P12" s="301">
        <f t="shared" si="4"/>
        <v>0.79349166666666671</v>
      </c>
      <c r="Q12" s="300">
        <f t="shared" si="1"/>
        <v>7.5000499999999999</v>
      </c>
      <c r="R12" s="302">
        <f t="shared" si="5"/>
        <v>0.19965844444444442</v>
      </c>
      <c r="S12" s="302">
        <f t="shared" si="6"/>
        <v>3.1947333333333335E-2</v>
      </c>
      <c r="T12" s="302">
        <f t="shared" si="7"/>
        <v>0.49593533333333339</v>
      </c>
      <c r="U12" s="302">
        <v>0.16666666666666666</v>
      </c>
      <c r="V12" s="302">
        <v>0.10579888888888889</v>
      </c>
      <c r="W12" s="303">
        <f t="shared" si="2"/>
        <v>1.0000066666666667</v>
      </c>
      <c r="X12" s="192" t="s">
        <v>431</v>
      </c>
      <c r="AP12" s="277"/>
      <c r="AQ12" s="277"/>
      <c r="AR12" s="277"/>
      <c r="AT12" s="277"/>
      <c r="AU12" s="277"/>
      <c r="AV12" s="277"/>
      <c r="AX12" s="286"/>
      <c r="AY12" s="286"/>
      <c r="AZ12" s="286"/>
    </row>
    <row r="13" spans="1:53" s="192" customFormat="1" ht="14" x14ac:dyDescent="0.3">
      <c r="B13" s="193">
        <v>0.4</v>
      </c>
      <c r="C13" s="196">
        <f t="shared" si="8"/>
        <v>0.17332000000000003</v>
      </c>
      <c r="D13" s="196">
        <f t="shared" si="8"/>
        <v>1.3320000000000002E-2</v>
      </c>
      <c r="E13" s="196">
        <f t="shared" si="8"/>
        <v>0.14668</v>
      </c>
      <c r="F13" s="196">
        <f t="shared" si="8"/>
        <v>6.6680000000000003E-2</v>
      </c>
      <c r="G13" s="196">
        <f>SUM(C13:F13)</f>
        <v>0.40000000000000008</v>
      </c>
      <c r="I13" s="244" t="s">
        <v>426</v>
      </c>
      <c r="J13" s="246">
        <v>2.7</v>
      </c>
      <c r="K13" s="246">
        <v>6.3</v>
      </c>
      <c r="L13" s="245">
        <f>L27-(P13*TribalWater!$H$6)</f>
        <v>1.0818961999999996</v>
      </c>
      <c r="M13" s="245">
        <f>M27-(P13*TribalWater!$H$5)</f>
        <v>0.2013162</v>
      </c>
      <c r="N13" s="245">
        <f>N27-(P13*TribalWater!$H$7)</f>
        <v>3.3003445999999999</v>
      </c>
      <c r="O13" s="245">
        <f t="shared" si="3"/>
        <v>1.0499999999999998</v>
      </c>
      <c r="P13" s="245">
        <f t="shared" si="4"/>
        <v>0.66653299999999993</v>
      </c>
      <c r="Q13" s="246">
        <f t="shared" si="1"/>
        <v>6.3000899999999991</v>
      </c>
      <c r="R13" s="260">
        <f t="shared" si="5"/>
        <v>0.1717295555555555</v>
      </c>
      <c r="S13" s="260">
        <f t="shared" si="6"/>
        <v>3.1954952380952382E-2</v>
      </c>
      <c r="T13" s="260">
        <f t="shared" si="7"/>
        <v>0.52386422222222218</v>
      </c>
      <c r="U13" s="260">
        <v>0.16666666666666666</v>
      </c>
      <c r="V13" s="260">
        <v>0.10579888888888889</v>
      </c>
      <c r="W13" s="259">
        <f t="shared" si="2"/>
        <v>1.0000142857142855</v>
      </c>
      <c r="AP13" s="277"/>
      <c r="AQ13" s="277"/>
      <c r="AR13" s="277"/>
      <c r="AT13" s="277"/>
      <c r="AU13" s="277"/>
      <c r="AV13" s="277"/>
      <c r="AX13" s="285"/>
      <c r="AY13" s="285"/>
      <c r="AZ13" s="285"/>
      <c r="BA13" s="285"/>
    </row>
    <row r="14" spans="1:53" s="192" customFormat="1" ht="14" x14ac:dyDescent="0.3">
      <c r="B14" s="193">
        <v>1</v>
      </c>
      <c r="C14" s="196">
        <f t="shared" si="8"/>
        <v>0.43330000000000002</v>
      </c>
      <c r="D14" s="196">
        <f t="shared" si="8"/>
        <v>3.3300000000000003E-2</v>
      </c>
      <c r="E14" s="196">
        <f t="shared" si="8"/>
        <v>0.36670000000000003</v>
      </c>
      <c r="F14" s="196">
        <f t="shared" si="8"/>
        <v>0.16669999999999999</v>
      </c>
      <c r="G14" s="196">
        <f>SUM(C14:F14)</f>
        <v>1</v>
      </c>
      <c r="I14" s="244" t="s">
        <v>403</v>
      </c>
      <c r="J14" s="246">
        <v>4</v>
      </c>
      <c r="K14" s="246">
        <v>5</v>
      </c>
      <c r="L14" s="245">
        <f>L28-(P14*TribalWater!$H$6)</f>
        <v>0.63172555555555532</v>
      </c>
      <c r="M14" s="245">
        <f>M28-(P14*TribalWater!$H$5)</f>
        <v>0.15983666666666668</v>
      </c>
      <c r="N14" s="245">
        <f>N28-(P14*TribalWater!$H$7)</f>
        <v>2.8462433333333337</v>
      </c>
      <c r="O14" s="245">
        <f t="shared" si="3"/>
        <v>0.83333333333333326</v>
      </c>
      <c r="P14" s="245">
        <f t="shared" si="4"/>
        <v>0.52899444444444443</v>
      </c>
      <c r="Q14" s="246">
        <f t="shared" si="1"/>
        <v>5.0001333333333333</v>
      </c>
      <c r="R14" s="260">
        <f t="shared" si="5"/>
        <v>0.12634511111111107</v>
      </c>
      <c r="S14" s="260">
        <f t="shared" si="6"/>
        <v>3.1967333333333334E-2</v>
      </c>
      <c r="T14" s="260">
        <f t="shared" si="7"/>
        <v>0.56924866666666674</v>
      </c>
      <c r="U14" s="260">
        <v>0.16666666666666666</v>
      </c>
      <c r="V14" s="260">
        <v>0.10579888888888889</v>
      </c>
      <c r="W14" s="259">
        <f t="shared" si="2"/>
        <v>1.0000266666666666</v>
      </c>
    </row>
    <row r="15" spans="1:53" s="192" customFormat="1" ht="14" x14ac:dyDescent="0.3">
      <c r="B15" s="193">
        <v>1.5</v>
      </c>
      <c r="C15" s="196">
        <f t="shared" si="8"/>
        <v>0.64995000000000003</v>
      </c>
      <c r="D15" s="196">
        <f t="shared" si="8"/>
        <v>4.9950000000000008E-2</v>
      </c>
      <c r="E15" s="196">
        <f t="shared" si="8"/>
        <v>0.55005000000000004</v>
      </c>
      <c r="F15" s="196">
        <f t="shared" si="8"/>
        <v>0.25004999999999999</v>
      </c>
      <c r="G15" s="196">
        <f>SUM(C15:F15)</f>
        <v>1.5</v>
      </c>
      <c r="I15" s="244" t="s">
        <v>404</v>
      </c>
      <c r="J15" s="246">
        <v>4.4000000000000004</v>
      </c>
      <c r="K15" s="246">
        <v>4.5999999999999996</v>
      </c>
      <c r="L15" s="245">
        <f>L29-(P15*TribalWater!$H$6)</f>
        <v>0.49321151111111078</v>
      </c>
      <c r="M15" s="245">
        <f>M29-(P15*TribalWater!$H$5)</f>
        <v>0.14707373333333332</v>
      </c>
      <c r="N15" s="245">
        <f>N29-(P15*TribalWater!$H$7)</f>
        <v>2.706519866666667</v>
      </c>
      <c r="O15" s="245">
        <f t="shared" si="3"/>
        <v>0.76666666666666661</v>
      </c>
      <c r="P15" s="245">
        <f t="shared" si="4"/>
        <v>0.48667488888888882</v>
      </c>
      <c r="Q15" s="246">
        <f t="shared" si="1"/>
        <v>4.6001466666666664</v>
      </c>
      <c r="R15" s="260">
        <f t="shared" si="5"/>
        <v>0.1072198937198067</v>
      </c>
      <c r="S15" s="260">
        <f t="shared" si="6"/>
        <v>3.1972550724637679E-2</v>
      </c>
      <c r="T15" s="260">
        <f t="shared" si="7"/>
        <v>0.58837388405797109</v>
      </c>
      <c r="U15" s="260">
        <v>0.16666666666666666</v>
      </c>
      <c r="V15" s="260">
        <v>0.10579888888888889</v>
      </c>
      <c r="W15" s="259">
        <f t="shared" si="2"/>
        <v>1.0000318840579709</v>
      </c>
    </row>
    <row r="16" spans="1:53" s="192" customFormat="1" ht="14" x14ac:dyDescent="0.3">
      <c r="B16" s="193" t="s">
        <v>234</v>
      </c>
      <c r="C16" s="418" t="s">
        <v>235</v>
      </c>
      <c r="D16" s="419"/>
      <c r="E16" s="419"/>
      <c r="F16" s="419"/>
      <c r="G16" s="420"/>
      <c r="I16" s="244" t="s">
        <v>405</v>
      </c>
      <c r="J16" s="246">
        <v>5.2</v>
      </c>
      <c r="K16" s="246">
        <v>3.8</v>
      </c>
      <c r="L16" s="245">
        <f>L30-(P16*TribalWater!$H$6)</f>
        <v>0.21618342222222175</v>
      </c>
      <c r="M16" s="245">
        <f>M30-(P16*TribalWater!$H$5)</f>
        <v>0.12154786666666664</v>
      </c>
      <c r="N16" s="245">
        <f>N30-(P16*TribalWater!$H$7)</f>
        <v>2.4270729333333332</v>
      </c>
      <c r="O16" s="245">
        <f t="shared" si="3"/>
        <v>0.6333333333333333</v>
      </c>
      <c r="P16" s="245">
        <f t="shared" si="4"/>
        <v>0.40203577777777777</v>
      </c>
      <c r="Q16" s="246">
        <f t="shared" si="1"/>
        <v>3.800173333333333</v>
      </c>
      <c r="R16" s="260">
        <f t="shared" si="5"/>
        <v>5.6890374269005728E-2</v>
      </c>
      <c r="S16" s="260">
        <f t="shared" si="6"/>
        <v>3.1986280701754383E-2</v>
      </c>
      <c r="T16" s="260">
        <f t="shared" si="7"/>
        <v>0.63870340350877197</v>
      </c>
      <c r="U16" s="260">
        <v>0.16666666666666666</v>
      </c>
      <c r="V16" s="260">
        <v>0.10579888888888889</v>
      </c>
      <c r="W16" s="259">
        <f t="shared" si="2"/>
        <v>1.0000456140350877</v>
      </c>
    </row>
    <row r="17" spans="2:58" s="192" customFormat="1" ht="14" x14ac:dyDescent="0.3">
      <c r="I17" s="244" t="s">
        <v>406</v>
      </c>
      <c r="J17" s="246">
        <v>8</v>
      </c>
      <c r="K17" s="246">
        <v>1</v>
      </c>
      <c r="L17" s="245">
        <f>L31-(P17*TribalWater!$H$6)</f>
        <v>0.1717295555555555</v>
      </c>
      <c r="M17" s="245">
        <f>M31-(P17*TribalWater!$H$5)</f>
        <v>3.1954952380952382E-2</v>
      </c>
      <c r="N17" s="245">
        <f>N31-(P17*TribalWater!$H$7)</f>
        <v>0.52386422222222229</v>
      </c>
      <c r="O17" s="245">
        <f t="shared" si="3"/>
        <v>0.16666666666666666</v>
      </c>
      <c r="P17" s="245">
        <f t="shared" si="4"/>
        <v>0.10579888888888889</v>
      </c>
      <c r="Q17" s="246">
        <f t="shared" si="1"/>
        <v>1.0000142857142857</v>
      </c>
      <c r="R17" s="260">
        <f t="shared" si="5"/>
        <v>0.1717295555555555</v>
      </c>
      <c r="S17" s="260">
        <f t="shared" si="6"/>
        <v>3.1954952380952382E-2</v>
      </c>
      <c r="T17" s="260">
        <f t="shared" si="7"/>
        <v>0.52386422222222229</v>
      </c>
      <c r="U17" s="260">
        <v>0.16666666666666666</v>
      </c>
      <c r="V17" s="260">
        <v>0.10579888888888889</v>
      </c>
      <c r="W17" s="259">
        <f t="shared" si="2"/>
        <v>1.0000142857142857</v>
      </c>
    </row>
    <row r="18" spans="2:58" s="192" customFormat="1" ht="14" x14ac:dyDescent="0.3"/>
    <row r="19" spans="2:58" s="192" customFormat="1" ht="19" customHeight="1" x14ac:dyDescent="0.3">
      <c r="I19" s="421" t="s">
        <v>425</v>
      </c>
      <c r="J19" s="421"/>
      <c r="K19" s="421"/>
      <c r="L19" s="421"/>
      <c r="M19" s="421"/>
      <c r="N19" s="421"/>
      <c r="O19" s="421"/>
      <c r="P19" s="421"/>
      <c r="Q19" s="421"/>
      <c r="R19" s="421"/>
      <c r="S19" s="421"/>
      <c r="T19" s="421"/>
      <c r="U19" s="421"/>
      <c r="Z19" s="250"/>
      <c r="AA19" s="250"/>
      <c r="AB19" s="250"/>
      <c r="AC19" s="250"/>
    </row>
    <row r="20" spans="2:58" s="192" customFormat="1" ht="27" customHeight="1" x14ac:dyDescent="0.3">
      <c r="I20" s="427" t="s">
        <v>13</v>
      </c>
      <c r="J20" s="427" t="s">
        <v>213</v>
      </c>
      <c r="K20" s="427" t="s">
        <v>214</v>
      </c>
      <c r="L20" s="414" t="s">
        <v>215</v>
      </c>
      <c r="M20" s="415"/>
      <c r="N20" s="415"/>
      <c r="O20" s="415"/>
      <c r="P20" s="416"/>
      <c r="Q20" s="431" t="s">
        <v>216</v>
      </c>
      <c r="R20" s="432"/>
      <c r="S20" s="432"/>
      <c r="T20" s="432"/>
      <c r="U20" s="433"/>
      <c r="Z20" s="254"/>
      <c r="AA20" s="254"/>
      <c r="AB20" s="254"/>
      <c r="AC20" s="254"/>
    </row>
    <row r="21" spans="2:58" s="192" customFormat="1" ht="35" customHeight="1" x14ac:dyDescent="0.3">
      <c r="I21" s="434"/>
      <c r="J21" s="434"/>
      <c r="K21" s="434"/>
      <c r="L21" s="186" t="s">
        <v>218</v>
      </c>
      <c r="M21" s="186" t="s">
        <v>219</v>
      </c>
      <c r="N21" s="186" t="s">
        <v>220</v>
      </c>
      <c r="O21" s="186" t="s">
        <v>221</v>
      </c>
      <c r="P21" s="186" t="s">
        <v>222</v>
      </c>
      <c r="Q21" s="187" t="s">
        <v>223</v>
      </c>
      <c r="R21" s="187" t="s">
        <v>224</v>
      </c>
      <c r="S21" s="187" t="s">
        <v>225</v>
      </c>
      <c r="T21" s="187" t="s">
        <v>226</v>
      </c>
      <c r="U21" s="187" t="s">
        <v>227</v>
      </c>
      <c r="Z21" s="305"/>
      <c r="AA21" s="305"/>
      <c r="AB21" s="305"/>
    </row>
    <row r="22" spans="2:58" s="192" customFormat="1" ht="17" customHeight="1" x14ac:dyDescent="0.3">
      <c r="I22" s="297" t="s">
        <v>402</v>
      </c>
      <c r="J22" s="288">
        <f>B11</f>
        <v>0</v>
      </c>
      <c r="K22" s="289">
        <v>9</v>
      </c>
      <c r="L22" s="298">
        <v>2.8</v>
      </c>
      <c r="M22" s="298">
        <v>0.3</v>
      </c>
      <c r="N22" s="298">
        <v>4.4000000000000004</v>
      </c>
      <c r="O22" s="298">
        <v>1.5</v>
      </c>
      <c r="P22" s="289">
        <f>SUM(L22:O22)</f>
        <v>9</v>
      </c>
      <c r="Q22" s="290">
        <f t="shared" ref="Q22:Q30" si="9">L22/$K22</f>
        <v>0.31111111111111112</v>
      </c>
      <c r="R22" s="290">
        <f t="shared" ref="R22:R30" si="10">M22/$K22</f>
        <v>3.3333333333333333E-2</v>
      </c>
      <c r="S22" s="290">
        <f t="shared" ref="S22:S30" si="11">N22/$K22</f>
        <v>0.48888888888888893</v>
      </c>
      <c r="T22" s="290">
        <f t="shared" ref="T22:T30" si="12">O22/$K22</f>
        <v>0.16666666666666666</v>
      </c>
      <c r="U22" s="291">
        <f>SUM(Q22:T22)</f>
        <v>1</v>
      </c>
      <c r="V22" s="192" t="s">
        <v>432</v>
      </c>
      <c r="W22" s="258"/>
      <c r="AF22" s="336"/>
    </row>
    <row r="23" spans="2:58" s="192" customFormat="1" ht="15" customHeight="1" x14ac:dyDescent="0.3">
      <c r="B23" s="284"/>
      <c r="C23" s="285"/>
      <c r="D23" s="285"/>
      <c r="E23" s="285"/>
      <c r="F23" s="285"/>
      <c r="G23" s="285"/>
      <c r="I23" s="244" t="s">
        <v>229</v>
      </c>
      <c r="J23" s="188">
        <f>B12</f>
        <v>0.3</v>
      </c>
      <c r="K23" s="195">
        <f>K$22-J23</f>
        <v>8.6999999999999993</v>
      </c>
      <c r="L23" s="196">
        <f t="shared" ref="L23:O26" si="13">L$22-C12</f>
        <v>2.67001</v>
      </c>
      <c r="M23" s="196">
        <f t="shared" si="13"/>
        <v>0.29000999999999999</v>
      </c>
      <c r="N23" s="196">
        <f t="shared" si="13"/>
        <v>4.2899900000000004</v>
      </c>
      <c r="O23" s="196">
        <f t="shared" si="13"/>
        <v>1.4499900000000001</v>
      </c>
      <c r="P23" s="189">
        <f t="shared" ref="P23:P26" si="14">SUM(L23:O23)</f>
        <v>8.7000000000000011</v>
      </c>
      <c r="Q23" s="190">
        <f t="shared" si="9"/>
        <v>0.30689770114942533</v>
      </c>
      <c r="R23" s="190">
        <f t="shared" si="10"/>
        <v>3.3334482758620693E-2</v>
      </c>
      <c r="S23" s="190">
        <f t="shared" si="11"/>
        <v>0.49310229885057483</v>
      </c>
      <c r="T23" s="190">
        <f t="shared" si="12"/>
        <v>0.16666551724137935</v>
      </c>
      <c r="U23" s="191">
        <f t="shared" ref="U23:U26" si="15">SUM(Q23:T23)</f>
        <v>1.0000000000000002</v>
      </c>
      <c r="V23" s="258"/>
      <c r="W23" s="258"/>
      <c r="AF23" s="336"/>
    </row>
    <row r="24" spans="2:58" s="192" customFormat="1" ht="14" customHeight="1" x14ac:dyDescent="0.3">
      <c r="B24" s="286"/>
      <c r="C24" s="285"/>
      <c r="D24" s="285"/>
      <c r="E24" s="285"/>
      <c r="F24" s="285"/>
      <c r="G24" s="285"/>
      <c r="I24" s="244" t="s">
        <v>231</v>
      </c>
      <c r="J24" s="188">
        <f>B13</f>
        <v>0.4</v>
      </c>
      <c r="K24" s="195">
        <f>K$22-J24</f>
        <v>8.6</v>
      </c>
      <c r="L24" s="196">
        <f t="shared" si="13"/>
        <v>2.6266799999999999</v>
      </c>
      <c r="M24" s="196">
        <f t="shared" si="13"/>
        <v>0.28667999999999999</v>
      </c>
      <c r="N24" s="196">
        <f t="shared" si="13"/>
        <v>4.2533200000000004</v>
      </c>
      <c r="O24" s="196">
        <f t="shared" si="13"/>
        <v>1.4333199999999999</v>
      </c>
      <c r="P24" s="189">
        <f t="shared" si="14"/>
        <v>8.6</v>
      </c>
      <c r="Q24" s="190">
        <f t="shared" si="9"/>
        <v>0.30542790697674421</v>
      </c>
      <c r="R24" s="190">
        <f t="shared" si="10"/>
        <v>3.3334883720930235E-2</v>
      </c>
      <c r="S24" s="190">
        <f t="shared" si="11"/>
        <v>0.49457209302325589</v>
      </c>
      <c r="T24" s="190">
        <f t="shared" si="12"/>
        <v>0.16666511627906977</v>
      </c>
      <c r="U24" s="191">
        <f t="shared" si="15"/>
        <v>1</v>
      </c>
      <c r="V24" s="249"/>
      <c r="W24" s="249"/>
      <c r="AF24" s="336"/>
    </row>
    <row r="25" spans="2:58" s="192" customFormat="1" ht="14" customHeight="1" x14ac:dyDescent="0.3">
      <c r="I25" s="244" t="s">
        <v>233</v>
      </c>
      <c r="J25" s="188">
        <f>B14</f>
        <v>1</v>
      </c>
      <c r="K25" s="195">
        <f>K$22-J25</f>
        <v>8</v>
      </c>
      <c r="L25" s="196">
        <f t="shared" si="13"/>
        <v>2.3666999999999998</v>
      </c>
      <c r="M25" s="196">
        <f t="shared" si="13"/>
        <v>0.26669999999999999</v>
      </c>
      <c r="N25" s="196">
        <f t="shared" si="13"/>
        <v>4.0333000000000006</v>
      </c>
      <c r="O25" s="196">
        <f t="shared" si="13"/>
        <v>1.3332999999999999</v>
      </c>
      <c r="P25" s="189">
        <f t="shared" si="14"/>
        <v>8</v>
      </c>
      <c r="Q25" s="190">
        <f t="shared" si="9"/>
        <v>0.29583749999999998</v>
      </c>
      <c r="R25" s="190">
        <f t="shared" si="10"/>
        <v>3.3337499999999999E-2</v>
      </c>
      <c r="S25" s="190">
        <f t="shared" si="11"/>
        <v>0.50416250000000007</v>
      </c>
      <c r="T25" s="190">
        <f t="shared" si="12"/>
        <v>0.16666249999999999</v>
      </c>
      <c r="U25" s="191">
        <f t="shared" si="15"/>
        <v>1</v>
      </c>
      <c r="V25" s="279"/>
      <c r="W25" s="256"/>
    </row>
    <row r="26" spans="2:58" s="192" customFormat="1" ht="14" x14ac:dyDescent="0.3">
      <c r="C26" s="287"/>
      <c r="D26" s="287"/>
      <c r="E26" s="287"/>
      <c r="F26" s="287"/>
      <c r="G26" s="287"/>
      <c r="I26" s="244" t="s">
        <v>236</v>
      </c>
      <c r="J26" s="188">
        <f>B15</f>
        <v>1.5</v>
      </c>
      <c r="K26" s="195">
        <f>K$22-J26</f>
        <v>7.5</v>
      </c>
      <c r="L26" s="196">
        <f t="shared" si="13"/>
        <v>2.1500499999999998</v>
      </c>
      <c r="M26" s="196">
        <f t="shared" si="13"/>
        <v>0.25004999999999999</v>
      </c>
      <c r="N26" s="196">
        <f t="shared" si="13"/>
        <v>3.8499500000000002</v>
      </c>
      <c r="O26" s="196">
        <f t="shared" si="13"/>
        <v>1.2499500000000001</v>
      </c>
      <c r="P26" s="189">
        <f t="shared" si="14"/>
        <v>7.5</v>
      </c>
      <c r="Q26" s="296">
        <f t="shared" si="9"/>
        <v>0.28667333333333328</v>
      </c>
      <c r="R26" s="296">
        <f t="shared" si="10"/>
        <v>3.3340000000000002E-2</v>
      </c>
      <c r="S26" s="296">
        <f t="shared" si="11"/>
        <v>0.51332666666666671</v>
      </c>
      <c r="T26" s="296">
        <f t="shared" si="12"/>
        <v>0.16666</v>
      </c>
      <c r="U26" s="191">
        <f t="shared" si="15"/>
        <v>1</v>
      </c>
      <c r="V26" s="279"/>
      <c r="W26" s="256"/>
    </row>
    <row r="27" spans="2:58" s="192" customFormat="1" ht="14" x14ac:dyDescent="0.3">
      <c r="C27" s="287"/>
      <c r="D27" s="287"/>
      <c r="E27" s="287"/>
      <c r="F27" s="287"/>
      <c r="G27" s="287"/>
      <c r="I27" s="244" t="s">
        <v>426</v>
      </c>
      <c r="J27" s="188">
        <v>2.7</v>
      </c>
      <c r="K27" s="195">
        <f>K$22-J27</f>
        <v>6.3</v>
      </c>
      <c r="L27" s="196">
        <f>L26-C9*($K26-$K27)</f>
        <v>1.6300899999999996</v>
      </c>
      <c r="M27" s="196">
        <f>M26-D9*($K26-$K27)</f>
        <v>0.21009</v>
      </c>
      <c r="N27" s="196">
        <f>N26-E9*($K26-$K27)</f>
        <v>3.40991</v>
      </c>
      <c r="O27" s="196">
        <f>O26-F9*($K26-$K27)</f>
        <v>1.0499100000000001</v>
      </c>
      <c r="P27" s="195">
        <f>P26-G9*($K26-$K27)</f>
        <v>6.3</v>
      </c>
      <c r="Q27" s="296">
        <f t="shared" si="9"/>
        <v>0.25874444444444439</v>
      </c>
      <c r="R27" s="296">
        <f t="shared" si="10"/>
        <v>3.334761904761905E-2</v>
      </c>
      <c r="S27" s="296">
        <f t="shared" si="11"/>
        <v>0.5412555555555556</v>
      </c>
      <c r="T27" s="296">
        <f t="shared" si="12"/>
        <v>0.16665238095238097</v>
      </c>
      <c r="U27" s="191">
        <f>SUM(Q27:T27)</f>
        <v>1</v>
      </c>
      <c r="V27" s="279"/>
      <c r="W27" s="256"/>
    </row>
    <row r="28" spans="2:58" s="192" customFormat="1" ht="14" x14ac:dyDescent="0.3">
      <c r="I28" s="244" t="s">
        <v>403</v>
      </c>
      <c r="J28" s="244">
        <f>9-K28</f>
        <v>4</v>
      </c>
      <c r="K28" s="246">
        <v>5</v>
      </c>
      <c r="L28" s="245">
        <f>L26-C9*($K26-$K28)</f>
        <v>1.0667999999999997</v>
      </c>
      <c r="M28" s="245">
        <f>M26-D9*($K26-$K28)</f>
        <v>0.1668</v>
      </c>
      <c r="N28" s="245">
        <f>N26-E9*($K26-$K28)</f>
        <v>2.9332000000000003</v>
      </c>
      <c r="O28" s="245">
        <f>O26-F9*($K26-$K28)</f>
        <v>0.83320000000000016</v>
      </c>
      <c r="P28" s="246">
        <f>P26-G9*($K26-$K28)</f>
        <v>5</v>
      </c>
      <c r="Q28" s="190">
        <f t="shared" si="9"/>
        <v>0.21335999999999994</v>
      </c>
      <c r="R28" s="190">
        <f t="shared" si="10"/>
        <v>3.3360000000000001E-2</v>
      </c>
      <c r="S28" s="190">
        <f t="shared" si="11"/>
        <v>0.58664000000000005</v>
      </c>
      <c r="T28" s="190">
        <f t="shared" si="12"/>
        <v>0.16664000000000004</v>
      </c>
      <c r="U28" s="191">
        <f>SUM(Q28:T28)</f>
        <v>1</v>
      </c>
      <c r="V28" s="306" t="s">
        <v>429</v>
      </c>
      <c r="W28" s="256"/>
    </row>
    <row r="29" spans="2:58" s="192" customFormat="1" ht="14" x14ac:dyDescent="0.3">
      <c r="C29" s="287"/>
      <c r="D29" s="287"/>
      <c r="E29" s="287"/>
      <c r="F29" s="287"/>
      <c r="G29" s="287"/>
      <c r="I29" s="244" t="s">
        <v>404</v>
      </c>
      <c r="J29" s="244">
        <f>9-K29</f>
        <v>4.4000000000000004</v>
      </c>
      <c r="K29" s="244">
        <v>4.5999999999999996</v>
      </c>
      <c r="L29" s="245">
        <f>L26-C9*($K26-$K29)</f>
        <v>0.89347999999999961</v>
      </c>
      <c r="M29" s="245">
        <f>M26-D9*($K26-$K29)</f>
        <v>0.15347999999999998</v>
      </c>
      <c r="N29" s="245">
        <f>N26-E9*($K26-$K29)</f>
        <v>2.7865200000000003</v>
      </c>
      <c r="O29" s="245">
        <f>O26-F9*($K26-$K29)</f>
        <v>0.76652000000000009</v>
      </c>
      <c r="P29" s="246">
        <f>P26-G9*($K26-$K29)</f>
        <v>4.5999999999999996</v>
      </c>
      <c r="Q29" s="190">
        <f t="shared" si="9"/>
        <v>0.19423478260869559</v>
      </c>
      <c r="R29" s="190">
        <f t="shared" si="10"/>
        <v>3.3365217391304346E-2</v>
      </c>
      <c r="S29" s="190">
        <f t="shared" si="11"/>
        <v>0.60576521739130451</v>
      </c>
      <c r="T29" s="190">
        <f t="shared" si="12"/>
        <v>0.16663478260869569</v>
      </c>
      <c r="U29" s="191">
        <f>SUM(Q29:T29)</f>
        <v>1</v>
      </c>
      <c r="V29" s="279"/>
      <c r="W29" s="256"/>
    </row>
    <row r="30" spans="2:58" s="192" customFormat="1" ht="14" x14ac:dyDescent="0.3">
      <c r="C30" s="287"/>
      <c r="D30" s="287"/>
      <c r="E30" s="287"/>
      <c r="F30" s="287"/>
      <c r="G30" s="287"/>
      <c r="I30" s="244" t="s">
        <v>405</v>
      </c>
      <c r="J30" s="244">
        <f>9-K30</f>
        <v>5.2</v>
      </c>
      <c r="K30" s="244">
        <v>3.8</v>
      </c>
      <c r="L30" s="245">
        <f>L26-C9*($K26-$K30)</f>
        <v>0.54683999999999955</v>
      </c>
      <c r="M30" s="245">
        <f>M26-D9*($K26-$K30)</f>
        <v>0.12683999999999998</v>
      </c>
      <c r="N30" s="245">
        <f>N26-E9*($K26-$K30)</f>
        <v>2.49316</v>
      </c>
      <c r="O30" s="245">
        <f>O26-F9*($K26-$K30)</f>
        <v>0.63316000000000017</v>
      </c>
      <c r="P30" s="246">
        <f>P26-G9*($K26-$K30)</f>
        <v>3.8</v>
      </c>
      <c r="Q30" s="190">
        <f t="shared" si="9"/>
        <v>0.14390526315789462</v>
      </c>
      <c r="R30" s="190">
        <f t="shared" si="10"/>
        <v>3.337894736842105E-2</v>
      </c>
      <c r="S30" s="190">
        <f t="shared" si="11"/>
        <v>0.65609473684210529</v>
      </c>
      <c r="T30" s="190">
        <f t="shared" si="12"/>
        <v>0.166621052631579</v>
      </c>
      <c r="U30" s="191">
        <f>SUM(Q30:T30)</f>
        <v>1</v>
      </c>
      <c r="V30" s="279"/>
      <c r="W30" s="256"/>
    </row>
    <row r="31" spans="2:58" s="192" customFormat="1" ht="14" x14ac:dyDescent="0.3">
      <c r="C31" s="287"/>
      <c r="D31" s="287"/>
      <c r="E31" s="287"/>
      <c r="F31" s="287"/>
      <c r="G31" s="287"/>
      <c r="I31" s="244" t="s">
        <v>406</v>
      </c>
      <c r="J31" s="188">
        <v>8</v>
      </c>
      <c r="K31" s="195">
        <f>K$22-J31</f>
        <v>1</v>
      </c>
      <c r="L31" s="196">
        <f>$K31*Q31</f>
        <v>0.25874444444444439</v>
      </c>
      <c r="M31" s="196">
        <f>$K31*R31</f>
        <v>3.334761904761905E-2</v>
      </c>
      <c r="N31" s="196">
        <f>$K31*S31</f>
        <v>0.5412555555555556</v>
      </c>
      <c r="O31" s="196">
        <f>$K31*T31</f>
        <v>0.16665238095238097</v>
      </c>
      <c r="P31" s="195">
        <f>$K31*U31</f>
        <v>1</v>
      </c>
      <c r="Q31" s="190">
        <f>Q27</f>
        <v>0.25874444444444439</v>
      </c>
      <c r="R31" s="190">
        <f>R27</f>
        <v>3.334761904761905E-2</v>
      </c>
      <c r="S31" s="190">
        <f>S27</f>
        <v>0.5412555555555556</v>
      </c>
      <c r="T31" s="190">
        <f>T27</f>
        <v>0.16665238095238097</v>
      </c>
      <c r="U31" s="206">
        <f>U27</f>
        <v>1</v>
      </c>
      <c r="V31" s="304" t="s">
        <v>430</v>
      </c>
      <c r="W31" s="256"/>
    </row>
    <row r="32" spans="2:58" s="192" customFormat="1" ht="14" x14ac:dyDescent="0.3">
      <c r="C32" s="287"/>
      <c r="D32" s="287"/>
      <c r="E32" s="287"/>
      <c r="F32" s="287"/>
      <c r="G32" s="287"/>
      <c r="V32" s="279"/>
      <c r="W32" s="256"/>
      <c r="BC32" s="285"/>
      <c r="BD32" s="285"/>
      <c r="BE32" s="285"/>
      <c r="BF32" s="285"/>
    </row>
    <row r="33" spans="1:39" x14ac:dyDescent="0.35">
      <c r="V33" s="279"/>
      <c r="W33" s="256"/>
    </row>
    <row r="36" spans="1:39" x14ac:dyDescent="0.35">
      <c r="AB36" s="113"/>
      <c r="AC36" s="113"/>
      <c r="AD36" s="113"/>
      <c r="AF36" s="113"/>
      <c r="AG36" s="113"/>
    </row>
    <row r="37" spans="1:39" ht="14" customHeight="1" x14ac:dyDescent="0.35">
      <c r="A37" s="280"/>
      <c r="B37" s="280"/>
      <c r="C37" s="280"/>
      <c r="D37" s="280"/>
      <c r="E37" s="280"/>
      <c r="F37" s="280"/>
      <c r="G37" s="280"/>
      <c r="Y37" s="258"/>
      <c r="Z37" s="258"/>
      <c r="AA37" s="258"/>
      <c r="AB37" s="274"/>
      <c r="AC37" s="274"/>
      <c r="AD37" s="274"/>
      <c r="AE37" s="274"/>
      <c r="AF37" s="274"/>
      <c r="AG37" s="274"/>
      <c r="AH37" s="258"/>
      <c r="AI37" s="258"/>
      <c r="AJ37" s="258"/>
      <c r="AK37" s="258"/>
      <c r="AL37" s="258"/>
      <c r="AM37" s="258"/>
    </row>
    <row r="38" spans="1:39" ht="14" customHeight="1" x14ac:dyDescent="0.35">
      <c r="A38" s="249"/>
      <c r="B38" s="249"/>
      <c r="C38" s="249"/>
      <c r="D38" s="249"/>
      <c r="E38" s="249"/>
      <c r="F38" s="249"/>
      <c r="G38" s="249"/>
      <c r="Y38" s="258"/>
      <c r="Z38" s="251"/>
      <c r="AA38" s="251"/>
      <c r="AB38" s="258"/>
      <c r="AC38" s="258"/>
      <c r="AD38" s="258"/>
      <c r="AE38" s="258"/>
      <c r="AF38" s="258"/>
      <c r="AG38" s="258"/>
      <c r="AH38" s="258"/>
      <c r="AI38" s="258"/>
      <c r="AJ38" s="258"/>
      <c r="AK38" s="258"/>
      <c r="AL38" s="258"/>
      <c r="AM38" s="258"/>
    </row>
    <row r="39" spans="1:39" ht="14" customHeight="1" x14ac:dyDescent="0.35">
      <c r="A39" s="251"/>
      <c r="B39" s="251"/>
      <c r="C39" s="251"/>
      <c r="D39" s="251"/>
      <c r="E39" s="251"/>
      <c r="F39" s="251"/>
      <c r="G39" s="251"/>
      <c r="Y39" s="258"/>
      <c r="Z39" s="258"/>
      <c r="AA39" s="258"/>
      <c r="AB39" s="249"/>
      <c r="AC39" s="249"/>
      <c r="AD39" s="249"/>
      <c r="AE39" s="249"/>
      <c r="AF39" s="249"/>
      <c r="AG39" s="257"/>
      <c r="AH39" s="249"/>
      <c r="AI39" s="249"/>
      <c r="AJ39" s="249"/>
      <c r="AK39" s="249"/>
      <c r="AL39" s="249"/>
      <c r="AM39" s="257"/>
    </row>
    <row r="40" spans="1:39" ht="15" customHeight="1" x14ac:dyDescent="0.35">
      <c r="A40" s="250"/>
      <c r="B40" s="281"/>
      <c r="C40" s="281"/>
      <c r="D40" s="281"/>
      <c r="E40" s="281"/>
      <c r="F40" s="281"/>
      <c r="G40" s="281"/>
      <c r="Y40" s="252"/>
      <c r="Z40" s="253"/>
      <c r="AA40" s="253"/>
      <c r="AB40" s="254"/>
      <c r="AC40" s="254"/>
      <c r="AD40" s="254"/>
      <c r="AE40" s="254"/>
      <c r="AF40" s="254"/>
      <c r="AG40" s="253"/>
      <c r="AH40" s="255"/>
      <c r="AI40" s="255"/>
      <c r="AJ40" s="255"/>
      <c r="AK40" s="255"/>
      <c r="AL40" s="255"/>
      <c r="AM40" s="256"/>
    </row>
    <row r="41" spans="1:39" x14ac:dyDescent="0.35">
      <c r="A41" s="250"/>
      <c r="B41" s="282"/>
      <c r="C41" s="282"/>
      <c r="D41" s="282"/>
      <c r="E41" s="282"/>
      <c r="F41" s="282"/>
      <c r="G41" s="281"/>
      <c r="X41" s="192"/>
      <c r="Y41" s="252"/>
      <c r="Z41" s="253"/>
      <c r="AA41" s="253"/>
      <c r="AB41" s="254"/>
      <c r="AC41" s="254"/>
      <c r="AD41" s="254"/>
      <c r="AE41" s="254"/>
      <c r="AF41" s="254"/>
      <c r="AG41" s="253"/>
      <c r="AH41" s="255"/>
      <c r="AI41" s="255"/>
      <c r="AJ41" s="255"/>
      <c r="AK41" s="255"/>
      <c r="AL41" s="255"/>
      <c r="AM41" s="256"/>
    </row>
    <row r="42" spans="1:39" x14ac:dyDescent="0.35">
      <c r="A42" s="250"/>
      <c r="B42" s="282"/>
      <c r="C42" s="282"/>
      <c r="D42" s="282"/>
      <c r="E42" s="282"/>
      <c r="F42" s="282"/>
      <c r="G42" s="281"/>
      <c r="Y42" s="252"/>
      <c r="Z42" s="253"/>
      <c r="AA42" s="253"/>
      <c r="AB42" s="254"/>
      <c r="AC42" s="254"/>
      <c r="AD42" s="254"/>
      <c r="AE42" s="254"/>
      <c r="AF42" s="254"/>
      <c r="AG42" s="253"/>
      <c r="AH42" s="255"/>
      <c r="AI42" s="255"/>
      <c r="AJ42" s="255"/>
      <c r="AK42" s="255"/>
      <c r="AL42" s="255"/>
      <c r="AM42" s="256"/>
    </row>
    <row r="43" spans="1:39" x14ac:dyDescent="0.35">
      <c r="A43" s="250"/>
      <c r="B43" s="192"/>
      <c r="C43" s="192"/>
      <c r="D43" s="192"/>
      <c r="E43" s="192"/>
      <c r="F43" s="192"/>
      <c r="G43" s="192"/>
      <c r="Y43" s="252"/>
      <c r="Z43" s="253"/>
      <c r="AA43" s="253"/>
      <c r="AB43" s="254"/>
      <c r="AC43" s="254"/>
      <c r="AD43" s="254"/>
      <c r="AE43" s="254"/>
      <c r="AF43" s="254"/>
      <c r="AG43" s="253"/>
      <c r="AH43" s="255"/>
      <c r="AI43" s="255"/>
      <c r="AJ43" s="255"/>
      <c r="AK43" s="255"/>
      <c r="AL43" s="255"/>
      <c r="AM43" s="256"/>
    </row>
    <row r="44" spans="1:39" x14ac:dyDescent="0.35">
      <c r="A44" s="280"/>
      <c r="B44" s="280"/>
      <c r="C44" s="280"/>
      <c r="D44" s="280"/>
      <c r="E44" s="280"/>
      <c r="F44" s="280"/>
      <c r="G44" s="280"/>
      <c r="Y44" s="252"/>
      <c r="Z44" s="253"/>
      <c r="AA44" s="253"/>
      <c r="AB44" s="254"/>
      <c r="AC44" s="254"/>
      <c r="AD44" s="254"/>
      <c r="AE44" s="254"/>
      <c r="AF44" s="254"/>
      <c r="AG44" s="253"/>
      <c r="AH44" s="255"/>
      <c r="AI44" s="255"/>
      <c r="AJ44" s="255"/>
      <c r="AK44" s="255"/>
      <c r="AL44" s="255"/>
      <c r="AM44" s="256"/>
    </row>
    <row r="45" spans="1:39" x14ac:dyDescent="0.35">
      <c r="A45" s="250"/>
      <c r="B45" s="283"/>
      <c r="C45" s="283"/>
      <c r="D45" s="283"/>
      <c r="E45" s="283"/>
      <c r="F45" s="283"/>
      <c r="G45" s="283"/>
      <c r="Y45" s="252"/>
      <c r="Z45" s="253"/>
      <c r="AA45" s="253"/>
      <c r="AB45" s="254"/>
      <c r="AC45" s="254"/>
      <c r="AD45" s="254"/>
      <c r="AE45" s="254"/>
      <c r="AF45" s="254"/>
      <c r="AG45" s="253"/>
      <c r="AH45" s="255"/>
      <c r="AI45" s="255"/>
      <c r="AJ45" s="255"/>
      <c r="AK45" s="255"/>
      <c r="AL45" s="255"/>
      <c r="AM45" s="256"/>
    </row>
    <row r="46" spans="1:39" x14ac:dyDescent="0.35">
      <c r="A46" s="250"/>
      <c r="B46" s="278"/>
      <c r="C46" s="278"/>
      <c r="D46" s="278"/>
      <c r="E46" s="278"/>
      <c r="F46" s="278"/>
      <c r="G46" s="278"/>
      <c r="Y46" s="252"/>
      <c r="Z46" s="253"/>
      <c r="AA46" s="253"/>
      <c r="AB46" s="254"/>
      <c r="AC46" s="254"/>
      <c r="AD46" s="254"/>
      <c r="AE46" s="254"/>
      <c r="AF46" s="254"/>
      <c r="AG46" s="253"/>
      <c r="AH46" s="255"/>
      <c r="AI46" s="255"/>
      <c r="AJ46" s="255"/>
      <c r="AK46" s="255"/>
      <c r="AL46" s="255"/>
      <c r="AM46" s="256"/>
    </row>
    <row r="47" spans="1:39" x14ac:dyDescent="0.35">
      <c r="A47" s="250"/>
      <c r="B47" s="278"/>
      <c r="C47" s="278"/>
      <c r="D47" s="278"/>
      <c r="E47" s="278"/>
      <c r="F47" s="278"/>
      <c r="G47" s="278"/>
      <c r="I47" s="252"/>
      <c r="J47" s="253"/>
      <c r="K47" s="253"/>
      <c r="L47" s="254"/>
      <c r="M47" s="254"/>
      <c r="N47" s="254"/>
      <c r="O47" s="254"/>
      <c r="P47" s="254"/>
      <c r="Q47" s="253"/>
      <c r="R47" s="255"/>
      <c r="S47" s="255"/>
      <c r="T47" s="255"/>
      <c r="U47" s="255"/>
      <c r="V47" s="255"/>
      <c r="W47" s="256"/>
      <c r="Y47" s="252"/>
      <c r="Z47" s="253"/>
      <c r="AA47" s="253"/>
      <c r="AB47" s="254"/>
      <c r="AC47" s="254"/>
      <c r="AD47" s="254"/>
      <c r="AE47" s="254"/>
      <c r="AF47" s="254"/>
      <c r="AG47" s="253"/>
      <c r="AH47" s="255"/>
      <c r="AI47" s="255"/>
      <c r="AJ47" s="255"/>
      <c r="AK47" s="255"/>
      <c r="AL47" s="255"/>
      <c r="AM47" s="256"/>
    </row>
    <row r="48" spans="1:39" x14ac:dyDescent="0.35">
      <c r="A48" s="250"/>
      <c r="B48" s="278"/>
      <c r="C48" s="278"/>
      <c r="D48" s="278"/>
      <c r="E48" s="278"/>
      <c r="F48" s="278"/>
      <c r="G48" s="278"/>
      <c r="I48" s="252"/>
      <c r="J48" s="253"/>
      <c r="K48" s="253"/>
      <c r="L48" s="254"/>
      <c r="M48" s="254"/>
      <c r="N48" s="254"/>
      <c r="O48" s="254"/>
      <c r="P48" s="254"/>
      <c r="Q48" s="253"/>
      <c r="R48" s="255"/>
      <c r="S48" s="255"/>
      <c r="T48" s="255"/>
      <c r="U48" s="255"/>
      <c r="V48" s="255"/>
      <c r="W48" s="256"/>
      <c r="Y48" s="252"/>
      <c r="Z48" s="253"/>
      <c r="AA48" s="253"/>
      <c r="AB48" s="254"/>
      <c r="AC48" s="254"/>
      <c r="AD48" s="254"/>
      <c r="AE48" s="254"/>
      <c r="AF48" s="254"/>
      <c r="AG48" s="253"/>
      <c r="AH48" s="255"/>
      <c r="AI48" s="255"/>
      <c r="AJ48" s="255"/>
      <c r="AK48" s="255"/>
      <c r="AL48" s="255"/>
      <c r="AM48" s="256"/>
    </row>
    <row r="49" spans="1:39" x14ac:dyDescent="0.35">
      <c r="A49" s="250"/>
      <c r="B49" s="278"/>
      <c r="C49" s="278"/>
      <c r="D49" s="278"/>
      <c r="E49" s="278"/>
      <c r="F49" s="278"/>
      <c r="G49" s="278"/>
      <c r="I49" s="252"/>
      <c r="J49" s="253"/>
      <c r="K49" s="253"/>
      <c r="L49" s="254"/>
      <c r="M49" s="254"/>
      <c r="N49" s="254"/>
      <c r="O49" s="254"/>
      <c r="P49" s="254"/>
      <c r="Q49" s="253"/>
      <c r="R49" s="255"/>
      <c r="S49" s="255"/>
      <c r="T49" s="255"/>
      <c r="U49" s="255"/>
      <c r="V49" s="255"/>
      <c r="W49" s="256"/>
      <c r="Y49" s="252"/>
      <c r="Z49" s="253"/>
      <c r="AA49" s="253"/>
      <c r="AB49" s="254"/>
      <c r="AC49" s="254"/>
      <c r="AD49" s="254"/>
      <c r="AE49" s="254"/>
      <c r="AF49" s="254"/>
      <c r="AG49" s="253"/>
      <c r="AH49" s="255"/>
      <c r="AI49" s="255"/>
      <c r="AJ49" s="255"/>
      <c r="AK49" s="255"/>
      <c r="AL49" s="255"/>
      <c r="AM49" s="256"/>
    </row>
    <row r="50" spans="1:39" x14ac:dyDescent="0.35">
      <c r="A50" s="250"/>
      <c r="B50" s="192"/>
      <c r="C50" s="192"/>
      <c r="D50" s="192"/>
      <c r="E50" s="192"/>
      <c r="F50" s="192"/>
      <c r="G50" s="192"/>
    </row>
    <row r="51" spans="1:39" x14ac:dyDescent="0.35">
      <c r="B51" s="250"/>
      <c r="C51" s="192"/>
      <c r="D51" s="192"/>
      <c r="E51" s="192"/>
      <c r="F51" s="192"/>
      <c r="G51" s="192"/>
    </row>
  </sheetData>
  <mergeCells count="15">
    <mergeCell ref="I20:I21"/>
    <mergeCell ref="J20:J21"/>
    <mergeCell ref="K20:K21"/>
    <mergeCell ref="L20:P20"/>
    <mergeCell ref="Q20:U20"/>
    <mergeCell ref="B6:G6"/>
    <mergeCell ref="B10:G10"/>
    <mergeCell ref="C16:G16"/>
    <mergeCell ref="I19:U19"/>
    <mergeCell ref="I5:W5"/>
    <mergeCell ref="I6:I7"/>
    <mergeCell ref="J6:J7"/>
    <mergeCell ref="K6:K7"/>
    <mergeCell ref="L6:Q6"/>
    <mergeCell ref="R6:W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BA06C-E963-43DD-B933-307F043834EF}">
  <dimension ref="A1:N23"/>
  <sheetViews>
    <sheetView zoomScale="142" zoomScaleNormal="160" workbookViewId="0">
      <selection activeCell="H12" sqref="H12"/>
    </sheetView>
  </sheetViews>
  <sheetFormatPr defaultColWidth="8.81640625" defaultRowHeight="14.5" x14ac:dyDescent="0.35"/>
  <cols>
    <col min="1" max="1" width="28.6328125" customWidth="1"/>
    <col min="2" max="2" width="11.1796875" bestFit="1" customWidth="1"/>
    <col min="3" max="3" width="16" customWidth="1"/>
    <col min="4" max="4" width="20.1796875" customWidth="1"/>
    <col min="7" max="7" width="9.36328125" customWidth="1"/>
  </cols>
  <sheetData>
    <row r="1" spans="1:14" x14ac:dyDescent="0.35">
      <c r="A1" s="1" t="s">
        <v>307</v>
      </c>
    </row>
    <row r="3" spans="1:14" x14ac:dyDescent="0.35">
      <c r="A3" s="1" t="s">
        <v>313</v>
      </c>
    </row>
    <row r="4" spans="1:14" ht="29" customHeight="1" x14ac:dyDescent="0.35">
      <c r="A4" s="218" t="s">
        <v>308</v>
      </c>
      <c r="B4" s="218" t="s">
        <v>309</v>
      </c>
      <c r="C4" s="219" t="s">
        <v>310</v>
      </c>
      <c r="D4" s="219" t="s">
        <v>311</v>
      </c>
      <c r="F4" s="219" t="s">
        <v>309</v>
      </c>
      <c r="G4" s="219" t="s">
        <v>318</v>
      </c>
      <c r="H4" s="219" t="s">
        <v>319</v>
      </c>
    </row>
    <row r="5" spans="1:14" x14ac:dyDescent="0.35">
      <c r="A5" s="22" t="s">
        <v>312</v>
      </c>
      <c r="B5" s="22" t="s">
        <v>204</v>
      </c>
      <c r="C5" s="23">
        <v>12534</v>
      </c>
      <c r="D5" s="23"/>
      <c r="F5" s="21" t="s">
        <v>204</v>
      </c>
      <c r="G5" s="30">
        <f>SUMIFS($C$5:$C$13,$B$5:$B$13,F5)</f>
        <v>12534</v>
      </c>
      <c r="H5" s="222">
        <f>G5/G$8</f>
        <v>1.3163339249519528E-2</v>
      </c>
    </row>
    <row r="6" spans="1:14" x14ac:dyDescent="0.35">
      <c r="A6" s="22" t="s">
        <v>312</v>
      </c>
      <c r="B6" s="22" t="s">
        <v>203</v>
      </c>
      <c r="C6" s="23">
        <v>103535</v>
      </c>
      <c r="D6" s="23"/>
      <c r="F6" s="21" t="s">
        <v>203</v>
      </c>
      <c r="G6" s="30">
        <f t="shared" ref="G6:G7" si="0">SUMIFS($C$5:$C$13,$B$5:$B$13,F6)</f>
        <v>783134</v>
      </c>
      <c r="H6" s="222">
        <f t="shared" ref="H6:H8" si="1">G6/G$8</f>
        <v>0.82245560234827086</v>
      </c>
    </row>
    <row r="7" spans="1:14" x14ac:dyDescent="0.35">
      <c r="A7" s="22" t="s">
        <v>312</v>
      </c>
      <c r="B7" s="22" t="s">
        <v>202</v>
      </c>
      <c r="C7" s="23">
        <v>16720</v>
      </c>
      <c r="D7" s="23"/>
      <c r="F7" s="21" t="s">
        <v>202</v>
      </c>
      <c r="G7" s="30">
        <f t="shared" si="0"/>
        <v>156522</v>
      </c>
      <c r="H7" s="222">
        <f t="shared" si="1"/>
        <v>0.16438105840220965</v>
      </c>
    </row>
    <row r="8" spans="1:14" x14ac:dyDescent="0.35">
      <c r="A8" s="22" t="s">
        <v>314</v>
      </c>
      <c r="B8" s="22" t="s">
        <v>202</v>
      </c>
      <c r="C8" s="23">
        <v>11340</v>
      </c>
      <c r="D8" s="23"/>
      <c r="F8" s="225" t="s">
        <v>25</v>
      </c>
      <c r="G8" s="223">
        <f>SUM(G5:G7)</f>
        <v>952190</v>
      </c>
      <c r="H8" s="224">
        <f t="shared" si="1"/>
        <v>1</v>
      </c>
    </row>
    <row r="9" spans="1:14" x14ac:dyDescent="0.35">
      <c r="A9" s="22" t="s">
        <v>315</v>
      </c>
      <c r="B9" s="22" t="s">
        <v>203</v>
      </c>
      <c r="C9" s="23">
        <v>662402</v>
      </c>
      <c r="D9" s="23"/>
    </row>
    <row r="10" spans="1:14" x14ac:dyDescent="0.35">
      <c r="A10" s="22" t="s">
        <v>315</v>
      </c>
      <c r="B10" s="22" t="s">
        <v>202</v>
      </c>
      <c r="C10" s="23">
        <v>56846</v>
      </c>
      <c r="D10" s="23"/>
      <c r="G10" s="248"/>
    </row>
    <row r="11" spans="1:14" x14ac:dyDescent="0.35">
      <c r="A11" s="22" t="s">
        <v>316</v>
      </c>
      <c r="B11" s="22" t="s">
        <v>203</v>
      </c>
      <c r="C11" s="23">
        <v>6350</v>
      </c>
      <c r="D11" s="23"/>
    </row>
    <row r="12" spans="1:14" x14ac:dyDescent="0.35">
      <c r="A12" s="22" t="s">
        <v>316</v>
      </c>
      <c r="B12" s="22" t="s">
        <v>202</v>
      </c>
      <c r="C12" s="23">
        <v>71616</v>
      </c>
      <c r="D12" s="23"/>
      <c r="I12" s="275"/>
      <c r="J12" s="275"/>
      <c r="K12" s="275"/>
      <c r="L12" s="275"/>
      <c r="M12" s="275"/>
      <c r="N12" s="275"/>
    </row>
    <row r="13" spans="1:14" x14ac:dyDescent="0.35">
      <c r="A13" s="22" t="s">
        <v>317</v>
      </c>
      <c r="B13" s="22" t="s">
        <v>203</v>
      </c>
      <c r="C13" s="23">
        <v>10847</v>
      </c>
      <c r="D13" s="23">
        <v>22928</v>
      </c>
    </row>
    <row r="14" spans="1:14" s="1" customFormat="1" x14ac:dyDescent="0.35">
      <c r="A14" s="220" t="s">
        <v>25</v>
      </c>
      <c r="B14" s="220"/>
      <c r="C14" s="221">
        <f>SUM(C5:C13)</f>
        <v>952190</v>
      </c>
      <c r="D14" s="221">
        <f>SUM(D5:D13)</f>
        <v>22928</v>
      </c>
    </row>
    <row r="17" spans="1:3" x14ac:dyDescent="0.35">
      <c r="A17" s="1" t="s">
        <v>320</v>
      </c>
    </row>
    <row r="18" spans="1:3" x14ac:dyDescent="0.35">
      <c r="A18" s="218" t="s">
        <v>321</v>
      </c>
      <c r="B18" s="226" t="s">
        <v>322</v>
      </c>
      <c r="C18" s="226" t="s">
        <v>323</v>
      </c>
    </row>
    <row r="19" spans="1:3" x14ac:dyDescent="0.35">
      <c r="A19" s="22" t="s">
        <v>324</v>
      </c>
      <c r="B19" s="23">
        <v>769208</v>
      </c>
      <c r="C19" s="23">
        <v>441381</v>
      </c>
    </row>
    <row r="20" spans="1:3" x14ac:dyDescent="0.35">
      <c r="A20" s="22" t="s">
        <v>325</v>
      </c>
      <c r="B20" s="23">
        <v>15340</v>
      </c>
      <c r="C20" s="23">
        <v>9017</v>
      </c>
    </row>
    <row r="21" spans="1:3" x14ac:dyDescent="0.35">
      <c r="A21" s="22" t="s">
        <v>326</v>
      </c>
      <c r="B21" s="23">
        <v>2844</v>
      </c>
      <c r="C21" s="23">
        <v>1698</v>
      </c>
    </row>
    <row r="22" spans="1:3" x14ac:dyDescent="0.35">
      <c r="A22" s="22" t="s">
        <v>327</v>
      </c>
      <c r="B22" s="23">
        <v>13000</v>
      </c>
      <c r="C22" s="23">
        <v>13000</v>
      </c>
    </row>
    <row r="23" spans="1:3" x14ac:dyDescent="0.35">
      <c r="A23" s="220" t="s">
        <v>25</v>
      </c>
      <c r="B23" s="221">
        <f>SUM(B19:B22)</f>
        <v>800392</v>
      </c>
      <c r="C23" s="221">
        <f>SUM(C19:C22)</f>
        <v>465096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E49" sqref="E49:E50"/>
    </sheetView>
  </sheetViews>
  <sheetFormatPr defaultColWidth="8.81640625" defaultRowHeight="14.5" x14ac:dyDescent="0.35"/>
  <cols>
    <col min="1" max="1" width="39.453125" customWidth="1"/>
    <col min="2" max="2" width="11" customWidth="1"/>
    <col min="3" max="3" width="10.453125" style="2" customWidth="1"/>
    <col min="4" max="4" width="10.81640625" customWidth="1"/>
    <col min="5" max="5" width="10.453125" customWidth="1"/>
    <col min="6" max="6" width="10.1796875" customWidth="1"/>
    <col min="7" max="7" width="10.453125" customWidth="1"/>
    <col min="8" max="8" width="7.453125" customWidth="1"/>
    <col min="9" max="9" width="7.6328125" customWidth="1"/>
    <col min="10" max="12" width="8.6328125" customWidth="1"/>
    <col min="13" max="13" width="10.81640625" customWidth="1"/>
    <col min="14" max="14" width="37.6328125" style="2" customWidth="1"/>
    <col min="15" max="15" width="13" customWidth="1"/>
    <col min="16" max="16" width="9.81640625" customWidth="1"/>
    <col min="17" max="17" width="10.81640625" customWidth="1"/>
    <col min="18" max="18" width="21.453125" customWidth="1"/>
    <col min="19" max="19" width="10" customWidth="1"/>
    <col min="21" max="21" width="12.1796875" customWidth="1"/>
    <col min="25" max="25" width="17.453125" customWidth="1"/>
    <col min="26" max="26" width="19.1796875" customWidth="1"/>
    <col min="27" max="27" width="12" customWidth="1"/>
  </cols>
  <sheetData>
    <row r="1" spans="1:14" ht="15.5" x14ac:dyDescent="0.35">
      <c r="A1" s="435" t="e">
        <f>#REF!</f>
        <v>#REF!</v>
      </c>
      <c r="B1" s="435"/>
      <c r="C1" s="435"/>
      <c r="D1" s="435"/>
      <c r="E1" s="435"/>
      <c r="F1" s="435"/>
      <c r="G1" s="435"/>
    </row>
    <row r="2" spans="1:14" x14ac:dyDescent="0.35">
      <c r="A2" s="1" t="s">
        <v>181</v>
      </c>
      <c r="B2" s="1"/>
    </row>
    <row r="3" spans="1:14" ht="32.25" customHeight="1" x14ac:dyDescent="0.35">
      <c r="A3" s="402" t="s">
        <v>177</v>
      </c>
      <c r="B3" s="402"/>
      <c r="C3" s="402"/>
      <c r="D3" s="402"/>
      <c r="E3" s="402"/>
      <c r="F3" s="402"/>
      <c r="G3" s="402"/>
      <c r="H3" s="82"/>
      <c r="I3" s="82"/>
      <c r="J3" s="82"/>
      <c r="K3" s="82"/>
      <c r="N3" s="134" t="s">
        <v>156</v>
      </c>
    </row>
    <row r="4" spans="1:14" x14ac:dyDescent="0.35">
      <c r="A4" s="124" t="s">
        <v>109</v>
      </c>
      <c r="B4" s="124" t="s">
        <v>19</v>
      </c>
      <c r="C4" s="403" t="s">
        <v>20</v>
      </c>
      <c r="D4" s="404"/>
      <c r="E4" s="404"/>
      <c r="F4" s="404"/>
      <c r="G4" s="405"/>
      <c r="N4" s="136" t="s">
        <v>128</v>
      </c>
    </row>
    <row r="5" spans="1:14" x14ac:dyDescent="0.35">
      <c r="A5" s="88" t="s">
        <v>16</v>
      </c>
      <c r="B5" s="111"/>
      <c r="C5" s="406"/>
      <c r="D5" s="401"/>
      <c r="E5" s="401"/>
      <c r="F5" s="401"/>
      <c r="G5" s="401"/>
      <c r="N5" s="139"/>
    </row>
    <row r="6" spans="1:14" x14ac:dyDescent="0.35">
      <c r="A6" s="88" t="s">
        <v>17</v>
      </c>
      <c r="B6" s="111"/>
      <c r="C6" s="406"/>
      <c r="D6" s="401"/>
      <c r="E6" s="401"/>
      <c r="F6" s="401"/>
      <c r="G6" s="401"/>
      <c r="N6" s="139"/>
    </row>
    <row r="7" spans="1:14" x14ac:dyDescent="0.35">
      <c r="A7" s="88" t="s">
        <v>18</v>
      </c>
      <c r="B7" s="111"/>
      <c r="C7" s="406"/>
      <c r="D7" s="401"/>
      <c r="E7" s="401"/>
      <c r="F7" s="401"/>
      <c r="G7" s="401"/>
      <c r="N7" s="139"/>
    </row>
    <row r="8" spans="1:14" x14ac:dyDescent="0.35">
      <c r="A8" s="111" t="s">
        <v>39</v>
      </c>
      <c r="B8" s="88"/>
      <c r="C8" s="401"/>
      <c r="D8" s="401"/>
      <c r="E8" s="401"/>
      <c r="F8" s="401"/>
      <c r="G8" s="401"/>
      <c r="N8" s="139"/>
    </row>
    <row r="9" spans="1:14" x14ac:dyDescent="0.35">
      <c r="A9" s="111" t="s">
        <v>162</v>
      </c>
      <c r="B9" s="88"/>
      <c r="C9" s="407"/>
      <c r="D9" s="407"/>
      <c r="E9" s="407"/>
      <c r="F9" s="407"/>
      <c r="G9" s="407"/>
      <c r="N9" s="139"/>
    </row>
    <row r="10" spans="1:14" x14ac:dyDescent="0.35">
      <c r="A10" s="112" t="s">
        <v>40</v>
      </c>
      <c r="B10" s="112"/>
      <c r="C10" s="436"/>
      <c r="D10" s="436"/>
      <c r="E10" s="436"/>
      <c r="F10" s="436"/>
      <c r="G10" s="436"/>
      <c r="N10" s="139"/>
    </row>
    <row r="11" spans="1:14" x14ac:dyDescent="0.35">
      <c r="A11" s="13"/>
      <c r="B11" s="2"/>
      <c r="C11"/>
      <c r="N11" s="139"/>
    </row>
    <row r="12" spans="1:14" x14ac:dyDescent="0.35">
      <c r="A12" s="15" t="s">
        <v>110</v>
      </c>
      <c r="B12" s="408" t="s">
        <v>112</v>
      </c>
      <c r="C12" s="409"/>
      <c r="D12" s="410"/>
      <c r="N12" s="138" t="s">
        <v>129</v>
      </c>
    </row>
    <row r="13" spans="1:14" x14ac:dyDescent="0.35">
      <c r="B13" s="411" t="s">
        <v>113</v>
      </c>
      <c r="C13" s="412"/>
      <c r="D13" s="413"/>
      <c r="N13" s="139"/>
    </row>
    <row r="14" spans="1:14" x14ac:dyDescent="0.35">
      <c r="B14" s="395" t="s">
        <v>114</v>
      </c>
      <c r="C14" s="396"/>
      <c r="D14" s="397"/>
      <c r="N14" s="139"/>
    </row>
    <row r="15" spans="1:14" x14ac:dyDescent="0.35">
      <c r="B15" s="398" t="s">
        <v>21</v>
      </c>
      <c r="C15" s="399"/>
      <c r="D15" s="400"/>
      <c r="N15" s="139"/>
    </row>
    <row r="16" spans="1:14" x14ac:dyDescent="0.35">
      <c r="N16" s="139"/>
    </row>
    <row r="17" spans="1:14" x14ac:dyDescent="0.35">
      <c r="A17" s="1" t="s">
        <v>111</v>
      </c>
      <c r="B17" s="1" t="s">
        <v>27</v>
      </c>
      <c r="C17" s="11" t="s">
        <v>28</v>
      </c>
      <c r="N17" s="138" t="s">
        <v>130</v>
      </c>
    </row>
    <row r="18" spans="1:14" x14ac:dyDescent="0.35">
      <c r="A18" t="s">
        <v>26</v>
      </c>
      <c r="B18" s="108">
        <v>5.73</v>
      </c>
      <c r="C18" s="108">
        <v>6</v>
      </c>
      <c r="D18" s="16"/>
      <c r="N18" s="138" t="s">
        <v>132</v>
      </c>
    </row>
    <row r="19" spans="1:14" x14ac:dyDescent="0.35">
      <c r="A19" t="s">
        <v>127</v>
      </c>
      <c r="B19" s="108">
        <v>7.2</v>
      </c>
      <c r="C19" s="108">
        <v>9</v>
      </c>
      <c r="D19" s="126" t="s">
        <v>117</v>
      </c>
      <c r="F19" s="126"/>
      <c r="N19" s="138" t="s">
        <v>131</v>
      </c>
    </row>
    <row r="20" spans="1:14" x14ac:dyDescent="0.35">
      <c r="A20" t="s">
        <v>50</v>
      </c>
      <c r="B20" s="156">
        <v>3525</v>
      </c>
      <c r="C20" s="156">
        <v>1020</v>
      </c>
      <c r="D20" s="10"/>
      <c r="N20" s="138" t="s">
        <v>133</v>
      </c>
    </row>
    <row r="21" spans="1:14" x14ac:dyDescent="0.35">
      <c r="A21" t="s">
        <v>47</v>
      </c>
      <c r="B21" s="108" t="e">
        <f>VLOOKUP(B20,#REF!,2)/1000000</f>
        <v>#REF!</v>
      </c>
      <c r="C21" s="108">
        <f>VLOOKUP(C20,'Mead-Elevation-Area'!$A$5:$B$689,2)/1000000</f>
        <v>5.664593</v>
      </c>
      <c r="D21" s="10"/>
      <c r="E21" s="27"/>
      <c r="N21" s="138" t="s">
        <v>135</v>
      </c>
    </row>
    <row r="22" spans="1:14" x14ac:dyDescent="0.35">
      <c r="A22" t="s">
        <v>122</v>
      </c>
      <c r="B22" s="108">
        <f>78.1</f>
        <v>78.099999999999994</v>
      </c>
      <c r="C22"/>
      <c r="D22" s="109"/>
      <c r="E22" s="27"/>
      <c r="N22" s="138" t="s">
        <v>134</v>
      </c>
    </row>
    <row r="23" spans="1:14" x14ac:dyDescent="0.35">
      <c r="A23" t="s">
        <v>123</v>
      </c>
      <c r="B23" s="127">
        <v>0.17</v>
      </c>
      <c r="C23"/>
      <c r="D23" s="109"/>
      <c r="E23" s="27"/>
      <c r="N23" s="138" t="s">
        <v>136</v>
      </c>
    </row>
    <row r="24" spans="1:14" x14ac:dyDescent="0.35">
      <c r="A24" t="s">
        <v>121</v>
      </c>
      <c r="B24" s="108">
        <f>10*(7.5+1.5/2)-B22-B23</f>
        <v>4.2300000000000058</v>
      </c>
      <c r="C24"/>
      <c r="D24" s="109"/>
      <c r="E24" s="27"/>
      <c r="N24" s="138" t="s">
        <v>137</v>
      </c>
    </row>
    <row r="25" spans="1:14" x14ac:dyDescent="0.35">
      <c r="A25" t="s">
        <v>157</v>
      </c>
      <c r="B25" s="108">
        <f>2.3 - IF(A9&lt;&gt;"",1.06,0)</f>
        <v>1.2399999999999998</v>
      </c>
      <c r="C25"/>
      <c r="D25" s="109"/>
      <c r="E25" s="27"/>
      <c r="N25" s="138" t="s">
        <v>160</v>
      </c>
    </row>
    <row r="26" spans="1:14" x14ac:dyDescent="0.35">
      <c r="B26" s="27"/>
      <c r="N26" s="139"/>
    </row>
    <row r="27" spans="1:14" s="1" customFormat="1" hidden="1" x14ac:dyDescent="0.35">
      <c r="A27" s="100" t="s">
        <v>107</v>
      </c>
      <c r="B27" s="101" t="s">
        <v>22</v>
      </c>
      <c r="C27" s="101" t="s">
        <v>0</v>
      </c>
      <c r="D27" s="101" t="s">
        <v>1</v>
      </c>
      <c r="E27" s="101" t="s">
        <v>2</v>
      </c>
      <c r="F27" s="101" t="s">
        <v>3</v>
      </c>
      <c r="G27" s="101" t="s">
        <v>4</v>
      </c>
      <c r="H27" s="101" t="s">
        <v>5</v>
      </c>
      <c r="I27" s="101" t="s">
        <v>6</v>
      </c>
      <c r="J27" s="101" t="s">
        <v>7</v>
      </c>
      <c r="K27" s="101" t="s">
        <v>14</v>
      </c>
      <c r="L27" s="101" t="s">
        <v>15</v>
      </c>
      <c r="M27" s="101" t="s">
        <v>25</v>
      </c>
      <c r="N27" s="135" t="str">
        <f>N3</f>
        <v>HELP, CONTEXT, and SUGGESTIONS</v>
      </c>
    </row>
    <row r="28" spans="1:14" x14ac:dyDescent="0.35">
      <c r="A28" s="122" t="s">
        <v>104</v>
      </c>
      <c r="B28" s="1"/>
      <c r="C28" s="95">
        <v>0</v>
      </c>
      <c r="D28" s="95">
        <v>0</v>
      </c>
      <c r="E28" s="95">
        <v>0.2</v>
      </c>
      <c r="F28" s="95">
        <v>2.1</v>
      </c>
      <c r="G28" s="95">
        <v>3.5</v>
      </c>
      <c r="H28" s="95">
        <v>6</v>
      </c>
      <c r="I28" s="95">
        <v>8</v>
      </c>
      <c r="J28" s="95">
        <v>11.26</v>
      </c>
      <c r="K28" s="95">
        <v>12.5</v>
      </c>
      <c r="L28" s="95">
        <v>16</v>
      </c>
      <c r="N28" s="136" t="s">
        <v>138</v>
      </c>
    </row>
    <row r="29" spans="1:14" x14ac:dyDescent="0.35">
      <c r="A29" s="1" t="s">
        <v>32</v>
      </c>
      <c r="B29" s="1"/>
      <c r="C29" s="94">
        <v>0</v>
      </c>
      <c r="D29" s="94">
        <v>0.5</v>
      </c>
      <c r="E29" s="94">
        <f t="shared" ref="E29:L29" si="0">IF(E$28&lt;&gt;"",0.8,"")</f>
        <v>0.8</v>
      </c>
      <c r="F29" s="94">
        <f t="shared" si="0"/>
        <v>0.8</v>
      </c>
      <c r="G29" s="94">
        <f t="shared" si="0"/>
        <v>0.8</v>
      </c>
      <c r="H29" s="94">
        <f t="shared" si="0"/>
        <v>0.8</v>
      </c>
      <c r="I29" s="94">
        <f t="shared" si="0"/>
        <v>0.8</v>
      </c>
      <c r="J29" s="94">
        <f t="shared" si="0"/>
        <v>0.8</v>
      </c>
      <c r="K29" s="94">
        <f t="shared" si="0"/>
        <v>0.8</v>
      </c>
      <c r="L29" s="94">
        <f t="shared" si="0"/>
        <v>0.8</v>
      </c>
      <c r="N29" s="138" t="s">
        <v>139</v>
      </c>
    </row>
    <row r="30" spans="1:14" x14ac:dyDescent="0.35">
      <c r="A30" s="1" t="s">
        <v>97</v>
      </c>
      <c r="B30" s="1"/>
      <c r="C30" s="94">
        <v>0</v>
      </c>
      <c r="D30" s="94">
        <v>0.1</v>
      </c>
      <c r="E30" s="94">
        <f t="shared" ref="E30:L30" si="1">IF(E$28&lt;&gt;"",0.2,"")</f>
        <v>0.2</v>
      </c>
      <c r="F30" s="94">
        <f t="shared" si="1"/>
        <v>0.2</v>
      </c>
      <c r="G30" s="94">
        <f t="shared" si="1"/>
        <v>0.2</v>
      </c>
      <c r="H30" s="94">
        <f t="shared" si="1"/>
        <v>0.2</v>
      </c>
      <c r="I30" s="94">
        <f t="shared" si="1"/>
        <v>0.2</v>
      </c>
      <c r="J30" s="94">
        <f t="shared" si="1"/>
        <v>0.2</v>
      </c>
      <c r="K30" s="94">
        <f t="shared" si="1"/>
        <v>0.2</v>
      </c>
      <c r="L30" s="94">
        <f t="shared" si="1"/>
        <v>0.2</v>
      </c>
      <c r="N30" s="138" t="s">
        <v>140</v>
      </c>
    </row>
    <row r="31" spans="1:14" x14ac:dyDescent="0.35">
      <c r="A31" s="1" t="s">
        <v>86</v>
      </c>
      <c r="B31" s="1"/>
      <c r="C31" s="94">
        <f>IF(C$28&lt;&gt;"",0.6,"")</f>
        <v>0.6</v>
      </c>
      <c r="D31" s="94">
        <f t="shared" ref="D31:L31" si="2">IF(D$28&lt;&gt;"",0.6,"")</f>
        <v>0.6</v>
      </c>
      <c r="E31" s="94">
        <f t="shared" si="2"/>
        <v>0.6</v>
      </c>
      <c r="F31" s="94">
        <f t="shared" si="2"/>
        <v>0.6</v>
      </c>
      <c r="G31" s="94">
        <f t="shared" si="2"/>
        <v>0.6</v>
      </c>
      <c r="H31" s="94">
        <f t="shared" si="2"/>
        <v>0.6</v>
      </c>
      <c r="I31" s="94">
        <f t="shared" si="2"/>
        <v>0.6</v>
      </c>
      <c r="J31" s="94">
        <f t="shared" si="2"/>
        <v>0.6</v>
      </c>
      <c r="K31" s="94">
        <f t="shared" si="2"/>
        <v>0.6</v>
      </c>
      <c r="L31" s="94">
        <f t="shared" si="2"/>
        <v>0.6</v>
      </c>
      <c r="N31" s="138" t="s">
        <v>141</v>
      </c>
    </row>
    <row r="32" spans="1:14" x14ac:dyDescent="0.35">
      <c r="A32" s="1" t="s">
        <v>179</v>
      </c>
      <c r="C32"/>
      <c r="N32" s="138" t="s">
        <v>154</v>
      </c>
    </row>
    <row r="33" spans="1:16" x14ac:dyDescent="0.35">
      <c r="A33" t="s">
        <v>29</v>
      </c>
      <c r="C33" s="12">
        <f>IF(C$28&lt;&gt;"",IF(COLUMN(C27)=COLUMN($C27),$B$19,#REF!),"")</f>
        <v>7.2</v>
      </c>
      <c r="D33" s="12">
        <f>C33</f>
        <v>7.2</v>
      </c>
      <c r="E33" s="12">
        <f t="shared" ref="E33:L35" si="3">D33</f>
        <v>7.2</v>
      </c>
      <c r="F33" s="12">
        <f t="shared" si="3"/>
        <v>7.2</v>
      </c>
      <c r="G33" s="12">
        <f t="shared" si="3"/>
        <v>7.2</v>
      </c>
      <c r="H33" s="12">
        <f t="shared" si="3"/>
        <v>7.2</v>
      </c>
      <c r="I33" s="12">
        <f t="shared" si="3"/>
        <v>7.2</v>
      </c>
      <c r="J33" s="12">
        <f t="shared" si="3"/>
        <v>7.2</v>
      </c>
      <c r="K33" s="12">
        <f t="shared" si="3"/>
        <v>7.2</v>
      </c>
      <c r="L33" s="12">
        <f t="shared" si="3"/>
        <v>7.2</v>
      </c>
      <c r="N33" s="139"/>
    </row>
    <row r="34" spans="1:16" x14ac:dyDescent="0.35">
      <c r="A34" t="s">
        <v>30</v>
      </c>
      <c r="C34" s="12">
        <f>IF(C$28&lt;&gt;"",IF(COLUMN(C28)=COLUMN($C28),$C$19,#REF!),"")</f>
        <v>9</v>
      </c>
      <c r="D34" s="12">
        <f>C34</f>
        <v>9</v>
      </c>
      <c r="E34" s="12">
        <f t="shared" si="3"/>
        <v>9</v>
      </c>
      <c r="F34" s="12">
        <f t="shared" si="3"/>
        <v>9</v>
      </c>
      <c r="G34" s="12">
        <f t="shared" si="3"/>
        <v>9</v>
      </c>
      <c r="H34" s="12">
        <f t="shared" si="3"/>
        <v>9</v>
      </c>
      <c r="I34" s="12">
        <f t="shared" si="3"/>
        <v>9</v>
      </c>
      <c r="J34" s="12">
        <f t="shared" si="3"/>
        <v>9</v>
      </c>
      <c r="K34" s="12">
        <f t="shared" si="3"/>
        <v>9</v>
      </c>
      <c r="L34" s="12">
        <f t="shared" si="3"/>
        <v>9</v>
      </c>
      <c r="N34" s="139"/>
    </row>
    <row r="35" spans="1:16" x14ac:dyDescent="0.35">
      <c r="A35" s="1" t="s">
        <v>180</v>
      </c>
      <c r="B35" s="47"/>
      <c r="C35" s="12" t="e">
        <f>SUM(B21:C21)</f>
        <v>#REF!</v>
      </c>
      <c r="D35" s="12" t="e">
        <f>C35</f>
        <v>#REF!</v>
      </c>
      <c r="E35" s="12" t="e">
        <f t="shared" si="3"/>
        <v>#REF!</v>
      </c>
      <c r="F35" s="12" t="e">
        <f t="shared" si="3"/>
        <v>#REF!</v>
      </c>
      <c r="G35" s="12" t="e">
        <f t="shared" si="3"/>
        <v>#REF!</v>
      </c>
      <c r="H35" s="12" t="e">
        <f t="shared" si="3"/>
        <v>#REF!</v>
      </c>
      <c r="I35" s="12" t="e">
        <f t="shared" si="3"/>
        <v>#REF!</v>
      </c>
      <c r="J35" s="12" t="e">
        <f t="shared" si="3"/>
        <v>#REF!</v>
      </c>
      <c r="K35" s="12" t="e">
        <f t="shared" si="3"/>
        <v>#REF!</v>
      </c>
      <c r="L35" s="12" t="e">
        <f t="shared" si="3"/>
        <v>#REF!</v>
      </c>
      <c r="N35" s="139"/>
    </row>
    <row r="36" spans="1:16" x14ac:dyDescent="0.35">
      <c r="A36" s="1" t="s">
        <v>105</v>
      </c>
      <c r="B36" s="1"/>
      <c r="C36" s="12" t="e">
        <f>IF(C$28&lt;&gt;"",VLOOKUP(C33*1000000,#REF!,3)*$B$18/1000000 + VLOOKUP(C34*1000000,'Mead-Elevation-Area'!$B$5:$D$676,3)*$C$18/1000000,"")</f>
        <v>#REF!</v>
      </c>
      <c r="D36" s="12" t="e">
        <f>IF(D$28&lt;&gt;"",VLOOKUP(D33*1000000,#REF!,3)*$B$18/1000000 + VLOOKUP(D34*1000000,'Mead-Elevation-Area'!$B$5:$D$676,3)*$C$18/1000000,"")</f>
        <v>#REF!</v>
      </c>
      <c r="E36" s="12" t="e">
        <f>IF(E$28&lt;&gt;"",VLOOKUP(E33*1000000,#REF!,3)*$B$18/1000000 + VLOOKUP(E34*1000000,'Mead-Elevation-Area'!$B$5:$D$676,3)*$C$18/1000000,"")</f>
        <v>#REF!</v>
      </c>
      <c r="F36" s="12" t="e">
        <f>IF(F$28&lt;&gt;"",VLOOKUP(F33*1000000,#REF!,3)*$B$18/1000000 + VLOOKUP(F34*1000000,'Mead-Elevation-Area'!$B$5:$D$676,3)*$C$18/1000000,"")</f>
        <v>#REF!</v>
      </c>
      <c r="G36" s="12" t="e">
        <f>IF(G$28&lt;&gt;"",VLOOKUP(G33*1000000,#REF!,3)*$B$18/1000000 + VLOOKUP(G34*1000000,'Mead-Elevation-Area'!$B$5:$D$676,3)*$C$18/1000000,"")</f>
        <v>#REF!</v>
      </c>
      <c r="H36" s="12" t="e">
        <f>IF(H$28&lt;&gt;"",VLOOKUP(H33*1000000,#REF!,3)*$B$18/1000000 + VLOOKUP(H34*1000000,'Mead-Elevation-Area'!$B$5:$D$676,3)*$C$18/1000000,"")</f>
        <v>#REF!</v>
      </c>
      <c r="I36" s="12" t="e">
        <f>IF(I$28&lt;&gt;"",VLOOKUP(I33*1000000,#REF!,3)*$B$18/1000000 + VLOOKUP(I34*1000000,'Mead-Elevation-Area'!$B$5:$D$676,3)*$C$18/1000000,"")</f>
        <v>#REF!</v>
      </c>
      <c r="J36" s="12" t="e">
        <f>IF(J$28&lt;&gt;"",VLOOKUP(J33*1000000,#REF!,3)*$B$18/1000000 + VLOOKUP(J34*1000000,'Mead-Elevation-Area'!$B$5:$D$676,3)*$C$18/1000000,"")</f>
        <v>#REF!</v>
      </c>
      <c r="K36" s="12" t="e">
        <f>IF(K$28&lt;&gt;"",VLOOKUP(K33*1000000,#REF!,3)*$B$18/1000000 + VLOOKUP(K34*1000000,'Mead-Elevation-Area'!$B$5:$D$676,3)*$C$18/1000000,"")</f>
        <v>#REF!</v>
      </c>
      <c r="L36" s="12" t="e">
        <f>IF(L$28&lt;&gt;"",VLOOKUP(L33*1000000,#REF!,3)*$B$18/1000000 + VLOOKUP(L34*1000000,'Mead-Elevation-Area'!$B$5:$D$676,3)*$C$18/1000000,"")</f>
        <v>#REF!</v>
      </c>
      <c r="N36" s="138" t="s">
        <v>143</v>
      </c>
    </row>
    <row r="37" spans="1:16" x14ac:dyDescent="0.35">
      <c r="A37" t="str">
        <f>IF(A10="","","    "&amp;A10&amp;" Share")</f>
        <v xml:space="preserve">    Shared, Reserve Share</v>
      </c>
      <c r="B37" s="1"/>
      <c r="C37" s="12" t="e">
        <f>IF(OR(C$28="",$A37=""),"",C$36*C35/SUM(C33:C34))</f>
        <v>#REF!</v>
      </c>
      <c r="D37" s="12" t="e">
        <f t="shared" ref="D37:L37" si="4">IF(OR(D$28="",$A37=""),"",D$36*D35/SUM(D33:D34))</f>
        <v>#REF!</v>
      </c>
      <c r="E37" s="12" t="e">
        <f t="shared" si="4"/>
        <v>#REF!</v>
      </c>
      <c r="F37" s="12" t="e">
        <f t="shared" si="4"/>
        <v>#REF!</v>
      </c>
      <c r="G37" s="12" t="e">
        <f t="shared" si="4"/>
        <v>#REF!</v>
      </c>
      <c r="H37" s="12" t="e">
        <f t="shared" si="4"/>
        <v>#REF!</v>
      </c>
      <c r="I37" s="12" t="e">
        <f t="shared" si="4"/>
        <v>#REF!</v>
      </c>
      <c r="J37" s="12" t="e">
        <f t="shared" si="4"/>
        <v>#REF!</v>
      </c>
      <c r="K37" s="12" t="e">
        <f t="shared" si="4"/>
        <v>#REF!</v>
      </c>
      <c r="L37" s="12" t="e">
        <f t="shared" si="4"/>
        <v>#REF!</v>
      </c>
      <c r="N37" s="139"/>
    </row>
    <row r="38" spans="1:16" x14ac:dyDescent="0.35">
      <c r="A38" s="1" t="s">
        <v>106</v>
      </c>
      <c r="B38" s="48"/>
      <c r="C38" s="29">
        <f>IF(C$28&lt;&gt;"",1.5-0.21/9/2-VLOOKUP(C34,MandatoryConservation!$C$5:$P$13,13)-C31*(1.5/8.7),"")</f>
        <v>1.3048850574712643</v>
      </c>
      <c r="D38" s="29">
        <f>IF(D$28&lt;&gt;"",1.5-0.21/9/2-VLOOKUP(D34,MandatoryConservation!$C$5:$P$13,13)-D31*(1.5/8.7),"")</f>
        <v>1.3048850574712643</v>
      </c>
      <c r="E38" s="29">
        <f>IF(E$28&lt;&gt;"",1.5-0.21/9/2-VLOOKUP(E34,MandatoryConservation!$C$5:$P$13,13)-E31*(1.5/8.7),"")</f>
        <v>1.3048850574712643</v>
      </c>
      <c r="F38" s="29">
        <f>IF(F$28&lt;&gt;"",1.5-0.21/9/2-VLOOKUP(F34,MandatoryConservation!$C$5:$P$13,13)-F31*(1.5/8.7),"")</f>
        <v>1.3048850574712643</v>
      </c>
      <c r="G38" s="29">
        <f>IF(G$28&lt;&gt;"",1.5-0.21/9/2-VLOOKUP(G34,MandatoryConservation!$C$5:$P$13,13)-G31*(1.5/8.7),"")</f>
        <v>1.3048850574712643</v>
      </c>
      <c r="H38" s="29">
        <f>IF(H$28&lt;&gt;"",1.5-0.21/9/2-VLOOKUP(H34,MandatoryConservation!$C$5:$P$13,13)-H31*(1.5/8.7),"")</f>
        <v>1.3048850574712643</v>
      </c>
      <c r="I38" s="29">
        <f>IF(I$28&lt;&gt;"",1.5-0.21/9/2-VLOOKUP(I34,MandatoryConservation!$C$5:$P$13,13)-I31*(1.5/8.7),"")</f>
        <v>1.3048850574712643</v>
      </c>
      <c r="J38" s="29">
        <f>IF(J$28&lt;&gt;"",1.5-0.21/9/2-VLOOKUP(J34,MandatoryConservation!$C$5:$P$13,13)-J31*(1.5/8.7),"")</f>
        <v>1.3048850574712643</v>
      </c>
      <c r="K38" s="29">
        <f>IF(K$28&lt;&gt;"",1.5-0.21/9/2-VLOOKUP(K34,MandatoryConservation!$C$5:$P$13,13)-K31*(1.5/8.7),"")</f>
        <v>1.3048850574712643</v>
      </c>
      <c r="L38" s="29">
        <f>IF(L$28&lt;&gt;"",1.5-0.21/9/2-VLOOKUP(L34,MandatoryConservation!$C$5:$P$13,13)-L31*(1.5/8.7),"")</f>
        <v>1.3048850574712643</v>
      </c>
      <c r="M38">
        <v>16</v>
      </c>
      <c r="N38" s="138" t="s">
        <v>144</v>
      </c>
    </row>
    <row r="39" spans="1:16" x14ac:dyDescent="0.35">
      <c r="A39" s="122" t="s">
        <v>124</v>
      </c>
      <c r="B39" s="1"/>
      <c r="C39" s="12">
        <f t="shared" ref="C39:L39" si="5">IF(C28="","",SUM(C28:C30))</f>
        <v>0</v>
      </c>
      <c r="D39" s="12">
        <f t="shared" si="5"/>
        <v>0.6</v>
      </c>
      <c r="E39" s="12">
        <f t="shared" si="5"/>
        <v>1.2</v>
      </c>
      <c r="F39" s="12">
        <f t="shared" si="5"/>
        <v>3.1000000000000005</v>
      </c>
      <c r="G39" s="12">
        <f t="shared" si="5"/>
        <v>4.5</v>
      </c>
      <c r="H39" s="12">
        <f t="shared" si="5"/>
        <v>7</v>
      </c>
      <c r="I39" s="12">
        <f t="shared" si="5"/>
        <v>9</v>
      </c>
      <c r="J39" s="12">
        <f t="shared" si="5"/>
        <v>12.26</v>
      </c>
      <c r="K39" s="12">
        <f t="shared" si="5"/>
        <v>13.5</v>
      </c>
      <c r="L39" s="12">
        <f t="shared" si="5"/>
        <v>17</v>
      </c>
      <c r="M39" s="27" t="str">
        <f>Master!C52</f>
        <v/>
      </c>
      <c r="N39" s="137" t="s">
        <v>145</v>
      </c>
    </row>
    <row r="40" spans="1:16" x14ac:dyDescent="0.35">
      <c r="A40" t="str">
        <f t="shared" ref="A40:A45" si="6">IF(A5="","","    To "&amp;A5)</f>
        <v xml:space="preserve">    To Upper Basin</v>
      </c>
      <c r="B40" s="92" t="s">
        <v>158</v>
      </c>
      <c r="C40" s="79" t="e">
        <f>IF(OR(C$28="",$A41=""),"",MAX(0,C39-SUM(C41:C46)))</f>
        <v>#REF!</v>
      </c>
      <c r="D40" s="79" t="e">
        <f t="shared" ref="D40:L40" si="7">IF(OR(D$28="",$A41=""),"",MAX(0,D39-SUM(D41:D46)))</f>
        <v>#REF!</v>
      </c>
      <c r="E40" s="79" t="e">
        <f t="shared" si="7"/>
        <v>#REF!</v>
      </c>
      <c r="F40" s="79" t="e">
        <f t="shared" si="7"/>
        <v>#REF!</v>
      </c>
      <c r="G40" s="79" t="e">
        <f t="shared" si="7"/>
        <v>#REF!</v>
      </c>
      <c r="H40" s="79" t="e">
        <f t="shared" si="7"/>
        <v>#REF!</v>
      </c>
      <c r="I40" s="79" t="e">
        <f t="shared" si="7"/>
        <v>#REF!</v>
      </c>
      <c r="J40" s="79" t="e">
        <f t="shared" si="7"/>
        <v>#REF!</v>
      </c>
      <c r="K40" s="79" t="e">
        <f t="shared" si="7"/>
        <v>#REF!</v>
      </c>
      <c r="L40" s="79" t="e">
        <f t="shared" si="7"/>
        <v>#REF!</v>
      </c>
      <c r="M40" s="27" t="str">
        <f>Master!C53</f>
        <v/>
      </c>
      <c r="N40" s="140"/>
      <c r="P40" s="79"/>
    </row>
    <row r="41" spans="1:16" x14ac:dyDescent="0.35">
      <c r="A41" t="str">
        <f t="shared" si="6"/>
        <v xml:space="preserve">    To Lower Basin</v>
      </c>
      <c r="B41" s="93">
        <f>7.5-IF($A$9="",0,0.95)-IF(C31="",0.6,C31)*IF($A$9="",(7.2/8.7),(7.2-0.95)/8.7)-B43/2</f>
        <v>6.1111877394636007</v>
      </c>
      <c r="C41" s="79" t="e">
        <f>IF(OR(C$28="",$A41=""),"",IF(C39&lt;=SUM(C42:C46),0,IF(C39&lt;=SUM(C42:C46)+2*$B$25,(C39-SUM(C42:C46))/2,IF(C39&lt;=SUM(C42:C46)+2*$B$25+$B$41-$B$25,C39-SUM(C42:C46)-$B$25,$B$41))))</f>
        <v>#REF!</v>
      </c>
      <c r="D41" s="79" t="e">
        <f t="shared" ref="D41:L41" si="8">IF(OR(D$28="",$A41=""),"",IF(D39&lt;=SUM(D42:D46),0,IF(D39&lt;=SUM(D42:D46)+2*$B$25,(D39-SUM(D42:D46))/2,IF(D39&lt;=SUM(D42:D46)+2*$B$25+$B$41-$B$25,D39-SUM(D42:D46)-$B$25,$B$41))))</f>
        <v>#REF!</v>
      </c>
      <c r="E41" s="79" t="e">
        <f t="shared" si="8"/>
        <v>#REF!</v>
      </c>
      <c r="F41" s="79" t="e">
        <f t="shared" si="8"/>
        <v>#REF!</v>
      </c>
      <c r="G41" s="79" t="e">
        <f t="shared" si="8"/>
        <v>#REF!</v>
      </c>
      <c r="H41" s="79" t="e">
        <f t="shared" si="8"/>
        <v>#REF!</v>
      </c>
      <c r="I41" s="79" t="e">
        <f>IF(OR(I$28="",$A41=""),"",IF(I39&lt;=SUM(I42:I46),0,IF(I39&lt;=SUM(I42:I46)+2*$B$25,(I39-SUM(I42:I46))/2,IF(I39&lt;=SUM(I42:I46)+2*$B$25+$B$41-$B$25,I39-SUM(I42:I46)-$B$25,$B$41))))</f>
        <v>#REF!</v>
      </c>
      <c r="J41" s="79" t="e">
        <f t="shared" si="8"/>
        <v>#REF!</v>
      </c>
      <c r="K41" s="79" t="e">
        <f t="shared" si="8"/>
        <v>#REF!</v>
      </c>
      <c r="L41" s="79" t="e">
        <f t="shared" si="8"/>
        <v>#REF!</v>
      </c>
      <c r="M41" s="27" t="str">
        <f>Master!C55</f>
        <v/>
      </c>
      <c r="N41" s="140"/>
      <c r="P41" s="79"/>
    </row>
    <row r="42" spans="1:16" x14ac:dyDescent="0.35">
      <c r="A42" t="str">
        <f t="shared" si="6"/>
        <v xml:space="preserve">    To Mexico</v>
      </c>
      <c r="B42" s="93" t="s">
        <v>197</v>
      </c>
      <c r="C42" s="80" t="e">
        <f>IF(OR(C$28="",$A42=""),"",MIN(C38,C$39-SUM(C43:C46)))</f>
        <v>#REF!</v>
      </c>
      <c r="D42" s="80" t="e">
        <f t="shared" ref="D42:L42" si="9">IF(OR(D$28="",$A42=""),"",MIN(D38,D$39-SUM(D43:D46)))</f>
        <v>#REF!</v>
      </c>
      <c r="E42" s="80" t="e">
        <f t="shared" si="9"/>
        <v>#REF!</v>
      </c>
      <c r="F42" s="80" t="e">
        <f t="shared" si="9"/>
        <v>#REF!</v>
      </c>
      <c r="G42" s="80" t="e">
        <f t="shared" si="9"/>
        <v>#REF!</v>
      </c>
      <c r="H42" s="80" t="e">
        <f t="shared" si="9"/>
        <v>#REF!</v>
      </c>
      <c r="I42" s="79" t="e">
        <f t="shared" si="9"/>
        <v>#REF!</v>
      </c>
      <c r="J42" s="79" t="e">
        <f t="shared" si="9"/>
        <v>#REF!</v>
      </c>
      <c r="K42" s="79" t="e">
        <f t="shared" si="9"/>
        <v>#REF!</v>
      </c>
      <c r="L42" s="79" t="e">
        <f t="shared" si="9"/>
        <v>#REF!</v>
      </c>
      <c r="M42" s="27" t="str">
        <f>Master!C56</f>
        <v/>
      </c>
      <c r="N42" s="140"/>
    </row>
    <row r="43" spans="1:16" x14ac:dyDescent="0.35">
      <c r="A43" t="str">
        <f t="shared" si="6"/>
        <v xml:space="preserve">    To Colorado River Delta</v>
      </c>
      <c r="B43" s="102">
        <f>0.21/9*(2/3)</f>
        <v>1.5555555555555553E-2</v>
      </c>
      <c r="C43" s="103" t="e">
        <f>IF(OR(C$28="",$A43=""),"",MIN($B43,C$39-SUM(C44:C46)))</f>
        <v>#REF!</v>
      </c>
      <c r="D43" s="103" t="e">
        <f t="shared" ref="D43:L43" si="10">IF(OR(D$28="",$A43=""),"",MIN($B43,D$39-SUM(D44:D46)))</f>
        <v>#REF!</v>
      </c>
      <c r="E43" s="103" t="e">
        <f t="shared" si="10"/>
        <v>#REF!</v>
      </c>
      <c r="F43" s="103" t="e">
        <f t="shared" si="10"/>
        <v>#REF!</v>
      </c>
      <c r="G43" s="103" t="e">
        <f t="shared" si="10"/>
        <v>#REF!</v>
      </c>
      <c r="H43" s="103" t="e">
        <f t="shared" si="10"/>
        <v>#REF!</v>
      </c>
      <c r="I43" s="103" t="e">
        <f t="shared" si="10"/>
        <v>#REF!</v>
      </c>
      <c r="J43" s="103" t="e">
        <f t="shared" si="10"/>
        <v>#REF!</v>
      </c>
      <c r="K43" s="103" t="e">
        <f t="shared" si="10"/>
        <v>#REF!</v>
      </c>
      <c r="L43" s="103" t="e">
        <f t="shared" si="10"/>
        <v>#REF!</v>
      </c>
      <c r="M43" s="176" t="str">
        <f>Master!C57</f>
        <v/>
      </c>
      <c r="N43" s="140"/>
    </row>
    <row r="44" spans="1:16" x14ac:dyDescent="0.35">
      <c r="A44" t="str">
        <f t="shared" si="6"/>
        <v xml:space="preserve">    To First Nations</v>
      </c>
      <c r="B44" s="93">
        <f>IF($A$9&lt;&gt;"",2.01-C31*0.95/8.7,"")</f>
        <v>1.9444827586206894</v>
      </c>
      <c r="C44" s="79" t="e">
        <f>IF(OR(C$28="",$A44=""),"",MIN($B44,C$39-SUM(C45:C46)))</f>
        <v>#REF!</v>
      </c>
      <c r="D44" s="79" t="e">
        <f t="shared" ref="D44:F44" si="11">IF(OR(D$28="",$A44=""),"",MIN($B44,D$39-SUM(D45:D46)))</f>
        <v>#REF!</v>
      </c>
      <c r="E44" s="79" t="e">
        <f>IF(OR(E$28="",$A44=""),"",MIN($B44,E$39-SUM(E45:E46)))</f>
        <v>#REF!</v>
      </c>
      <c r="F44" s="79" t="e">
        <f t="shared" si="11"/>
        <v>#REF!</v>
      </c>
      <c r="G44" s="79" t="e">
        <f>IF(OR(G$28="",$A44=""),"",MIN($B44,G$39-SUM(G45:G46)))</f>
        <v>#REF!</v>
      </c>
      <c r="H44" s="79" t="e">
        <f t="shared" ref="H44:L44" si="12">IF(OR(H$28="",$A44=""),"",MIN($B44,H$39-SUM(H45:H46)))</f>
        <v>#REF!</v>
      </c>
      <c r="I44" s="79" t="e">
        <f t="shared" si="12"/>
        <v>#REF!</v>
      </c>
      <c r="J44" s="79" t="e">
        <f t="shared" si="12"/>
        <v>#REF!</v>
      </c>
      <c r="K44" s="79" t="e">
        <f t="shared" si="12"/>
        <v>#REF!</v>
      </c>
      <c r="L44" s="79" t="e">
        <f t="shared" si="12"/>
        <v>#REF!</v>
      </c>
      <c r="M44" s="27" t="str">
        <f>Master!C58</f>
        <v/>
      </c>
      <c r="N44" s="140"/>
    </row>
    <row r="45" spans="1:16" x14ac:dyDescent="0.35">
      <c r="A45" t="str">
        <f t="shared" si="6"/>
        <v xml:space="preserve">    To Shared, Reserve</v>
      </c>
      <c r="B45" s="93" t="s">
        <v>100</v>
      </c>
      <c r="C45" s="177" t="e">
        <f>IF(OR(C$28="",$A45=""),"",IF(C$39&gt;C37,C37,C39))</f>
        <v>#REF!</v>
      </c>
      <c r="D45" s="149" t="e">
        <f t="shared" ref="D45:L45" si="13">IF(OR(D$28="",$A45=""),"",IF(D$39&gt;D37,D37,D39))</f>
        <v>#REF!</v>
      </c>
      <c r="E45" s="149" t="e">
        <f t="shared" si="13"/>
        <v>#REF!</v>
      </c>
      <c r="F45" s="149" t="e">
        <f t="shared" si="13"/>
        <v>#REF!</v>
      </c>
      <c r="G45" s="149" t="e">
        <f t="shared" si="13"/>
        <v>#REF!</v>
      </c>
      <c r="H45" s="149" t="e">
        <f t="shared" si="13"/>
        <v>#REF!</v>
      </c>
      <c r="I45" s="149" t="e">
        <f t="shared" si="13"/>
        <v>#REF!</v>
      </c>
      <c r="J45" s="149" t="e">
        <f t="shared" si="13"/>
        <v>#REF!</v>
      </c>
      <c r="K45" s="149" t="e">
        <f t="shared" si="13"/>
        <v>#REF!</v>
      </c>
      <c r="L45" s="149" t="e">
        <f t="shared" si="13"/>
        <v>#REF!</v>
      </c>
      <c r="M45" s="27" t="str">
        <f>Master!C59</f>
        <v/>
      </c>
      <c r="N45" s="140"/>
    </row>
    <row r="46" spans="1:16" x14ac:dyDescent="0.35">
      <c r="A46" t="str">
        <f>IF(A31="","","    To "&amp;A31)</f>
        <v xml:space="preserve">    To Havasu / Parker evaporation and ET</v>
      </c>
      <c r="B46" s="148" t="s">
        <v>159</v>
      </c>
      <c r="C46" s="178" t="e">
        <f>IF(OR(C$28="",$A46=""),"",MIN(C31,C39-C45))</f>
        <v>#REF!</v>
      </c>
      <c r="D46" s="150" t="e">
        <f>IF(OR(D$28="",$A46=""),"",MIN(D31,D39-D45))</f>
        <v>#REF!</v>
      </c>
      <c r="E46" s="150" t="e">
        <f t="shared" ref="E46:L46" si="14">IF(OR(E$28="",$A46=""),"",MIN(E31,E39-E45))</f>
        <v>#REF!</v>
      </c>
      <c r="F46" s="150" t="e">
        <f t="shared" si="14"/>
        <v>#REF!</v>
      </c>
      <c r="G46" s="150" t="e">
        <f t="shared" si="14"/>
        <v>#REF!</v>
      </c>
      <c r="H46" s="150" t="e">
        <f t="shared" si="14"/>
        <v>#REF!</v>
      </c>
      <c r="I46" s="150" t="e">
        <f t="shared" si="14"/>
        <v>#REF!</v>
      </c>
      <c r="J46" s="150" t="e">
        <f t="shared" si="14"/>
        <v>#REF!</v>
      </c>
      <c r="K46" s="150" t="e">
        <f t="shared" si="14"/>
        <v>#REF!</v>
      </c>
      <c r="L46" s="150" t="e">
        <f t="shared" si="14"/>
        <v>#REF!</v>
      </c>
      <c r="M46" s="27" t="str">
        <f>Master!C60</f>
        <v/>
      </c>
      <c r="N46" s="140"/>
    </row>
    <row r="47" spans="1:16" x14ac:dyDescent="0.35">
      <c r="B47" s="18"/>
      <c r="C47" s="17"/>
      <c r="D47" s="17"/>
      <c r="E47" s="17"/>
      <c r="F47" s="113"/>
      <c r="G47" s="27"/>
      <c r="N47" s="139"/>
    </row>
    <row r="48" spans="1:16" x14ac:dyDescent="0.35">
      <c r="B48" t="s">
        <v>191</v>
      </c>
      <c r="C48" s="176" t="e">
        <f>SUM(C40:C46)</f>
        <v>#REF!</v>
      </c>
      <c r="D48" s="176" t="e">
        <f>SUM(D40:D46)</f>
        <v>#REF!</v>
      </c>
      <c r="E48" s="176" t="e">
        <f t="shared" ref="E48:L48" si="15">SUM(E40:E46)</f>
        <v>#REF!</v>
      </c>
      <c r="F48" s="176" t="e">
        <f t="shared" si="15"/>
        <v>#REF!</v>
      </c>
      <c r="G48" s="176" t="e">
        <f t="shared" si="15"/>
        <v>#REF!</v>
      </c>
      <c r="H48" s="176" t="e">
        <f t="shared" si="15"/>
        <v>#REF!</v>
      </c>
      <c r="I48" s="176" t="e">
        <f t="shared" si="15"/>
        <v>#REF!</v>
      </c>
      <c r="J48" s="176" t="e">
        <f t="shared" si="15"/>
        <v>#REF!</v>
      </c>
      <c r="K48" s="176" t="e">
        <f t="shared" si="15"/>
        <v>#REF!</v>
      </c>
      <c r="L48" s="176" t="e">
        <f t="shared" si="15"/>
        <v>#REF!</v>
      </c>
    </row>
    <row r="49" spans="1:8" x14ac:dyDescent="0.35">
      <c r="D49" s="14"/>
    </row>
    <row r="50" spans="1:8" x14ac:dyDescent="0.35">
      <c r="B50" s="2"/>
      <c r="H50" s="113" t="e">
        <f>SUM(I42:I46)</f>
        <v>#REF!</v>
      </c>
    </row>
    <row r="53" spans="1:8" x14ac:dyDescent="0.35">
      <c r="A53" t="s">
        <v>192</v>
      </c>
      <c r="B53">
        <v>8.1999999999999993</v>
      </c>
    </row>
    <row r="54" spans="1:8" x14ac:dyDescent="0.35">
      <c r="A54" t="s">
        <v>193</v>
      </c>
      <c r="B54">
        <v>1.2</v>
      </c>
    </row>
    <row r="55" spans="1:8" x14ac:dyDescent="0.35">
      <c r="A55" t="s">
        <v>194</v>
      </c>
      <c r="B55">
        <v>0.95</v>
      </c>
    </row>
    <row r="56" spans="1:8" x14ac:dyDescent="0.35">
      <c r="A56" t="s">
        <v>195</v>
      </c>
      <c r="B56">
        <f>1.5/2</f>
        <v>0.75</v>
      </c>
    </row>
    <row r="57" spans="1:8" x14ac:dyDescent="0.35">
      <c r="A57" t="s">
        <v>196</v>
      </c>
      <c r="B57">
        <f>B53-SUM(B54:B56)</f>
        <v>5.2999999999999989</v>
      </c>
    </row>
    <row r="58" spans="1:8" x14ac:dyDescent="0.35">
      <c r="B58" s="179"/>
    </row>
  </sheetData>
  <mergeCells count="13">
    <mergeCell ref="B15:D15"/>
    <mergeCell ref="C8:G8"/>
    <mergeCell ref="C9:G9"/>
    <mergeCell ref="C10:G10"/>
    <mergeCell ref="B12:D12"/>
    <mergeCell ref="B13:D13"/>
    <mergeCell ref="B14:D14"/>
    <mergeCell ref="C7:G7"/>
    <mergeCell ref="A1:G1"/>
    <mergeCell ref="A3:G3"/>
    <mergeCell ref="C4:G4"/>
    <mergeCell ref="C5:G5"/>
    <mergeCell ref="C6:G6"/>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defaultColWidth="8.81640625" defaultRowHeight="14.5" x14ac:dyDescent="0.35"/>
  <cols>
    <col min="1" max="1" width="7.453125" customWidth="1"/>
    <col min="2" max="3" width="9.1796875" customWidth="1"/>
    <col min="4" max="4" width="10.1796875" style="2" customWidth="1"/>
    <col min="5" max="5" width="11" style="2" customWidth="1"/>
    <col min="6" max="6" width="10.36328125" style="2" customWidth="1"/>
    <col min="7" max="7" width="11" style="2" customWidth="1"/>
    <col min="8" max="8" width="10" style="2" customWidth="1"/>
    <col min="9" max="9" width="10.453125" style="2" customWidth="1"/>
    <col min="10" max="10" width="10.6328125" style="2" customWidth="1"/>
    <col min="11" max="11" width="10" style="2" customWidth="1"/>
    <col min="12" max="12" width="11.1796875" customWidth="1"/>
    <col min="13" max="13" width="11.453125" style="2" customWidth="1"/>
    <col min="14" max="14" width="12.453125" style="2" customWidth="1"/>
    <col min="15" max="15" width="12.1796875" customWidth="1"/>
    <col min="16" max="16" width="8.81640625" customWidth="1"/>
  </cols>
  <sheetData>
    <row r="1" spans="1:16" x14ac:dyDescent="0.35">
      <c r="A1" s="1" t="s">
        <v>58</v>
      </c>
    </row>
    <row r="3" spans="1:16" s="1" customFormat="1" x14ac:dyDescent="0.35">
      <c r="D3" s="437" t="s">
        <v>59</v>
      </c>
      <c r="E3" s="437"/>
      <c r="F3" s="437" t="s">
        <v>60</v>
      </c>
      <c r="G3" s="437"/>
      <c r="H3" s="437"/>
      <c r="I3" s="437" t="s">
        <v>61</v>
      </c>
      <c r="J3" s="437"/>
      <c r="K3" s="437"/>
      <c r="L3" s="131"/>
      <c r="M3" s="437" t="s">
        <v>18</v>
      </c>
      <c r="N3" s="437"/>
      <c r="O3" s="437"/>
    </row>
    <row r="4" spans="1:16" s="45" customFormat="1" ht="42.75" customHeight="1" x14ac:dyDescent="0.35">
      <c r="A4" s="44" t="s">
        <v>33</v>
      </c>
      <c r="B4" s="44" t="s">
        <v>34</v>
      </c>
      <c r="C4" s="44" t="s">
        <v>70</v>
      </c>
      <c r="D4" s="44" t="s">
        <v>62</v>
      </c>
      <c r="E4" s="44" t="s">
        <v>63</v>
      </c>
      <c r="F4" s="44" t="s">
        <v>62</v>
      </c>
      <c r="G4" s="44" t="s">
        <v>63</v>
      </c>
      <c r="H4" s="44" t="s">
        <v>64</v>
      </c>
      <c r="I4" s="44" t="s">
        <v>62</v>
      </c>
      <c r="J4" s="44" t="s">
        <v>63</v>
      </c>
      <c r="K4" s="44" t="s">
        <v>64</v>
      </c>
      <c r="L4" s="44" t="s">
        <v>68</v>
      </c>
      <c r="M4" s="44" t="s">
        <v>66</v>
      </c>
      <c r="N4" s="44" t="s">
        <v>67</v>
      </c>
      <c r="O4" s="44" t="s">
        <v>65</v>
      </c>
      <c r="P4" s="44" t="s">
        <v>35</v>
      </c>
    </row>
    <row r="5" spans="1:16" x14ac:dyDescent="0.35">
      <c r="A5" s="23">
        <v>1025</v>
      </c>
      <c r="B5" s="24">
        <v>5.981122</v>
      </c>
      <c r="C5" s="25">
        <v>0</v>
      </c>
      <c r="D5" s="21">
        <v>480</v>
      </c>
      <c r="E5" s="21">
        <v>20</v>
      </c>
      <c r="F5" s="21">
        <v>240</v>
      </c>
      <c r="G5" s="21">
        <v>10</v>
      </c>
      <c r="H5" s="21">
        <v>350</v>
      </c>
      <c r="I5" s="129">
        <f t="shared" ref="I5:I13" si="0">SUM(D5,F5)</f>
        <v>720</v>
      </c>
      <c r="J5" s="21">
        <f t="shared" ref="J5:J13" si="1">SUM(E5,G5)</f>
        <v>30</v>
      </c>
      <c r="K5" s="21">
        <f t="shared" ref="K5:K13" si="2">H5</f>
        <v>350</v>
      </c>
      <c r="L5" s="28">
        <f t="shared" ref="L5:L13" si="3">SUM(I5:K5)/1000</f>
        <v>1.1000000000000001</v>
      </c>
      <c r="M5" s="21">
        <v>125</v>
      </c>
      <c r="N5" s="21">
        <v>150</v>
      </c>
      <c r="O5" s="21">
        <f t="shared" ref="O5:O13" si="4">SUM(M5:N5)/1000</f>
        <v>0.27500000000000002</v>
      </c>
      <c r="P5" s="130">
        <f t="shared" ref="P5:P13" si="5">SUM(L5,O5)</f>
        <v>1.375</v>
      </c>
    </row>
    <row r="6" spans="1:16" x14ac:dyDescent="0.35">
      <c r="A6" s="23">
        <v>1030</v>
      </c>
      <c r="B6" s="24">
        <v>6.305377</v>
      </c>
      <c r="C6" s="25">
        <f t="shared" ref="C6:C12" si="6">B5</f>
        <v>5.981122</v>
      </c>
      <c r="D6" s="21">
        <v>400</v>
      </c>
      <c r="E6" s="21">
        <v>17</v>
      </c>
      <c r="F6" s="21">
        <v>240</v>
      </c>
      <c r="G6" s="21">
        <v>10</v>
      </c>
      <c r="H6" s="21">
        <v>350</v>
      </c>
      <c r="I6" s="129">
        <f t="shared" si="0"/>
        <v>640</v>
      </c>
      <c r="J6" s="21">
        <f t="shared" si="1"/>
        <v>27</v>
      </c>
      <c r="K6" s="21">
        <f t="shared" si="2"/>
        <v>350</v>
      </c>
      <c r="L6" s="28">
        <f t="shared" si="3"/>
        <v>1.0169999999999999</v>
      </c>
      <c r="M6" s="21">
        <v>70</v>
      </c>
      <c r="N6" s="21">
        <v>101</v>
      </c>
      <c r="O6" s="21">
        <f t="shared" si="4"/>
        <v>0.17100000000000001</v>
      </c>
      <c r="P6" s="130">
        <f t="shared" si="5"/>
        <v>1.1879999999999999</v>
      </c>
    </row>
    <row r="7" spans="1:16" x14ac:dyDescent="0.35">
      <c r="A7" s="23">
        <v>1035</v>
      </c>
      <c r="B7" s="24">
        <v>6.6375080000000004</v>
      </c>
      <c r="C7" s="25">
        <f t="shared" si="6"/>
        <v>6.305377</v>
      </c>
      <c r="D7" s="21">
        <v>400</v>
      </c>
      <c r="E7" s="21">
        <v>17</v>
      </c>
      <c r="F7" s="21">
        <v>240</v>
      </c>
      <c r="G7" s="21">
        <v>10</v>
      </c>
      <c r="H7" s="21">
        <v>300</v>
      </c>
      <c r="I7" s="129">
        <f t="shared" si="0"/>
        <v>640</v>
      </c>
      <c r="J7" s="21">
        <f t="shared" si="1"/>
        <v>27</v>
      </c>
      <c r="K7" s="21">
        <f t="shared" si="2"/>
        <v>300</v>
      </c>
      <c r="L7" s="28">
        <f t="shared" si="3"/>
        <v>0.96699999999999997</v>
      </c>
      <c r="M7" s="21">
        <v>70</v>
      </c>
      <c r="N7" s="21">
        <v>92</v>
      </c>
      <c r="O7" s="21">
        <f t="shared" si="4"/>
        <v>0.16200000000000001</v>
      </c>
      <c r="P7" s="130">
        <f t="shared" si="5"/>
        <v>1.129</v>
      </c>
    </row>
    <row r="8" spans="1:16" x14ac:dyDescent="0.35">
      <c r="A8" s="23">
        <v>1040</v>
      </c>
      <c r="B8" s="24">
        <v>6.977665</v>
      </c>
      <c r="C8" s="25">
        <f t="shared" si="6"/>
        <v>6.6375080000000004</v>
      </c>
      <c r="D8" s="21">
        <v>400</v>
      </c>
      <c r="E8" s="21">
        <v>17</v>
      </c>
      <c r="F8" s="21">
        <v>240</v>
      </c>
      <c r="G8" s="21">
        <v>10</v>
      </c>
      <c r="H8" s="21">
        <v>250</v>
      </c>
      <c r="I8" s="129">
        <f t="shared" si="0"/>
        <v>640</v>
      </c>
      <c r="J8" s="21">
        <f t="shared" si="1"/>
        <v>27</v>
      </c>
      <c r="K8" s="21">
        <f t="shared" si="2"/>
        <v>250</v>
      </c>
      <c r="L8" s="28">
        <f t="shared" si="3"/>
        <v>0.91700000000000004</v>
      </c>
      <c r="M8" s="21">
        <v>70</v>
      </c>
      <c r="N8" s="21">
        <v>84</v>
      </c>
      <c r="O8" s="21">
        <f t="shared" si="4"/>
        <v>0.154</v>
      </c>
      <c r="P8" s="130">
        <f t="shared" si="5"/>
        <v>1.071</v>
      </c>
    </row>
    <row r="9" spans="1:16" x14ac:dyDescent="0.35">
      <c r="A9" s="23">
        <v>1045</v>
      </c>
      <c r="B9" s="24">
        <v>7.3260519999999998</v>
      </c>
      <c r="C9" s="25">
        <f t="shared" si="6"/>
        <v>6.977665</v>
      </c>
      <c r="D9" s="21">
        <v>400</v>
      </c>
      <c r="E9" s="21">
        <v>17</v>
      </c>
      <c r="F9" s="21">
        <v>240</v>
      </c>
      <c r="G9" s="21">
        <v>10</v>
      </c>
      <c r="H9" s="21">
        <v>200</v>
      </c>
      <c r="I9" s="129">
        <f t="shared" si="0"/>
        <v>640</v>
      </c>
      <c r="J9" s="21">
        <f t="shared" si="1"/>
        <v>27</v>
      </c>
      <c r="K9" s="21">
        <f t="shared" si="2"/>
        <v>200</v>
      </c>
      <c r="L9" s="28">
        <f t="shared" si="3"/>
        <v>0.86699999999999999</v>
      </c>
      <c r="M9" s="21">
        <v>70</v>
      </c>
      <c r="N9" s="21">
        <v>76</v>
      </c>
      <c r="O9" s="21">
        <f t="shared" si="4"/>
        <v>0.14599999999999999</v>
      </c>
      <c r="P9" s="130">
        <f t="shared" si="5"/>
        <v>1.0129999999999999</v>
      </c>
    </row>
    <row r="10" spans="1:16" x14ac:dyDescent="0.35">
      <c r="A10" s="23">
        <v>1050</v>
      </c>
      <c r="B10" s="24">
        <v>7.6828779999999997</v>
      </c>
      <c r="C10" s="25">
        <f t="shared" si="6"/>
        <v>7.3260519999999998</v>
      </c>
      <c r="D10" s="21">
        <v>400</v>
      </c>
      <c r="E10" s="21">
        <v>17</v>
      </c>
      <c r="F10" s="21">
        <v>192</v>
      </c>
      <c r="G10" s="21">
        <v>8</v>
      </c>
      <c r="H10" s="21">
        <v>0</v>
      </c>
      <c r="I10" s="129">
        <f t="shared" si="0"/>
        <v>592</v>
      </c>
      <c r="J10" s="21">
        <f t="shared" si="1"/>
        <v>25</v>
      </c>
      <c r="K10" s="21">
        <f t="shared" si="2"/>
        <v>0</v>
      </c>
      <c r="L10" s="28">
        <f t="shared" si="3"/>
        <v>0.61699999999999999</v>
      </c>
      <c r="M10" s="21">
        <v>70</v>
      </c>
      <c r="N10" s="21">
        <v>34</v>
      </c>
      <c r="O10" s="21">
        <f t="shared" si="4"/>
        <v>0.104</v>
      </c>
      <c r="P10" s="130">
        <f t="shared" si="5"/>
        <v>0.72099999999999997</v>
      </c>
    </row>
    <row r="11" spans="1:16" x14ac:dyDescent="0.35">
      <c r="A11" s="23">
        <v>1075</v>
      </c>
      <c r="B11" s="24">
        <v>9.6009879999900001</v>
      </c>
      <c r="C11" s="25">
        <f t="shared" si="6"/>
        <v>7.6828779999999997</v>
      </c>
      <c r="D11" s="21">
        <v>320</v>
      </c>
      <c r="E11" s="21">
        <v>13</v>
      </c>
      <c r="F11" s="21">
        <v>192</v>
      </c>
      <c r="G11" s="21">
        <v>8</v>
      </c>
      <c r="H11" s="21">
        <v>0</v>
      </c>
      <c r="I11" s="129">
        <f t="shared" si="0"/>
        <v>512</v>
      </c>
      <c r="J11" s="21">
        <f t="shared" si="1"/>
        <v>21</v>
      </c>
      <c r="K11" s="21">
        <f t="shared" si="2"/>
        <v>0</v>
      </c>
      <c r="L11" s="28">
        <f t="shared" si="3"/>
        <v>0.53300000000000003</v>
      </c>
      <c r="M11" s="21">
        <v>50</v>
      </c>
      <c r="N11" s="21">
        <v>30</v>
      </c>
      <c r="O11" s="130">
        <f t="shared" si="4"/>
        <v>0.08</v>
      </c>
      <c r="P11" s="130">
        <f t="shared" si="5"/>
        <v>0.61299999999999999</v>
      </c>
    </row>
    <row r="12" spans="1:16" x14ac:dyDescent="0.35">
      <c r="A12" s="23">
        <v>1090</v>
      </c>
      <c r="B12" s="24">
        <v>10.857008</v>
      </c>
      <c r="C12" s="25">
        <f t="shared" si="6"/>
        <v>9.6009879999900001</v>
      </c>
      <c r="D12" s="21">
        <v>0</v>
      </c>
      <c r="E12" s="21">
        <v>0</v>
      </c>
      <c r="F12" s="21">
        <v>192</v>
      </c>
      <c r="G12" s="21">
        <v>8</v>
      </c>
      <c r="H12" s="21">
        <v>0</v>
      </c>
      <c r="I12" s="129">
        <f t="shared" si="0"/>
        <v>192</v>
      </c>
      <c r="J12" s="21">
        <f t="shared" si="1"/>
        <v>8</v>
      </c>
      <c r="K12" s="21">
        <f t="shared" si="2"/>
        <v>0</v>
      </c>
      <c r="L12" s="28">
        <f t="shared" si="3"/>
        <v>0.2</v>
      </c>
      <c r="M12" s="21">
        <v>0</v>
      </c>
      <c r="N12" s="21">
        <v>41</v>
      </c>
      <c r="O12" s="21">
        <f t="shared" si="4"/>
        <v>4.1000000000000002E-2</v>
      </c>
      <c r="P12" s="130">
        <f t="shared" si="5"/>
        <v>0.24100000000000002</v>
      </c>
    </row>
    <row r="13" spans="1:16" x14ac:dyDescent="0.35">
      <c r="A13" s="23">
        <v>1090.0999999999999</v>
      </c>
      <c r="B13" s="24">
        <v>10.9</v>
      </c>
      <c r="C13" s="25">
        <f>B12</f>
        <v>10.857008</v>
      </c>
      <c r="D13" s="24">
        <v>0</v>
      </c>
      <c r="E13" s="24">
        <v>0</v>
      </c>
      <c r="F13" s="24">
        <v>0</v>
      </c>
      <c r="G13" s="24">
        <v>0</v>
      </c>
      <c r="H13" s="24">
        <v>0</v>
      </c>
      <c r="I13" s="24">
        <f t="shared" si="0"/>
        <v>0</v>
      </c>
      <c r="J13" s="24">
        <f t="shared" si="1"/>
        <v>0</v>
      </c>
      <c r="K13" s="24">
        <f t="shared" si="2"/>
        <v>0</v>
      </c>
      <c r="L13" s="25">
        <f t="shared" si="3"/>
        <v>0</v>
      </c>
      <c r="M13" s="21">
        <v>0</v>
      </c>
      <c r="N13" s="28">
        <v>0</v>
      </c>
      <c r="O13" s="21">
        <f t="shared" si="4"/>
        <v>0</v>
      </c>
      <c r="P13" s="30">
        <f t="shared" si="5"/>
        <v>0</v>
      </c>
    </row>
    <row r="14" spans="1:16" x14ac:dyDescent="0.35">
      <c r="B14" s="50"/>
    </row>
    <row r="15" spans="1:16" x14ac:dyDescent="0.35">
      <c r="B15" s="49"/>
      <c r="C15" s="47"/>
    </row>
    <row r="16" spans="1:16" x14ac:dyDescent="0.35">
      <c r="A16" t="s">
        <v>69</v>
      </c>
    </row>
    <row r="17" spans="1:16" x14ac:dyDescent="0.35">
      <c r="A17" s="46">
        <v>1091</v>
      </c>
    </row>
    <row r="18" spans="1:16" x14ac:dyDescent="0.35">
      <c r="A18" s="23">
        <v>1090</v>
      </c>
      <c r="D18" s="2">
        <v>0</v>
      </c>
      <c r="E18" s="2">
        <v>0</v>
      </c>
      <c r="F18" s="2">
        <v>192</v>
      </c>
      <c r="G18" s="2">
        <v>8</v>
      </c>
      <c r="H18" s="2">
        <v>0</v>
      </c>
      <c r="I18" s="9">
        <f>SUM(D18,F18)</f>
        <v>192</v>
      </c>
      <c r="J18" s="2">
        <f>SUM(E18,G18)</f>
        <v>8</v>
      </c>
      <c r="K18" s="2">
        <f>H18</f>
        <v>0</v>
      </c>
      <c r="L18" s="18">
        <f>SUM(I18:K18)/1000</f>
        <v>0.2</v>
      </c>
      <c r="M18" s="2">
        <v>0</v>
      </c>
      <c r="N18" s="2">
        <v>41</v>
      </c>
      <c r="O18" s="2">
        <f>SUM(M18:N18)/1000</f>
        <v>4.1000000000000002E-2</v>
      </c>
      <c r="P18" s="47">
        <f>SUM(L18,O18)</f>
        <v>0.24100000000000002</v>
      </c>
    </row>
    <row r="19" spans="1:16" x14ac:dyDescent="0.35">
      <c r="A19" s="23">
        <v>1075</v>
      </c>
      <c r="D19" s="2">
        <v>320</v>
      </c>
      <c r="E19" s="2">
        <v>13</v>
      </c>
      <c r="F19" s="2">
        <v>192</v>
      </c>
      <c r="G19" s="2">
        <v>8</v>
      </c>
      <c r="H19" s="2">
        <v>0</v>
      </c>
      <c r="I19" s="9">
        <f t="shared" ref="I19:I25" si="7">SUM(D19,F19)</f>
        <v>512</v>
      </c>
      <c r="J19" s="2">
        <f t="shared" ref="J19:J25" si="8">SUM(E19,G19)</f>
        <v>21</v>
      </c>
      <c r="K19" s="2">
        <f t="shared" ref="K19:K25" si="9">H19</f>
        <v>0</v>
      </c>
      <c r="L19" s="18">
        <f t="shared" ref="L19:L25" si="10">SUM(I19:K19)/1000</f>
        <v>0.53300000000000003</v>
      </c>
      <c r="M19" s="2">
        <v>50</v>
      </c>
      <c r="N19" s="2">
        <v>30</v>
      </c>
      <c r="O19" s="2">
        <f t="shared" ref="O19:O25" si="11">SUM(M19:N19)/1000</f>
        <v>0.08</v>
      </c>
      <c r="P19" s="47">
        <f t="shared" ref="P19:P25" si="12">SUM(L19,O19)</f>
        <v>0.61299999999999999</v>
      </c>
    </row>
    <row r="20" spans="1:16" x14ac:dyDescent="0.35">
      <c r="A20" s="23">
        <v>1050</v>
      </c>
      <c r="D20" s="2">
        <v>400</v>
      </c>
      <c r="E20" s="2">
        <v>17</v>
      </c>
      <c r="F20" s="2">
        <v>192</v>
      </c>
      <c r="G20" s="2">
        <v>8</v>
      </c>
      <c r="H20" s="2">
        <v>0</v>
      </c>
      <c r="I20" s="9">
        <f t="shared" si="7"/>
        <v>592</v>
      </c>
      <c r="J20" s="2">
        <f t="shared" si="8"/>
        <v>25</v>
      </c>
      <c r="K20" s="2">
        <f t="shared" si="9"/>
        <v>0</v>
      </c>
      <c r="L20" s="18">
        <f t="shared" si="10"/>
        <v>0.61699999999999999</v>
      </c>
      <c r="M20" s="2">
        <v>70</v>
      </c>
      <c r="N20" s="2">
        <v>34</v>
      </c>
      <c r="O20" s="2">
        <f t="shared" si="11"/>
        <v>0.104</v>
      </c>
      <c r="P20" s="47">
        <f t="shared" si="12"/>
        <v>0.72099999999999997</v>
      </c>
    </row>
    <row r="21" spans="1:16" x14ac:dyDescent="0.35">
      <c r="A21" s="23">
        <v>1045</v>
      </c>
      <c r="D21" s="2">
        <v>400</v>
      </c>
      <c r="E21" s="2">
        <v>17</v>
      </c>
      <c r="F21" s="2">
        <v>240</v>
      </c>
      <c r="G21" s="2">
        <v>10</v>
      </c>
      <c r="H21" s="2">
        <v>200</v>
      </c>
      <c r="I21" s="9">
        <f t="shared" si="7"/>
        <v>640</v>
      </c>
      <c r="J21" s="2">
        <f t="shared" si="8"/>
        <v>27</v>
      </c>
      <c r="K21" s="2">
        <f t="shared" si="9"/>
        <v>200</v>
      </c>
      <c r="L21" s="18">
        <f t="shared" si="10"/>
        <v>0.86699999999999999</v>
      </c>
      <c r="M21" s="2">
        <v>70</v>
      </c>
      <c r="N21" s="2">
        <v>76</v>
      </c>
      <c r="O21" s="2">
        <f t="shared" si="11"/>
        <v>0.14599999999999999</v>
      </c>
      <c r="P21" s="47">
        <f t="shared" si="12"/>
        <v>1.0129999999999999</v>
      </c>
    </row>
    <row r="22" spans="1:16" x14ac:dyDescent="0.35">
      <c r="A22" s="23">
        <v>1040</v>
      </c>
      <c r="D22" s="2">
        <v>400</v>
      </c>
      <c r="E22" s="2">
        <v>17</v>
      </c>
      <c r="F22" s="2">
        <v>240</v>
      </c>
      <c r="G22" s="2">
        <v>10</v>
      </c>
      <c r="H22" s="2">
        <v>250</v>
      </c>
      <c r="I22" s="9">
        <f t="shared" si="7"/>
        <v>640</v>
      </c>
      <c r="J22" s="2">
        <f t="shared" si="8"/>
        <v>27</v>
      </c>
      <c r="K22" s="2">
        <f t="shared" si="9"/>
        <v>250</v>
      </c>
      <c r="L22" s="18">
        <f t="shared" si="10"/>
        <v>0.91700000000000004</v>
      </c>
      <c r="M22" s="2">
        <v>70</v>
      </c>
      <c r="N22" s="2">
        <v>84</v>
      </c>
      <c r="O22" s="2">
        <f t="shared" si="11"/>
        <v>0.154</v>
      </c>
      <c r="P22" s="47">
        <f t="shared" si="12"/>
        <v>1.071</v>
      </c>
    </row>
    <row r="23" spans="1:16" x14ac:dyDescent="0.35">
      <c r="A23" s="23">
        <v>1035</v>
      </c>
      <c r="D23" s="2">
        <v>400</v>
      </c>
      <c r="E23" s="2">
        <v>17</v>
      </c>
      <c r="F23" s="2">
        <v>240</v>
      </c>
      <c r="G23" s="2">
        <v>10</v>
      </c>
      <c r="H23" s="2">
        <v>300</v>
      </c>
      <c r="I23" s="9">
        <f t="shared" si="7"/>
        <v>640</v>
      </c>
      <c r="J23" s="2">
        <f t="shared" si="8"/>
        <v>27</v>
      </c>
      <c r="K23" s="2">
        <f t="shared" si="9"/>
        <v>300</v>
      </c>
      <c r="L23" s="18">
        <f t="shared" si="10"/>
        <v>0.96699999999999997</v>
      </c>
      <c r="M23" s="2">
        <v>70</v>
      </c>
      <c r="N23" s="2">
        <v>92</v>
      </c>
      <c r="O23" s="2">
        <f t="shared" si="11"/>
        <v>0.16200000000000001</v>
      </c>
      <c r="P23" s="47">
        <f t="shared" si="12"/>
        <v>1.129</v>
      </c>
    </row>
    <row r="24" spans="1:16" x14ac:dyDescent="0.35">
      <c r="A24" s="23">
        <v>1030</v>
      </c>
      <c r="D24" s="2">
        <v>400</v>
      </c>
      <c r="E24" s="2">
        <v>17</v>
      </c>
      <c r="F24" s="2">
        <v>240</v>
      </c>
      <c r="G24" s="2">
        <v>10</v>
      </c>
      <c r="H24" s="2">
        <v>350</v>
      </c>
      <c r="I24" s="9">
        <f t="shared" si="7"/>
        <v>640</v>
      </c>
      <c r="J24" s="2">
        <f t="shared" si="8"/>
        <v>27</v>
      </c>
      <c r="K24" s="2">
        <f t="shared" si="9"/>
        <v>350</v>
      </c>
      <c r="L24" s="18">
        <f t="shared" si="10"/>
        <v>1.0169999999999999</v>
      </c>
      <c r="M24" s="2">
        <v>70</v>
      </c>
      <c r="N24" s="2">
        <v>101</v>
      </c>
      <c r="O24" s="2">
        <f t="shared" si="11"/>
        <v>0.17100000000000001</v>
      </c>
      <c r="P24" s="47">
        <f t="shared" si="12"/>
        <v>1.1879999999999999</v>
      </c>
    </row>
    <row r="25" spans="1:16" x14ac:dyDescent="0.35">
      <c r="A25" s="23">
        <v>1025</v>
      </c>
      <c r="D25" s="2">
        <v>480</v>
      </c>
      <c r="E25" s="2">
        <v>20</v>
      </c>
      <c r="F25" s="2">
        <v>240</v>
      </c>
      <c r="G25" s="2">
        <v>10</v>
      </c>
      <c r="H25" s="2">
        <v>350</v>
      </c>
      <c r="I25" s="9">
        <f t="shared" si="7"/>
        <v>720</v>
      </c>
      <c r="J25" s="2">
        <f t="shared" si="8"/>
        <v>30</v>
      </c>
      <c r="K25" s="2">
        <f t="shared" si="9"/>
        <v>350</v>
      </c>
      <c r="L25" s="18">
        <f t="shared" si="10"/>
        <v>1.1000000000000001</v>
      </c>
      <c r="M25" s="2">
        <v>125</v>
      </c>
      <c r="N25" s="2">
        <v>150</v>
      </c>
      <c r="O25" s="2">
        <f t="shared" si="11"/>
        <v>0.27500000000000002</v>
      </c>
      <c r="P25" s="47">
        <f t="shared" si="12"/>
        <v>1.375</v>
      </c>
    </row>
    <row r="26" spans="1:16" x14ac:dyDescent="0.35">
      <c r="A26" s="22">
        <v>955</v>
      </c>
    </row>
    <row r="29" spans="1:16" x14ac:dyDescent="0.35">
      <c r="A29" s="23"/>
      <c r="I29" s="9"/>
      <c r="L29" s="18"/>
      <c r="O29" s="2"/>
      <c r="P29" s="47"/>
    </row>
    <row r="30" spans="1:16" x14ac:dyDescent="0.35">
      <c r="A30" s="23"/>
      <c r="I30" s="9"/>
      <c r="L30" s="18"/>
      <c r="O30" s="2"/>
      <c r="P30" s="47"/>
    </row>
    <row r="31" spans="1:16" x14ac:dyDescent="0.35">
      <c r="A31" s="23"/>
      <c r="I31" s="9"/>
      <c r="L31" s="18"/>
      <c r="O31" s="2"/>
      <c r="P31" s="47"/>
    </row>
    <row r="32" spans="1:16" x14ac:dyDescent="0.35">
      <c r="A32" s="23"/>
      <c r="I32" s="9"/>
      <c r="L32" s="18"/>
      <c r="O32" s="2"/>
      <c r="P32" s="47"/>
    </row>
    <row r="33" spans="1:16" x14ac:dyDescent="0.35">
      <c r="A33" s="23"/>
      <c r="I33" s="9"/>
      <c r="L33" s="18"/>
      <c r="O33" s="2"/>
      <c r="P33" s="47"/>
    </row>
    <row r="34" spans="1:16" x14ac:dyDescent="0.35">
      <c r="A34" s="23"/>
      <c r="I34" s="9"/>
      <c r="L34" s="18"/>
      <c r="O34" s="2"/>
      <c r="P34" s="47"/>
    </row>
    <row r="35" spans="1:16" x14ac:dyDescent="0.35">
      <c r="A35" s="23"/>
      <c r="I35" s="9"/>
      <c r="L35" s="18"/>
      <c r="O35" s="2"/>
      <c r="P35" s="47"/>
    </row>
    <row r="36" spans="1:16" x14ac:dyDescent="0.35">
      <c r="A36" s="23"/>
      <c r="I36" s="9"/>
      <c r="L36" s="18"/>
      <c r="O36" s="2"/>
      <c r="P36" s="47"/>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defaultColWidth="8.81640625" defaultRowHeight="14.5" x14ac:dyDescent="0.35"/>
  <cols>
    <col min="1" max="1" width="10.81640625" style="57" customWidth="1"/>
    <col min="2" max="2" width="12.6328125" style="57" customWidth="1"/>
    <col min="3" max="3" width="9.453125" style="57" customWidth="1"/>
    <col min="4" max="4" width="46.36328125" style="57" customWidth="1"/>
    <col min="5" max="5" width="14.453125" style="83" customWidth="1"/>
    <col min="6" max="6" width="10.453125" style="2" customWidth="1"/>
    <col min="7" max="7" width="10.453125" style="17" customWidth="1"/>
  </cols>
  <sheetData>
    <row r="1" spans="1:9" x14ac:dyDescent="0.35">
      <c r="A1" s="56" t="s">
        <v>71</v>
      </c>
    </row>
    <row r="2" spans="1:9" x14ac:dyDescent="0.35">
      <c r="A2" s="57" t="s">
        <v>72</v>
      </c>
    </row>
    <row r="3" spans="1:9" x14ac:dyDescent="0.35">
      <c r="I3" s="1" t="s">
        <v>125</v>
      </c>
    </row>
    <row r="4" spans="1:9" s="51" customFormat="1" ht="43.5" x14ac:dyDescent="0.35">
      <c r="A4" s="35" t="s">
        <v>73</v>
      </c>
      <c r="B4" s="35" t="s">
        <v>78</v>
      </c>
      <c r="C4" s="35" t="s">
        <v>79</v>
      </c>
      <c r="D4" s="36" t="s">
        <v>74</v>
      </c>
      <c r="E4" s="35" t="s">
        <v>89</v>
      </c>
      <c r="F4" s="35" t="s">
        <v>90</v>
      </c>
      <c r="G4" s="117" t="s">
        <v>101</v>
      </c>
    </row>
    <row r="5" spans="1:9" s="51" customFormat="1" ht="58" x14ac:dyDescent="0.35">
      <c r="A5" s="62" t="e">
        <f>#REF!</f>
        <v>#REF!</v>
      </c>
      <c r="B5" s="78" t="s">
        <v>85</v>
      </c>
      <c r="C5" s="63" t="s">
        <v>81</v>
      </c>
      <c r="D5" s="64" t="str">
        <f>D7</f>
        <v>Highest uncertainty for native fish. Also represent a substantial risk to the tailwater trout fishery, as sustained temperatures of 19oC or higher are unsuitable for trout.</v>
      </c>
      <c r="E5" s="84" t="s">
        <v>92</v>
      </c>
      <c r="F5" s="84" t="s">
        <v>91</v>
      </c>
      <c r="G5" s="118" t="e">
        <f>VLOOKUP(A5,#REF!,2)/1000000</f>
        <v>#REF!</v>
      </c>
    </row>
    <row r="6" spans="1:9" s="51" customFormat="1" ht="58" x14ac:dyDescent="0.35">
      <c r="A6" s="59">
        <v>3425</v>
      </c>
      <c r="B6" s="60" t="str">
        <f>B7</f>
        <v>&gt; 18</v>
      </c>
      <c r="C6" s="60" t="s">
        <v>81</v>
      </c>
      <c r="D6" s="61" t="str">
        <f>D7</f>
        <v>Highest uncertainty for native fish. Also represent a substantial risk to the tailwater trout fishery, as sustained temperatures of 19oC or higher are unsuitable for trout.</v>
      </c>
      <c r="E6" s="84" t="str">
        <f>E5</f>
        <v>Highly uncertain</v>
      </c>
      <c r="F6" s="84" t="s">
        <v>91</v>
      </c>
      <c r="G6" s="118" t="e">
        <f>VLOOKUP(A6,#REF!,2)/1000000</f>
        <v>#REF!</v>
      </c>
    </row>
    <row r="7" spans="1:9" s="51" customFormat="1" ht="58" x14ac:dyDescent="0.35">
      <c r="A7" s="65">
        <v>3490</v>
      </c>
      <c r="B7" s="66" t="s">
        <v>85</v>
      </c>
      <c r="C7" s="66" t="s">
        <v>80</v>
      </c>
      <c r="D7" s="67" t="s">
        <v>77</v>
      </c>
      <c r="E7" s="60" t="str">
        <f>E6</f>
        <v>Highly uncertain</v>
      </c>
      <c r="F7" s="84" t="s">
        <v>91</v>
      </c>
      <c r="G7" s="118" t="e">
        <f>VLOOKUP(A7,#REF!,2)/1000000</f>
        <v>#REF!</v>
      </c>
    </row>
    <row r="8" spans="1:9" ht="72.5" x14ac:dyDescent="0.35">
      <c r="A8" s="68">
        <v>3525</v>
      </c>
      <c r="B8" s="69" t="s">
        <v>84</v>
      </c>
      <c r="C8" s="69" t="s">
        <v>80</v>
      </c>
      <c r="D8" s="70" t="s">
        <v>76</v>
      </c>
      <c r="E8" s="85" t="s">
        <v>93</v>
      </c>
      <c r="F8" s="85" t="s">
        <v>95</v>
      </c>
      <c r="G8" s="119" t="e">
        <f>VLOOKUP(A8,#REF!,2)/1000000</f>
        <v>#REF!</v>
      </c>
    </row>
    <row r="9" spans="1:9" ht="43.5" x14ac:dyDescent="0.35">
      <c r="A9" s="71">
        <v>3600</v>
      </c>
      <c r="B9" s="72" t="s">
        <v>83</v>
      </c>
      <c r="C9" s="72" t="s">
        <v>80</v>
      </c>
      <c r="D9" s="73" t="s">
        <v>87</v>
      </c>
      <c r="E9" s="86" t="s">
        <v>88</v>
      </c>
      <c r="F9" s="86" t="str">
        <f>F8</f>
        <v>Help grow + incubate</v>
      </c>
      <c r="G9" s="120" t="e">
        <f>VLOOKUP(A9,#REF!,2)/1000000</f>
        <v>#REF!</v>
      </c>
    </row>
    <row r="10" spans="1:9" ht="101.5" x14ac:dyDescent="0.35">
      <c r="A10" s="74">
        <v>3675</v>
      </c>
      <c r="B10" s="75" t="s">
        <v>82</v>
      </c>
      <c r="C10" s="75" t="s">
        <v>80</v>
      </c>
      <c r="D10" s="76" t="s">
        <v>75</v>
      </c>
      <c r="E10" s="87" t="s">
        <v>94</v>
      </c>
      <c r="F10" s="87" t="s">
        <v>96</v>
      </c>
      <c r="G10" s="121" t="e">
        <f>VLOOKUP(A10,#REF!,2)/1000000</f>
        <v>#REF!</v>
      </c>
    </row>
    <row r="11" spans="1:9" ht="101.5" x14ac:dyDescent="0.35">
      <c r="A11" s="74">
        <v>3700</v>
      </c>
      <c r="B11" s="75" t="str">
        <f>B10</f>
        <v>&lt; 12</v>
      </c>
      <c r="C11" s="75" t="s">
        <v>80</v>
      </c>
      <c r="D11" s="77"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87" t="str">
        <f>E10</f>
        <v>Help grow, reproduce, and survive</v>
      </c>
      <c r="F11" s="87" t="s">
        <v>96</v>
      </c>
      <c r="G11" s="121" t="e">
        <f>VLOOKUP(A11,#REF!,2)/1000000</f>
        <v>#REF!</v>
      </c>
    </row>
    <row r="13" spans="1:9" ht="16.5" x14ac:dyDescent="0.35">
      <c r="D13" s="58"/>
    </row>
    <row r="14" spans="1:9" ht="16.5" x14ac:dyDescent="0.35">
      <c r="D14" s="58"/>
    </row>
    <row r="15" spans="1:9" ht="16.5" x14ac:dyDescent="0.35">
      <c r="D15" s="58"/>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5" activePane="bottomRight" state="frozen"/>
      <selection pane="topRight" activeCell="B1" sqref="B1"/>
      <selection pane="bottomLeft" activeCell="A5" sqref="A5"/>
      <selection pane="bottomRight" activeCell="H5" sqref="H5:H676"/>
    </sheetView>
  </sheetViews>
  <sheetFormatPr defaultColWidth="8.81640625" defaultRowHeight="14.5" x14ac:dyDescent="0.35"/>
  <cols>
    <col min="1" max="1" width="12.453125" customWidth="1"/>
    <col min="2" max="3" width="14.36328125" customWidth="1"/>
    <col min="4" max="4" width="11.453125" bestFit="1" customWidth="1"/>
    <col min="7" max="7" width="13.81640625" customWidth="1"/>
    <col min="8" max="8" width="10.453125" bestFit="1" customWidth="1"/>
    <col min="9" max="9" width="11.453125" bestFit="1" customWidth="1"/>
    <col min="10" max="10" width="10.453125" bestFit="1" customWidth="1"/>
    <col min="11" max="11" width="11.1796875" customWidth="1"/>
    <col min="12" max="12" width="12.1796875" customWidth="1"/>
    <col min="13" max="13" width="10.453125" bestFit="1" customWidth="1"/>
  </cols>
  <sheetData>
    <row r="1" spans="1:13" s="1" customFormat="1" x14ac:dyDescent="0.35">
      <c r="A1" s="1" t="s">
        <v>31</v>
      </c>
    </row>
    <row r="2" spans="1:13" x14ac:dyDescent="0.35">
      <c r="A2" t="s">
        <v>8</v>
      </c>
    </row>
    <row r="3" spans="1:13" x14ac:dyDescent="0.35">
      <c r="C3">
        <v>2035000</v>
      </c>
    </row>
    <row r="4" spans="1:13" x14ac:dyDescent="0.35">
      <c r="A4" s="3" t="s">
        <v>9</v>
      </c>
      <c r="B4" s="3" t="s">
        <v>10</v>
      </c>
      <c r="C4" s="3" t="s">
        <v>11</v>
      </c>
      <c r="D4" s="3" t="s">
        <v>12</v>
      </c>
      <c r="E4" s="4" t="s">
        <v>13</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0">
        <v>60736</v>
      </c>
      <c r="C9" s="6">
        <f t="shared" si="0"/>
        <v>2095736</v>
      </c>
      <c r="D9" s="6">
        <v>30563.999999899999</v>
      </c>
      <c r="E9" s="2">
        <v>5</v>
      </c>
      <c r="H9" s="8">
        <f t="shared" si="1"/>
        <v>897</v>
      </c>
    </row>
    <row r="10" spans="1:13" x14ac:dyDescent="0.35">
      <c r="A10" s="5">
        <v>897.5</v>
      </c>
      <c r="B10" s="20">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Charts</vt:lpstr>
      </vt:variant>
      <vt:variant>
        <vt:i4>1</vt:i4>
      </vt:variant>
    </vt:vector>
  </HeadingPairs>
  <TitlesOfParts>
    <vt:vector size="13" baseType="lpstr">
      <vt:lpstr>ReadMe-Directions</vt:lpstr>
      <vt:lpstr>Versions</vt:lpstr>
      <vt:lpstr>Master</vt:lpstr>
      <vt:lpstr>DivideInflow</vt:lpstr>
      <vt:lpstr>TribalWater</vt:lpstr>
      <vt:lpstr>SplitInflowForPlot</vt:lpstr>
      <vt:lpstr>MandatoryConservation</vt:lpstr>
      <vt:lpstr>PowellReleaseTemperature</vt:lpstr>
      <vt:lpstr>Mead-Elevation-Area</vt:lpstr>
      <vt:lpstr>CellType</vt:lpstr>
      <vt:lpstr>BasinConservationPrograms</vt:lpstr>
      <vt:lpstr>LakeMeadInflowScenarios</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Rosenberg</cp:lastModifiedBy>
  <dcterms:created xsi:type="dcterms:W3CDTF">2021-03-26T20:44:10Z</dcterms:created>
  <dcterms:modified xsi:type="dcterms:W3CDTF">2025-09-02T22:29:58Z</dcterms:modified>
</cp:coreProperties>
</file>