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5F7D8118-AA92-43ED-A44D-5411C0203CBC}"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HydrologicScenarios" sheetId="7" r:id="rId9"/>
    <sheet name="PowellReleaseTemperature" sheetId="43" r:id="rId10"/>
    <sheet name="Mead-Elevation-Area" sheetId="10" r:id="rId11"/>
    <sheet name="CellType" sheetId="54"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47" l="1"/>
  <c r="A103" i="47"/>
  <c r="A95" i="47"/>
  <c r="A87" i="47"/>
  <c r="A79" i="47"/>
  <c r="A71" i="47"/>
  <c r="A63" i="47"/>
  <c r="B24" i="47"/>
  <c r="B25" i="47" s="1"/>
  <c r="C23" i="63"/>
  <c r="B23" i="63"/>
  <c r="H6" i="63"/>
  <c r="H7" i="63"/>
  <c r="H8" i="63"/>
  <c r="H5" i="63"/>
  <c r="G8" i="63"/>
  <c r="G6" i="63"/>
  <c r="G7" i="63"/>
  <c r="G5" i="63"/>
  <c r="D14" i="63"/>
  <c r="C14" i="63"/>
  <c r="D55" i="47"/>
  <c r="E55" i="47"/>
  <c r="F55" i="47"/>
  <c r="G55" i="47"/>
  <c r="D56" i="47"/>
  <c r="E56" i="47"/>
  <c r="F56" i="47"/>
  <c r="G56" i="47"/>
  <c r="F15" i="47"/>
  <c r="F14" i="47"/>
  <c r="A1" i="47"/>
  <c r="A20" i="47"/>
  <c r="K19" i="61"/>
  <c r="L19" i="61"/>
  <c r="M19" i="61"/>
  <c r="N19" i="61"/>
  <c r="O19" i="61"/>
  <c r="P19" i="61"/>
  <c r="Q19" i="61"/>
  <c r="R19" i="61"/>
  <c r="S19" i="61"/>
  <c r="T19" i="61"/>
  <c r="U19" i="61"/>
  <c r="J19" i="61"/>
  <c r="M14" i="61"/>
  <c r="N14" i="61"/>
  <c r="O14" i="61"/>
  <c r="P14" i="61"/>
  <c r="L14" i="61"/>
  <c r="R14" i="61"/>
  <c r="S14" i="61"/>
  <c r="T14" i="61"/>
  <c r="U14" i="61"/>
  <c r="Q14" i="61"/>
  <c r="K14" i="61"/>
  <c r="H45" i="47"/>
  <c r="I45" i="47"/>
  <c r="J45" i="47"/>
  <c r="K45" i="47"/>
  <c r="L45" i="47"/>
  <c r="D43" i="47"/>
  <c r="E43" i="47"/>
  <c r="F43" i="47"/>
  <c r="G43" i="47"/>
  <c r="A56" i="47"/>
  <c r="A57" i="47"/>
  <c r="A58" i="47"/>
  <c r="A59" i="47"/>
  <c r="E59" i="47" s="1"/>
  <c r="A55" i="47"/>
  <c r="D52" i="47"/>
  <c r="E52" i="47"/>
  <c r="F52" i="47"/>
  <c r="G52" i="47"/>
  <c r="J20" i="61"/>
  <c r="K20" i="61"/>
  <c r="L20" i="61"/>
  <c r="M20" i="61"/>
  <c r="N20" i="61"/>
  <c r="O20" i="61"/>
  <c r="P20" i="61"/>
  <c r="Q20" i="61"/>
  <c r="R20" i="61"/>
  <c r="S20" i="61"/>
  <c r="T20" i="61"/>
  <c r="U20" i="61"/>
  <c r="J21" i="61"/>
  <c r="K21" i="61"/>
  <c r="L21" i="61"/>
  <c r="M21" i="61"/>
  <c r="N21" i="61"/>
  <c r="O21" i="61"/>
  <c r="P21" i="61"/>
  <c r="Q21" i="61"/>
  <c r="R21" i="61"/>
  <c r="S21" i="61"/>
  <c r="T21" i="61"/>
  <c r="U21" i="61"/>
  <c r="J22" i="61"/>
  <c r="K22" i="61"/>
  <c r="L22" i="61"/>
  <c r="M22" i="61"/>
  <c r="N22" i="61"/>
  <c r="O22" i="61"/>
  <c r="P22" i="61"/>
  <c r="Q22" i="61"/>
  <c r="R22" i="61"/>
  <c r="S22" i="61"/>
  <c r="T22" i="61"/>
  <c r="U22" i="61"/>
  <c r="J23" i="61"/>
  <c r="K23" i="61"/>
  <c r="L23" i="61"/>
  <c r="M23" i="61"/>
  <c r="N23" i="61"/>
  <c r="O23" i="61"/>
  <c r="P23" i="61"/>
  <c r="Q23" i="61"/>
  <c r="R23" i="61"/>
  <c r="S23" i="61"/>
  <c r="T23" i="61"/>
  <c r="U23" i="61"/>
  <c r="J24" i="61"/>
  <c r="K24" i="61"/>
  <c r="L24" i="61"/>
  <c r="M24" i="61"/>
  <c r="N24" i="61"/>
  <c r="O24" i="61"/>
  <c r="P24" i="61"/>
  <c r="Q24" i="61"/>
  <c r="R24" i="61"/>
  <c r="S24" i="61"/>
  <c r="T24" i="61"/>
  <c r="U24" i="61"/>
  <c r="J25" i="61"/>
  <c r="K25" i="61"/>
  <c r="L25" i="61"/>
  <c r="M25" i="61"/>
  <c r="N25" i="61"/>
  <c r="O25" i="61"/>
  <c r="P25" i="61"/>
  <c r="Q25" i="61"/>
  <c r="R25" i="61"/>
  <c r="S25" i="61"/>
  <c r="T25" i="61"/>
  <c r="U25" i="61"/>
  <c r="I25" i="61"/>
  <c r="I24" i="61"/>
  <c r="I23" i="61"/>
  <c r="I22" i="61"/>
  <c r="I21" i="61"/>
  <c r="I20" i="61"/>
  <c r="C17" i="61"/>
  <c r="G17" i="61" s="1"/>
  <c r="D16" i="61"/>
  <c r="E15" i="61"/>
  <c r="N9" i="61" s="1"/>
  <c r="D15" i="61"/>
  <c r="M9" i="61" s="1"/>
  <c r="F14" i="61"/>
  <c r="F17" i="61" s="1"/>
  <c r="O11" i="61" s="1"/>
  <c r="E14" i="61"/>
  <c r="E17" i="61" s="1"/>
  <c r="N11" i="61" s="1"/>
  <c r="D14" i="61"/>
  <c r="D17" i="61" s="1"/>
  <c r="M11" i="61" s="1"/>
  <c r="C14" i="61"/>
  <c r="C16" i="61" s="1"/>
  <c r="K13" i="61"/>
  <c r="G13" i="61"/>
  <c r="K11" i="61"/>
  <c r="J11" i="61"/>
  <c r="M10" i="61"/>
  <c r="J10" i="61"/>
  <c r="K10" i="61" s="1"/>
  <c r="G10" i="61"/>
  <c r="J9" i="61"/>
  <c r="K9" i="61" s="1"/>
  <c r="G9" i="61"/>
  <c r="O8" i="61"/>
  <c r="T8" i="61" s="1"/>
  <c r="N8" i="61"/>
  <c r="S8" i="61" s="1"/>
  <c r="M8" i="61"/>
  <c r="L8" i="61"/>
  <c r="Q8" i="61" s="1"/>
  <c r="K8" i="61"/>
  <c r="R8" i="61" s="1"/>
  <c r="J8" i="61"/>
  <c r="G8" i="61"/>
  <c r="T7" i="61"/>
  <c r="S7" i="61"/>
  <c r="R7" i="61"/>
  <c r="Q7" i="61"/>
  <c r="U7" i="61" s="1"/>
  <c r="P7" i="61"/>
  <c r="J7" i="61"/>
  <c r="C19" i="47"/>
  <c r="B59" i="47" l="1"/>
  <c r="D59" i="47"/>
  <c r="G59" i="47"/>
  <c r="F59" i="47"/>
  <c r="L10" i="61"/>
  <c r="M13" i="61"/>
  <c r="R13" i="61" s="1"/>
  <c r="R11" i="61"/>
  <c r="T11" i="61"/>
  <c r="O13" i="61"/>
  <c r="T13" i="61" s="1"/>
  <c r="S11" i="61"/>
  <c r="N13" i="61"/>
  <c r="S13" i="61" s="1"/>
  <c r="R10" i="61"/>
  <c r="S9" i="61"/>
  <c r="U8" i="61"/>
  <c r="R9" i="61"/>
  <c r="G14" i="61"/>
  <c r="E16" i="61"/>
  <c r="N10" i="61" s="1"/>
  <c r="S10" i="61" s="1"/>
  <c r="C15" i="61"/>
  <c r="F16" i="61"/>
  <c r="O10" i="61" s="1"/>
  <c r="T10" i="61" s="1"/>
  <c r="P8" i="61"/>
  <c r="F15" i="61"/>
  <c r="O9" i="61" s="1"/>
  <c r="T9" i="61" s="1"/>
  <c r="L11" i="61"/>
  <c r="Q10" i="61" l="1"/>
  <c r="U10" i="61" s="1"/>
  <c r="P10" i="61"/>
  <c r="G15" i="61"/>
  <c r="L9" i="61"/>
  <c r="L13" i="61"/>
  <c r="Q13" i="61" s="1"/>
  <c r="U13" i="61" s="1"/>
  <c r="Q11" i="61"/>
  <c r="U11" i="61" s="1"/>
  <c r="P11" i="61"/>
  <c r="P13" i="61" s="1"/>
  <c r="G16" i="61"/>
  <c r="Q9" i="61" l="1"/>
  <c r="U9" i="61" s="1"/>
  <c r="P9" i="61"/>
  <c r="B36" i="47" l="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F39" i="60" s="1"/>
  <c r="E29" i="60"/>
  <c r="E39" i="60" s="1"/>
  <c r="N27" i="60"/>
  <c r="B25" i="60"/>
  <c r="B22" i="60"/>
  <c r="B24" i="60" s="1"/>
  <c r="B41" i="60" l="1"/>
  <c r="D36" i="60"/>
  <c r="D37" i="60" s="1"/>
  <c r="D45" i="60" s="1"/>
  <c r="D46" i="60" s="1"/>
  <c r="C36" i="60"/>
  <c r="C35" i="60"/>
  <c r="D35" i="60" s="1"/>
  <c r="E35" i="60" s="1"/>
  <c r="F35" i="60" s="1"/>
  <c r="G35" i="60" s="1"/>
  <c r="H35" i="60" s="1"/>
  <c r="I35" i="60" s="1"/>
  <c r="J35" i="60" s="1"/>
  <c r="K35" i="60" s="1"/>
  <c r="L35" i="60" s="1"/>
  <c r="E33" i="60"/>
  <c r="D34" i="60"/>
  <c r="C37" i="60"/>
  <c r="C45"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L36" i="60" l="1"/>
  <c r="K36" i="60"/>
  <c r="K37" i="60" s="1"/>
  <c r="K45" i="60" s="1"/>
  <c r="K46" i="60" s="1"/>
  <c r="K44" i="60" s="1"/>
  <c r="K43" i="60" s="1"/>
  <c r="L34" i="60"/>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34" i="47" l="1"/>
  <c r="K134" i="47"/>
  <c r="J134" i="47"/>
  <c r="I134" i="47"/>
  <c r="H134" i="47"/>
  <c r="A133" i="47"/>
  <c r="J133" i="47" s="1"/>
  <c r="A132" i="47"/>
  <c r="K132" i="47" s="1"/>
  <c r="A131" i="47"/>
  <c r="K131" i="47" s="1"/>
  <c r="A130" i="47"/>
  <c r="K130" i="47" s="1"/>
  <c r="A129" i="47"/>
  <c r="I129" i="47" s="1"/>
  <c r="A128" i="47"/>
  <c r="I128" i="47" s="1"/>
  <c r="A126" i="47"/>
  <c r="J126" i="47" s="1"/>
  <c r="A125" i="47"/>
  <c r="G125" i="47" s="1"/>
  <c r="A124" i="47"/>
  <c r="J124" i="47" s="1"/>
  <c r="A123" i="47"/>
  <c r="K123" i="47" s="1"/>
  <c r="A122" i="47"/>
  <c r="F122" i="47" s="1"/>
  <c r="A121" i="47"/>
  <c r="K121" i="47" s="1"/>
  <c r="L119" i="47"/>
  <c r="K119" i="47"/>
  <c r="J119" i="47"/>
  <c r="I119" i="47"/>
  <c r="H119" i="47"/>
  <c r="A118" i="47"/>
  <c r="J118" i="47" s="1"/>
  <c r="A117" i="47"/>
  <c r="G117" i="47" s="1"/>
  <c r="A116" i="47"/>
  <c r="J116" i="47" s="1"/>
  <c r="A115" i="47"/>
  <c r="I115" i="47" s="1"/>
  <c r="A114" i="47"/>
  <c r="E114" i="47" s="1"/>
  <c r="A113" i="47"/>
  <c r="K113" i="47" s="1"/>
  <c r="M105" i="47"/>
  <c r="M104" i="47"/>
  <c r="M97" i="47"/>
  <c r="M96" i="47"/>
  <c r="M89" i="47"/>
  <c r="M88" i="47"/>
  <c r="M81" i="47"/>
  <c r="M80" i="47"/>
  <c r="M73" i="47"/>
  <c r="M72" i="47"/>
  <c r="M65" i="47"/>
  <c r="M64" i="47"/>
  <c r="A64" i="47"/>
  <c r="A65" i="47" s="1"/>
  <c r="A66" i="47" s="1"/>
  <c r="A53" i="47"/>
  <c r="A51" i="47"/>
  <c r="A50" i="47"/>
  <c r="A49" i="47"/>
  <c r="A48" i="47"/>
  <c r="A47" i="47"/>
  <c r="A46" i="47"/>
  <c r="A41" i="47"/>
  <c r="A40" i="47"/>
  <c r="A39" i="47"/>
  <c r="A38" i="47"/>
  <c r="A37" i="47"/>
  <c r="A36" i="47"/>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46" i="47" l="1"/>
  <c r="K51" i="47"/>
  <c r="H38" i="47"/>
  <c r="I39" i="47"/>
  <c r="I47" i="47"/>
  <c r="K41" i="47"/>
  <c r="I48" i="47"/>
  <c r="J37" i="47"/>
  <c r="A96" i="47"/>
  <c r="A97" i="47" s="1"/>
  <c r="A98" i="47" s="1"/>
  <c r="I54" i="47"/>
  <c r="H54" i="47"/>
  <c r="L54" i="47"/>
  <c r="J54" i="47"/>
  <c r="K54" i="47"/>
  <c r="K126" i="47"/>
  <c r="J56" i="47"/>
  <c r="H56" i="47"/>
  <c r="I56" i="47"/>
  <c r="K56" i="47"/>
  <c r="L56" i="47"/>
  <c r="H57" i="47"/>
  <c r="J57" i="47"/>
  <c r="K57" i="47"/>
  <c r="I57" i="47"/>
  <c r="L57" i="47"/>
  <c r="H59" i="47"/>
  <c r="J59" i="47"/>
  <c r="K59" i="47"/>
  <c r="L59" i="47"/>
  <c r="I59" i="47"/>
  <c r="K49" i="47"/>
  <c r="F117" i="47"/>
  <c r="G114" i="47"/>
  <c r="H117" i="47"/>
  <c r="I114" i="47"/>
  <c r="I132" i="47"/>
  <c r="L40" i="47"/>
  <c r="A80" i="47"/>
  <c r="A81" i="47" s="1"/>
  <c r="A82" i="47" s="1"/>
  <c r="H125" i="47"/>
  <c r="A104" i="47"/>
  <c r="A105" i="47" s="1"/>
  <c r="A106" i="47" s="1"/>
  <c r="L130" i="47"/>
  <c r="A88" i="47"/>
  <c r="A89" i="47" s="1"/>
  <c r="D126" i="47"/>
  <c r="F126" i="47"/>
  <c r="A72" i="47"/>
  <c r="A73" i="47" s="1"/>
  <c r="A74" i="47" s="1"/>
  <c r="H126" i="47"/>
  <c r="H132" i="47"/>
  <c r="K39" i="47"/>
  <c r="L39" i="47"/>
  <c r="I131" i="47"/>
  <c r="E126" i="47"/>
  <c r="G126" i="47"/>
  <c r="L49" i="47"/>
  <c r="E116" i="47"/>
  <c r="D123" i="47"/>
  <c r="L126" i="47"/>
  <c r="L131" i="47"/>
  <c r="K133" i="47"/>
  <c r="H40" i="47"/>
  <c r="G116" i="47"/>
  <c r="D122" i="47"/>
  <c r="E123" i="47"/>
  <c r="E124" i="47"/>
  <c r="I40" i="47"/>
  <c r="I41" i="47"/>
  <c r="L50" i="47"/>
  <c r="H116" i="47"/>
  <c r="G122" i="47"/>
  <c r="F123" i="47"/>
  <c r="F124" i="47"/>
  <c r="H41" i="47"/>
  <c r="K40" i="47"/>
  <c r="L41" i="47"/>
  <c r="H122" i="47"/>
  <c r="G123" i="47"/>
  <c r="I124" i="47"/>
  <c r="I122" i="47"/>
  <c r="H123" i="47"/>
  <c r="K124" i="47"/>
  <c r="D121" i="47"/>
  <c r="K122" i="47"/>
  <c r="I123" i="47"/>
  <c r="L121" i="47"/>
  <c r="L122" i="47"/>
  <c r="L123" i="47"/>
  <c r="F125" i="47"/>
  <c r="H131" i="47"/>
  <c r="I50" i="47"/>
  <c r="I51" i="47"/>
  <c r="J39" i="47"/>
  <c r="K50" i="47"/>
  <c r="L51" i="47"/>
  <c r="F116" i="47"/>
  <c r="I133" i="47"/>
  <c r="K37" i="47"/>
  <c r="K46" i="47"/>
  <c r="K116" i="47"/>
  <c r="E118" i="47"/>
  <c r="L132" i="47"/>
  <c r="H46" i="47"/>
  <c r="L46" i="47"/>
  <c r="L116" i="47"/>
  <c r="F118" i="47"/>
  <c r="D113" i="47"/>
  <c r="I118" i="47"/>
  <c r="H50" i="47"/>
  <c r="H51" i="47"/>
  <c r="L113" i="47"/>
  <c r="D116" i="47"/>
  <c r="K118" i="47"/>
  <c r="H36" i="47"/>
  <c r="L37" i="47"/>
  <c r="I38" i="47"/>
  <c r="J40" i="47"/>
  <c r="K47" i="47"/>
  <c r="H48" i="47"/>
  <c r="J50" i="47"/>
  <c r="E113" i="47"/>
  <c r="H114" i="47"/>
  <c r="K115" i="47"/>
  <c r="I117" i="47"/>
  <c r="D118" i="47"/>
  <c r="L118" i="47"/>
  <c r="E121" i="47"/>
  <c r="J122" i="47"/>
  <c r="D124" i="47"/>
  <c r="L124" i="47"/>
  <c r="I125" i="47"/>
  <c r="K128" i="47"/>
  <c r="H129" i="47"/>
  <c r="J131" i="47"/>
  <c r="L133" i="47"/>
  <c r="F113" i="47"/>
  <c r="D115" i="47"/>
  <c r="L115" i="47"/>
  <c r="J117" i="47"/>
  <c r="F121" i="47"/>
  <c r="J125" i="47"/>
  <c r="L128" i="47"/>
  <c r="L47" i="47"/>
  <c r="J36" i="47"/>
  <c r="K38" i="47"/>
  <c r="J48" i="47"/>
  <c r="G113" i="47"/>
  <c r="J114" i="47"/>
  <c r="E115" i="47"/>
  <c r="K117" i="47"/>
  <c r="G121" i="47"/>
  <c r="K125" i="47"/>
  <c r="J129" i="47"/>
  <c r="J128" i="47"/>
  <c r="J38" i="47"/>
  <c r="K36" i="47"/>
  <c r="L38" i="47"/>
  <c r="H39" i="47"/>
  <c r="J41" i="47"/>
  <c r="I46" i="47"/>
  <c r="K48" i="47"/>
  <c r="H49" i="47"/>
  <c r="J51" i="47"/>
  <c r="H113" i="47"/>
  <c r="K114" i="47"/>
  <c r="F115" i="47"/>
  <c r="I116" i="47"/>
  <c r="D117" i="47"/>
  <c r="L117" i="47"/>
  <c r="G118" i="47"/>
  <c r="H121" i="47"/>
  <c r="E122" i="47"/>
  <c r="J123" i="47"/>
  <c r="G124" i="47"/>
  <c r="D125" i="47"/>
  <c r="L125" i="47"/>
  <c r="I126" i="47"/>
  <c r="K129" i="47"/>
  <c r="H130" i="47"/>
  <c r="J132" i="47"/>
  <c r="J47" i="47"/>
  <c r="I36" i="47"/>
  <c r="L36" i="47"/>
  <c r="H37" i="47"/>
  <c r="L48" i="47"/>
  <c r="I49" i="47"/>
  <c r="I113" i="47"/>
  <c r="D114" i="47"/>
  <c r="L114" i="47"/>
  <c r="G115" i="47"/>
  <c r="E117" i="47"/>
  <c r="H118" i="47"/>
  <c r="I121" i="47"/>
  <c r="H124" i="47"/>
  <c r="E125" i="47"/>
  <c r="L129" i="47"/>
  <c r="I130" i="47"/>
  <c r="H133" i="47"/>
  <c r="J115" i="47"/>
  <c r="I37" i="47"/>
  <c r="H47" i="47"/>
  <c r="J49" i="47"/>
  <c r="J113" i="47"/>
  <c r="H115" i="47"/>
  <c r="J121" i="47"/>
  <c r="H128" i="47"/>
  <c r="J130" i="47"/>
  <c r="F114" i="47"/>
  <c r="G119" i="47" l="1"/>
  <c r="E119" i="47"/>
  <c r="F119" i="47"/>
  <c r="A91" i="47"/>
  <c r="A90" i="47"/>
  <c r="D119" i="47"/>
  <c r="A75" i="47"/>
  <c r="A99" i="47"/>
  <c r="A67" i="47"/>
  <c r="A83" i="47"/>
  <c r="A107"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68" i="47" l="1"/>
  <c r="A92" i="47" s="1"/>
  <c r="K67" i="47"/>
  <c r="L67" i="47"/>
  <c r="H67" i="47"/>
  <c r="J67" i="47"/>
  <c r="I67" i="47"/>
  <c r="H107" i="47"/>
  <c r="J107" i="47"/>
  <c r="K107" i="47"/>
  <c r="L107" i="47"/>
  <c r="I107" i="47"/>
  <c r="L99" i="47"/>
  <c r="J99" i="47"/>
  <c r="K99" i="47"/>
  <c r="H99" i="47"/>
  <c r="I99" i="47"/>
  <c r="K91" i="47"/>
  <c r="H91" i="47"/>
  <c r="J91" i="47"/>
  <c r="L91" i="47"/>
  <c r="I91" i="47"/>
  <c r="H83" i="47"/>
  <c r="K83" i="47"/>
  <c r="L83" i="47"/>
  <c r="I83" i="47"/>
  <c r="J83" i="47"/>
  <c r="J75" i="47"/>
  <c r="L75" i="47"/>
  <c r="H75" i="47"/>
  <c r="K75" i="47"/>
  <c r="I75" i="47"/>
  <c r="H98" i="47"/>
  <c r="G98" i="47"/>
  <c r="F98" i="47"/>
  <c r="I98" i="47"/>
  <c r="M98" i="47"/>
  <c r="E98" i="47"/>
  <c r="L98" i="47"/>
  <c r="D98" i="47"/>
  <c r="K98" i="47"/>
  <c r="J98" i="47"/>
  <c r="L82" i="47"/>
  <c r="D82" i="47"/>
  <c r="K82" i="47"/>
  <c r="M82" i="47"/>
  <c r="J82" i="47"/>
  <c r="E82" i="47"/>
  <c r="I82" i="47"/>
  <c r="H82" i="47"/>
  <c r="G82" i="47"/>
  <c r="F82" i="47"/>
  <c r="H66" i="47"/>
  <c r="G66" i="47"/>
  <c r="I66" i="47"/>
  <c r="F66" i="47"/>
  <c r="M66" i="47"/>
  <c r="E66" i="47"/>
  <c r="L66" i="47"/>
  <c r="D66" i="47"/>
  <c r="K66" i="47"/>
  <c r="J66" i="47"/>
  <c r="J74" i="47"/>
  <c r="I74" i="47"/>
  <c r="K74" i="47"/>
  <c r="H74" i="47"/>
  <c r="G74" i="47"/>
  <c r="F74" i="47"/>
  <c r="M74" i="47"/>
  <c r="E74" i="47"/>
  <c r="L74" i="47"/>
  <c r="D74" i="47"/>
  <c r="J106" i="47"/>
  <c r="I106" i="47"/>
  <c r="H106" i="47"/>
  <c r="G106" i="47"/>
  <c r="F106" i="47"/>
  <c r="M106" i="47"/>
  <c r="E106" i="47"/>
  <c r="L106" i="47"/>
  <c r="D106" i="47"/>
  <c r="K106" i="47"/>
  <c r="F90" i="47"/>
  <c r="M90" i="47"/>
  <c r="E90" i="47"/>
  <c r="G90" i="47"/>
  <c r="L90" i="47"/>
  <c r="D90" i="47"/>
  <c r="K90" i="47"/>
  <c r="J90" i="47"/>
  <c r="I90" i="47"/>
  <c r="H90" i="47"/>
  <c r="A100" i="47" l="1"/>
  <c r="A101" i="47" s="1"/>
  <c r="A108" i="47"/>
  <c r="A109" i="47" s="1"/>
  <c r="A76" i="47"/>
  <c r="A77" i="47" s="1"/>
  <c r="A84" i="47"/>
  <c r="A85" i="47" s="1"/>
  <c r="A69" i="47"/>
  <c r="A93" i="47"/>
  <c r="K93" i="47" l="1"/>
  <c r="L93" i="47"/>
  <c r="J93" i="47"/>
  <c r="I93" i="47"/>
  <c r="H93" i="47"/>
  <c r="I85" i="47"/>
  <c r="J85" i="47"/>
  <c r="H85" i="47"/>
  <c r="L85" i="47"/>
  <c r="K85" i="47"/>
  <c r="L77" i="47"/>
  <c r="H77" i="47"/>
  <c r="K77" i="47"/>
  <c r="J77" i="47"/>
  <c r="I77" i="47"/>
  <c r="L69" i="47"/>
  <c r="K69" i="47"/>
  <c r="J69" i="47"/>
  <c r="I69" i="47"/>
  <c r="H69" i="47"/>
  <c r="L101" i="47"/>
  <c r="K101" i="47"/>
  <c r="J101" i="47"/>
  <c r="I101" i="47"/>
  <c r="H101" i="47"/>
  <c r="L109" i="47"/>
  <c r="K109" i="47"/>
  <c r="J109" i="47"/>
  <c r="H109" i="47"/>
  <c r="I109"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D36" i="47" l="1"/>
  <c r="D33" i="47" l="1"/>
  <c r="D45" i="47" s="1"/>
  <c r="D46" i="47" l="1"/>
  <c r="D47" i="47"/>
  <c r="D48" i="47"/>
  <c r="D49" i="47"/>
  <c r="D50" i="47"/>
  <c r="D51" i="47"/>
  <c r="D53" i="47" l="1"/>
  <c r="D54" i="47" l="1"/>
  <c r="D60" i="47" l="1"/>
  <c r="D58" i="47"/>
  <c r="D57" i="47"/>
  <c r="D107" i="47"/>
  <c r="D109" i="47" s="1"/>
  <c r="D133" i="47" s="1"/>
  <c r="E41" i="47" s="1"/>
  <c r="D75" i="47" l="1"/>
  <c r="D99" i="47"/>
  <c r="D101" i="47" s="1"/>
  <c r="D132" i="47" s="1"/>
  <c r="E40" i="47" s="1"/>
  <c r="D91" i="47"/>
  <c r="D83" i="47"/>
  <c r="D85" i="47" s="1"/>
  <c r="D130" i="47" s="1"/>
  <c r="E38" i="47" s="1"/>
  <c r="D93" i="47" l="1"/>
  <c r="D131" i="47" s="1"/>
  <c r="E39" i="47" s="1"/>
  <c r="D67" i="47"/>
  <c r="D69" i="47" s="1"/>
  <c r="D128" i="47" s="1"/>
  <c r="E36" i="47" s="1"/>
  <c r="D77" i="47"/>
  <c r="D129" i="47" s="1"/>
  <c r="E37" i="47" s="1"/>
  <c r="D135" i="47" l="1"/>
  <c r="D136" i="47" l="1"/>
  <c r="E34" i="47" s="1"/>
  <c r="E33" i="47"/>
  <c r="E45" i="47" s="1"/>
  <c r="E49" i="47" l="1"/>
  <c r="E51" i="47"/>
  <c r="E50" i="47"/>
  <c r="E47" i="47"/>
  <c r="E48" i="47"/>
  <c r="E46" i="47"/>
  <c r="E53" i="47" s="1"/>
  <c r="E60" i="47" l="1"/>
  <c r="E54" i="47"/>
  <c r="E58" i="47" l="1"/>
  <c r="E57" i="47"/>
  <c r="E107" i="47"/>
  <c r="E109" i="47" s="1"/>
  <c r="E133" i="47" s="1"/>
  <c r="F41" i="47" s="1"/>
  <c r="E99" i="47" l="1"/>
  <c r="E101" i="47" s="1"/>
  <c r="E132" i="47" s="1"/>
  <c r="F40" i="47" s="1"/>
  <c r="E91" i="47" l="1"/>
  <c r="E93" i="47" s="1"/>
  <c r="E131" i="47" s="1"/>
  <c r="F39" i="47" s="1"/>
  <c r="E83" i="47" l="1"/>
  <c r="E85" i="47" s="1"/>
  <c r="E130" i="47" s="1"/>
  <c r="F38" i="47" s="1"/>
  <c r="E67" i="47" l="1"/>
  <c r="E69" i="47" s="1"/>
  <c r="E128" i="47" s="1"/>
  <c r="F36" i="47" s="1"/>
  <c r="E75" i="47"/>
  <c r="E77" i="47" s="1"/>
  <c r="E129" i="47" s="1"/>
  <c r="F37" i="47" s="1"/>
  <c r="E135" i="47" l="1"/>
  <c r="E136" i="47" l="1"/>
  <c r="F34" i="47" s="1"/>
  <c r="F33" i="47"/>
  <c r="F45" i="47" s="1"/>
  <c r="F50" i="47" l="1"/>
  <c r="F47" i="47"/>
  <c r="F49" i="47"/>
  <c r="F46" i="47"/>
  <c r="F53" i="47" s="1"/>
  <c r="F51" i="47"/>
  <c r="F48" i="47"/>
  <c r="F54" i="47" l="1"/>
  <c r="F67" i="47"/>
  <c r="F69" i="47" s="1"/>
  <c r="F128" i="47" s="1"/>
  <c r="G36" i="47" l="1"/>
  <c r="F60" i="47"/>
  <c r="M60" i="47" s="1"/>
  <c r="F107" i="47"/>
  <c r="F109" i="47" s="1"/>
  <c r="F133" i="47" s="1"/>
  <c r="G41" i="47" s="1"/>
  <c r="F58" i="47"/>
  <c r="F57" i="47"/>
  <c r="F83" i="47" l="1"/>
  <c r="F85" i="47" s="1"/>
  <c r="F130" i="47" s="1"/>
  <c r="G38" i="47" s="1"/>
  <c r="F99" i="47"/>
  <c r="F101" i="47" s="1"/>
  <c r="F132" i="47" s="1"/>
  <c r="G40" i="47" s="1"/>
  <c r="F91" i="47"/>
  <c r="F93" i="47" s="1"/>
  <c r="F131" i="47" s="1"/>
  <c r="G39" i="47" s="1"/>
  <c r="F75" i="47"/>
  <c r="F77" i="47" s="1"/>
  <c r="F129" i="47" s="1"/>
  <c r="G37"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135" i="47" l="1"/>
  <c r="F136" i="47" l="1"/>
  <c r="G34" i="47" s="1"/>
  <c r="G33" i="47"/>
  <c r="G45" i="47" s="1"/>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V16" i="7" s="1"/>
  <c r="C15" i="7"/>
  <c r="V15" i="7" s="1"/>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G47" i="47" l="1"/>
  <c r="G49" i="47"/>
  <c r="G51" i="47"/>
  <c r="G48" i="47"/>
  <c r="G46" i="47"/>
  <c r="G53" i="47" s="1"/>
  <c r="G50" i="47"/>
  <c r="W16" i="7"/>
  <c r="W15" i="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G54" i="47" l="1"/>
  <c r="G67" i="47"/>
  <c r="G69" i="47" s="1"/>
  <c r="G128" i="47" s="1"/>
  <c r="V11" i="7"/>
  <c r="W11" i="7"/>
  <c r="V6" i="7"/>
  <c r="W6" i="7"/>
  <c r="G57" i="47" l="1"/>
  <c r="G91" i="47" s="1"/>
  <c r="G93" i="47" s="1"/>
  <c r="G131" i="47" s="1"/>
  <c r="G83" i="47"/>
  <c r="G85" i="47" s="1"/>
  <c r="G130" i="47" s="1"/>
  <c r="G75" i="47"/>
  <c r="G77" i="47" s="1"/>
  <c r="G129" i="47" s="1"/>
  <c r="G58" i="47"/>
  <c r="G99" i="47" s="1"/>
  <c r="G101" i="47" s="1"/>
  <c r="G132" i="47" s="1"/>
  <c r="G107" i="47"/>
  <c r="G109" i="47" s="1"/>
  <c r="G133" i="47" s="1"/>
  <c r="G60" i="47"/>
  <c r="V8" i="7"/>
  <c r="W8" i="7"/>
  <c r="G135" i="47" l="1"/>
  <c r="G136" i="47" s="1"/>
  <c r="V9" i="7"/>
  <c r="W9" i="7"/>
  <c r="V10" i="7" l="1"/>
  <c r="W10" i="7"/>
  <c r="D34" i="47" l="1"/>
  <c r="D37" i="47"/>
  <c r="D38" i="47"/>
  <c r="D39" i="47"/>
  <c r="D40" i="47"/>
  <c r="D41" i="47"/>
  <c r="C34" i="47"/>
  <c r="C33" i="47"/>
  <c r="C45" i="47" s="1"/>
  <c r="C43" i="47"/>
  <c r="C30" i="47"/>
  <c r="C31" i="47"/>
  <c r="C29" i="47"/>
  <c r="C40" i="47"/>
  <c r="C41" i="47"/>
  <c r="C125" i="47"/>
  <c r="C121" i="47"/>
  <c r="C123" i="47"/>
  <c r="C124" i="47"/>
  <c r="C38" i="47"/>
  <c r="C37" i="47"/>
  <c r="C36" i="47"/>
  <c r="C122" i="47"/>
  <c r="C39" i="47"/>
  <c r="C126" i="47"/>
  <c r="C118" i="47"/>
  <c r="M118" i="47" s="1"/>
  <c r="C116" i="47"/>
  <c r="M116" i="47" s="1"/>
  <c r="C52" i="47"/>
  <c r="M39" i="60"/>
  <c r="C115" i="47"/>
  <c r="M115" i="47" s="1"/>
  <c r="C117" i="47"/>
  <c r="M117" i="47" s="1"/>
  <c r="C113" i="47"/>
  <c r="C114" i="47"/>
  <c r="M114" i="47" s="1"/>
  <c r="C119" i="47" l="1"/>
  <c r="C106" i="47" s="1"/>
  <c r="M113" i="47"/>
  <c r="C46" i="47"/>
  <c r="C53" i="47" s="1"/>
  <c r="C49" i="47"/>
  <c r="C50" i="47"/>
  <c r="C48" i="47"/>
  <c r="C51" i="47"/>
  <c r="C47" i="47"/>
  <c r="C98" i="47" l="1"/>
  <c r="C66" i="47"/>
  <c r="C82" i="47"/>
  <c r="C90" i="47"/>
  <c r="C74" i="47"/>
  <c r="M40" i="60"/>
  <c r="C67" i="47"/>
  <c r="C69" i="47" s="1"/>
  <c r="C128" i="47" s="1"/>
  <c r="C54" i="47"/>
  <c r="C59" i="47" l="1"/>
  <c r="C55" i="47"/>
  <c r="C58" i="47"/>
  <c r="C57" i="47"/>
  <c r="C56" i="47"/>
  <c r="M56" i="47" l="1"/>
  <c r="M42" i="60"/>
  <c r="C83" i="47"/>
  <c r="C85" i="47" s="1"/>
  <c r="C130" i="47" s="1"/>
  <c r="M57" i="47"/>
  <c r="M43" i="60"/>
  <c r="C91" i="47"/>
  <c r="C93" i="47" s="1"/>
  <c r="C131" i="47" s="1"/>
  <c r="M58" i="47"/>
  <c r="M44" i="60"/>
  <c r="C99" i="47"/>
  <c r="C101" i="47" s="1"/>
  <c r="C132" i="47" s="1"/>
  <c r="C75" i="47"/>
  <c r="C77" i="47" s="1"/>
  <c r="C129" i="47" s="1"/>
  <c r="M53" i="47"/>
  <c r="M41" i="60"/>
  <c r="M55" i="47"/>
  <c r="M59" i="47"/>
  <c r="C107" i="47"/>
  <c r="C109" i="47" s="1"/>
  <c r="C133" i="47" s="1"/>
  <c r="M45" i="60"/>
  <c r="C60" i="47"/>
  <c r="M46" i="60" s="1"/>
  <c r="M54" i="47" l="1"/>
  <c r="C135" i="47"/>
  <c r="C136" i="47" s="1"/>
</calcChain>
</file>

<file path=xl/sharedStrings.xml><?xml version="1.0" encoding="utf-8"?>
<sst xmlns="http://schemas.openxmlformats.org/spreadsheetml/2006/main" count="580" uniqueCount="407">
  <si>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</si>
  <si>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</si>
  <si>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</si>
  <si>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</si>
  <si>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</si>
  <si>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</si>
  <si>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</si>
  <si>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</si>
  <si>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</si>
  <si>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</si>
  <si>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</si>
  <si>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</si>
  <si>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</si>
  <si>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</si>
  <si>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</si>
  <si>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</si>
  <si>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</si>
  <si>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</si>
  <si>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</si>
  <si>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</si>
  <si>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</si>
  <si>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</si>
  <si>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</si>
  <si>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</si>
  <si>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</si>
  <si>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</si>
  <si>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</si>
  <si>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</si>
  <si>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</si>
  <si>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</si>
  <si>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</si>
  <si>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</si>
  <si>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</si>
  <si>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</si>
  <si>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</si>
  <si>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</si>
  <si>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</si>
  <si>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</si>
  <si>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</si>
  <si>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</si>
  <si>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</si>
  <si>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</si>
  <si>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</si>
  <si>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</si>
  <si>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</si>
  <si>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</si>
  <si>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</si>
  <si>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</si>
  <si>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</si>
  <si>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</si>
  <si>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</si>
  <si>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</si>
  <si>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</si>
  <si>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</si>
  <si>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</si>
  <si>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</si>
  <si>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</si>
  <si>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</si>
  <si>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</si>
  <si>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</si>
  <si>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</si>
  <si>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</si>
  <si>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</si>
  <si>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</si>
  <si>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</si>
  <si>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</si>
  <si>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</si>
  <si>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</si>
  <si>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</si>
  <si>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</si>
  <si>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</si>
  <si>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</si>
  <si>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</si>
  <si>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</si>
  <si>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</si>
  <si>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</si>
  <si>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</si>
  <si>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</si>
  <si>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</si>
  <si>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Blank emplate. Duplicate this worksheet before using. See directions above for use.</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</si>
  <si>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</si>
  <si>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</si>
  <si>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</si>
  <si>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</si>
  <si>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</si>
  <si>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</si>
  <si>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</si>
  <si>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</si>
  <si>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</si>
  <si>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</si>
  <si>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</si>
  <si>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</si>
  <si>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</si>
  <si>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</si>
  <si>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</si>
  <si>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</si>
  <si>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</si>
  <si>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</si>
  <si>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</si>
  <si>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</si>
  <si>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</si>
  <si>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</si>
  <si>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</si>
  <si>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</si>
  <si>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</si>
  <si>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</si>
  <si>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</si>
  <si>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</si>
  <si>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</si>
  <si>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</si>
  <si>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</si>
  <si>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</si>
  <si>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</si>
  <si>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</si>
  <si>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</si>
  <si>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</si>
  <si>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</si>
  <si>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</si>
  <si>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</si>
  <si>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</si>
  <si>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</si>
  <si>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</si>
  <si>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</si>
  <si>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</si>
  <si>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</si>
  <si>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</si>
  <si>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</si>
  <si>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</si>
  <si>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</si>
  <si>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</si>
  <si>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</si>
  <si>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</si>
  <si>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</si>
  <si>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</si>
  <si>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</si>
  <si>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</si>
  <si>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</si>
  <si>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</si>
  <si>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</si>
  <si>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</si>
  <si>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</si>
  <si>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</si>
  <si>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</si>
  <si>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</si>
  <si>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</si>
  <si>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</si>
  <si>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</si>
  <si>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</si>
  <si>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</si>
  <si>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</si>
  <si>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</si>
  <si>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</si>
  <si>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</si>
  <si>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</si>
  <si>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</si>
  <si>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</si>
  <si>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</si>
  <si>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</si>
  <si>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</si>
  <si>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</si>
  <si>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</si>
  <si>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</si>
  <si>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</si>
  <si>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</si>
  <si>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</si>
  <si>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</si>
  <si>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</si>
  <si>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</si>
  <si>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</si>
  <si>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</si>
  <si>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</si>
  <si>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</si>
  <si>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</si>
  <si>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</si>
  <si>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</si>
  <si>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</si>
  <si>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</si>
  <si>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</si>
  <si>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</si>
  <si>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</si>
  <si>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</si>
  <si>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</si>
  <si>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</si>
  <si>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</si>
  <si>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</si>
  <si>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</si>
  <si>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</si>
  <si>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</si>
  <si>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</si>
  <si>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</si>
  <si>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</si>
  <si>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</si>
  <si>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</si>
  <si>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</si>
  <si>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</si>
  <si>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</si>
  <si>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</si>
  <si>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</si>
  <si>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</si>
  <si>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</si>
  <si>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</si>
  <si>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</si>
  <si>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</si>
  <si>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</si>
  <si>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</si>
  <si>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</si>
  <si>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</si>
  <si>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</si>
  <si>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</si>
  <si>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</si>
  <si>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</si>
  <si>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</si>
  <si>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</si>
  <si>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</si>
  <si>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</si>
  <si>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</si>
  <si>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</si>
  <si>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</si>
  <si>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</si>
  <si>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</si>
  <si>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</si>
  <si>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</si>
  <si>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</si>
  <si>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</si>
  <si>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</si>
  <si>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</si>
  <si>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</si>
  <si>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</si>
  <si>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</si>
  <si>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</si>
  <si>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</si>
  <si>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</si>
  <si>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</si>
  <si>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</si>
  <si>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</si>
  <si>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</si>
  <si>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</si>
  <si>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</si>
  <si>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</si>
  <si>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</si>
  <si>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</si>
  <si>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</si>
  <si>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</si>
  <si>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</si>
  <si>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</si>
  <si>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</si>
  <si>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</si>
  <si>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</si>
  <si>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</si>
  <si>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</si>
  <si>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</si>
  <si>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</si>
  <si>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</si>
  <si>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</si>
  <si>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</si>
  <si>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</si>
  <si>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</si>
  <si>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</si>
  <si>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</si>
  <si>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</si>
  <si>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</si>
  <si>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</si>
  <si>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</si>
  <si>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</si>
  <si>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</si>
  <si>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</si>
  <si>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</si>
  <si>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</si>
  <si>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</si>
  <si>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[1]*</t>
  </si>
  <si>
    <t>[2]</t>
  </si>
  <si>
    <t>0.0 to 0.3</t>
  </si>
  <si>
    <t>[3]</t>
  </si>
  <si>
    <t>0.3 to 1.5</t>
  </si>
  <si>
    <t>[4]</t>
  </si>
  <si>
    <t>1.5 to 2.7</t>
  </si>
  <si>
    <t>To be determined</t>
  </si>
  <si>
    <t>[5]</t>
  </si>
  <si>
    <t>As Volume (maf per year)</t>
  </si>
  <si>
    <t>[6]</t>
  </si>
  <si>
    <t>7.5 to 6.3</t>
  </si>
  <si>
    <t>[7]**</t>
  </si>
  <si>
    <t>* Historical allocations</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</si>
  <si>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</si>
  <si>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</si>
  <si>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</si>
  <si>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</si>
  <si>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</si>
  <si>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</si>
  <si>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</si>
  <si>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</si>
  <si>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</si>
  <si>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</si>
  <si>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</si>
  <si>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</si>
  <si>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</si>
  <si>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</si>
  <si>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</si>
  <si>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</si>
  <si>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</si>
  <si>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</si>
  <si>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</si>
  <si>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</si>
  <si>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24% to 31%</t>
  </si>
  <si>
    <t>48% to 56%</t>
  </si>
  <si>
    <t>[8]***</t>
  </si>
  <si>
    <t>** If percentage shares of total shortages for 0.3 to 1.5 maf per year specified in Lower Basin Alternative (2024) continue to total shortages for 1.5 to 2.7 maf per year.</t>
  </si>
  <si>
    <t>*** If percentage shares of total shortages for 0.3 to 1.5 maf per year specified in Lower Basin Alternative (2024) continue to total shortages for 8.0 maf per year.</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</si>
  <si>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</si>
  <si>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</si>
  <si>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</si>
  <si>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</si>
  <si>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</si>
  <si>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</si>
  <si>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</si>
  <si>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Lookup table of Lower Basin and Mexico mandatory cuts versus Lake Mead elevation (for reference; not used in the Lake Mead Water Bank)</t>
  </si>
  <si>
    <t>Shares scenarios of Lake Mead Inflow based on historical data.</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</si>
  <si>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</si>
  <si>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</si>
  <si>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</si>
  <si>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</si>
  <si>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</si>
  <si>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</si>
  <si>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</si>
  <si>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</si>
  <si>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</si>
  <si>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</si>
  <si>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109): Participants </t>
    </r>
    <r>
      <rPr>
        <sz val="11"/>
        <rFont val="Calibri"/>
        <family val="2"/>
        <scheme val="minor"/>
      </rPr>
      <t>enter their choices to withdraw, conserve, and trade water in response to their available water, others choices, and the real-time discussion by participants.</t>
    </r>
  </si>
  <si>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</si>
  <si>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</si>
  <si>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</si>
  <si>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</si>
  <si>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</si>
  <si>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</si>
  <si>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</si>
  <si>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</si>
  <si>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</si>
  <si>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</si>
  <si>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</si>
  <si>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vulneravility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</si>
  <si>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</si>
  <si>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</si>
  <si>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</si>
  <si>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</si>
  <si>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</si>
  <si>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</si>
  <si>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</si>
  <si>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</si>
  <si>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</si>
  <si>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</si>
  <si>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</si>
  <si>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</si>
  <si>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</si>
  <si>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</si>
  <si>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</si>
  <si>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</si>
  <si>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</si>
  <si>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</si>
  <si>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</si>
  <si>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</si>
  <si>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</si>
  <si>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</si>
  <si>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</si>
  <si>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</si>
  <si>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</si>
  <si>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</si>
  <si>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</si>
  <si>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</si>
  <si>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</si>
  <si>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</si>
  <si>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</si>
  <si>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</si>
  <si>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</si>
  <si>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</si>
  <si>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</si>
  <si>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</si>
  <si>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</si>
  <si>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</si>
  <si>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</si>
  <si>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</si>
  <si>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</si>
  <si>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</si>
  <si>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</si>
  <si>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</si>
  <si>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</si>
  <si>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</si>
  <si>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</si>
  <si>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</si>
  <si>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</si>
  <si>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</si>
  <si>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</si>
  <si>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</si>
  <si>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</si>
  <si>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</si>
  <si>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</si>
  <si>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Tribal Nations of the Lower Basin manage their own settled water rights (16.4% is from California, 82.4% is from Arizona). Ignore Nevada.</t>
  </si>
  <si>
    <t>Eric Porse</t>
  </si>
  <si>
    <t>University of California Agricultural and Natural Resources</t>
  </si>
  <si>
    <t>David E. Rosenberg, Erik Porse (2025). "Immersive Model for Lake Mead Based on the Principle of Division of Reservoir Inflow." Utah State University, Logan, UT. https://github.com/dzeke/ColoradoRiverCollaborate/tree/main/LakeMeadWaterBankDivideInflow.</t>
  </si>
  <si>
    <t>eporse@ucanr.edu</t>
  </si>
  <si>
    <t>See Let's Start Guide for visualizations of Key Ideas ---</t>
  </si>
  <si>
    <t>Here</t>
  </si>
  <si>
    <t>1.4.2</t>
  </si>
  <si>
    <t>Add images of key ideas to ReadMe</t>
  </si>
  <si>
    <t>Add context of recent user water use</t>
  </si>
  <si>
    <t>CEE 6490 students; Akbar</t>
  </si>
  <si>
    <t>Dec,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</si>
</sst>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27"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sz val="11"/>
      <color rgb="FF3F3F76"/>
      <name val="Calibri"/>
      <family val="2"/>
      <scheme val="minor"/>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s>
  <fills count="29">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rgb="FFFFCC99"/>
      </patternFill>
    </fill>
    <fill>
      <patternFill patternType="solid">
        <fgColor theme="4" tint="0.79998168889431442"/>
        <bgColor indexed="64"/>
      </patternFill>
    </fill>
    <fill>
      <patternFill patternType="solid">
        <fgColor theme="3" tint="0.89999084444715716"/>
        <bgColor indexed="64"/>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1" fillId="26" borderId="1" applyNumberFormat="0" applyAlignment="0" applyProtection="0"/>
  </cellStyleXfs>
  <cellXfs count="348">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2"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0" fontId="20" fillId="0" borderId="3" xfId="0" applyFont="1" applyBorder="1" applyAlignment="1">
      <alignment horizontal="left" vertical="top"/>
    </xf>
    <xf numFmtId="0" fontId="20" fillId="0" borderId="0" xfId="0" applyFont="1" applyAlignment="1">
      <alignment horizontal="left" vertical="top"/>
    </xf>
    <xf numFmtId="164" fontId="19" fillId="0" borderId="0" xfId="0" applyNumberFormat="1" applyFont="1" applyAlignment="1">
      <alignment horizontal="center"/>
    </xf>
    <xf numFmtId="2" fontId="19" fillId="0" borderId="0" xfId="0" applyNumberFormat="1" applyFont="1" applyAlignment="1">
      <alignment horizontal="center"/>
    </xf>
    <xf numFmtId="172" fontId="19" fillId="0" borderId="0" xfId="4" applyNumberFormat="1" applyFont="1" applyBorder="1" applyAlignment="1">
      <alignment horizontal="center" vertical="top"/>
    </xf>
    <xf numFmtId="172" fontId="19" fillId="0" borderId="0" xfId="0" applyNumberFormat="1" applyFont="1" applyAlignment="1">
      <alignment horizontal="center" vertical="top"/>
    </xf>
    <xf numFmtId="0" fontId="19" fillId="0" borderId="0" xfId="0" applyFont="1" applyAlignment="1">
      <alignment horizontal="center"/>
    </xf>
    <xf numFmtId="172" fontId="4" fillId="4" borderId="9" xfId="4" applyNumberFormat="1" applyFont="1" applyFill="1" applyBorder="1" applyAlignment="1">
      <alignment horizontal="center"/>
    </xf>
    <xf numFmtId="172" fontId="19" fillId="0" borderId="0" xfId="4" applyNumberFormat="1" applyFont="1" applyAlignment="1">
      <alignment horizontal="center"/>
    </xf>
    <xf numFmtId="9" fontId="19" fillId="0" borderId="0" xfId="4" applyFont="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0" fontId="21" fillId="26" borderId="1" xfId="14" applyAlignment="1">
      <alignment horizontal="center"/>
    </xf>
    <xf numFmtId="167" fontId="21" fillId="26" borderId="1" xfId="14" applyNumberFormat="1" applyAlignment="1">
      <alignment horizontal="center"/>
    </xf>
    <xf numFmtId="164" fontId="21" fillId="26" borderId="1" xfId="14" applyNumberFormat="1" applyAlignment="1">
      <alignment horizontal="center"/>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8" borderId="5" xfId="0" applyNumberFormat="1"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171" fontId="0" fillId="28" borderId="5" xfId="0" applyNumberFormat="1" applyFill="1" applyBorder="1" applyAlignment="1">
      <alignment horizontal="right" vertical="top"/>
    </xf>
    <xf numFmtId="171" fontId="0" fillId="28"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6"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8" borderId="0" xfId="0" applyFill="1" applyAlignment="1">
      <alignment vertical="top" wrapText="1"/>
    </xf>
    <xf numFmtId="0" fontId="0" fillId="28" borderId="6" xfId="0" applyFill="1" applyBorder="1" applyAlignment="1">
      <alignment vertical="top" wrapText="1"/>
    </xf>
    <xf numFmtId="0" fontId="0" fillId="28" borderId="0" xfId="0" applyFill="1" applyAlignment="1">
      <alignment horizontal="left" vertical="top" wrapText="1"/>
    </xf>
    <xf numFmtId="0" fontId="0" fillId="28" borderId="6" xfId="0" applyFill="1" applyBorder="1" applyAlignment="1">
      <alignment horizontal="left" vertical="top" wrapText="1"/>
    </xf>
    <xf numFmtId="0" fontId="0" fillId="28" borderId="7" xfId="0" applyFill="1" applyBorder="1" applyAlignment="1">
      <alignment horizontal="left" vertical="top" wrapText="1"/>
    </xf>
    <xf numFmtId="0" fontId="0" fillId="28"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8" borderId="5" xfId="0" applyNumberFormat="1" applyFont="1" applyFill="1" applyBorder="1" applyAlignment="1">
      <alignment horizontal="left" vertical="top" wrapText="1"/>
    </xf>
    <xf numFmtId="171" fontId="1" fillId="28" borderId="0" xfId="0" applyNumberFormat="1" applyFont="1" applyFill="1" applyAlignment="1">
      <alignment horizontal="left" vertical="top" wrapText="1"/>
    </xf>
    <xf numFmtId="171" fontId="1" fillId="28" borderId="6" xfId="0" applyNumberFormat="1" applyFont="1" applyFill="1" applyBorder="1" applyAlignment="1">
      <alignment horizontal="left" vertical="top" wrapText="1"/>
    </xf>
    <xf numFmtId="0" fontId="1" fillId="28" borderId="5" xfId="0" applyFont="1" applyFill="1" applyBorder="1" applyAlignment="1">
      <alignment horizontal="left" vertical="top" wrapText="1"/>
    </xf>
    <xf numFmtId="0" fontId="1" fillId="28" borderId="0" xfId="0" applyFont="1" applyFill="1" applyAlignment="1">
      <alignment horizontal="left" vertical="top" wrapText="1"/>
    </xf>
    <xf numFmtId="0" fontId="1" fillId="28" borderId="6" xfId="0" applyFont="1" applyFill="1" applyBorder="1" applyAlignment="1">
      <alignment horizontal="left" vertical="top" wrapText="1"/>
    </xf>
    <xf numFmtId="0" fontId="8" fillId="27"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8" borderId="2" xfId="0" applyFont="1" applyFill="1" applyBorder="1" applyAlignment="1">
      <alignment horizontal="left" vertical="top" wrapText="1"/>
    </xf>
    <xf numFmtId="0" fontId="1" fillId="28" borderId="3" xfId="0" applyFont="1" applyFill="1" applyBorder="1" applyAlignment="1">
      <alignment horizontal="left" vertical="top" wrapText="1"/>
    </xf>
    <xf numFmtId="0" fontId="1" fillId="28"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5"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9" fillId="0" borderId="9" xfId="0" applyFont="1" applyBorder="1" applyAlignment="1">
      <alignment horizont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2" xfId="0" applyFont="1" applyFill="1" applyBorder="1" applyAlignment="1">
      <alignment horizontal="center"/>
    </xf>
    <xf numFmtId="0" fontId="18" fillId="19" borderId="3" xfId="0" applyFont="1" applyFill="1" applyBorder="1" applyAlignment="1">
      <alignment horizontal="center"/>
    </xf>
    <xf numFmtId="164" fontId="19" fillId="0" borderId="11" xfId="0" applyNumberFormat="1" applyFont="1" applyBorder="1" applyAlignment="1">
      <alignment horizontal="center"/>
    </xf>
    <xf numFmtId="164" fontId="19" fillId="0" borderId="12" xfId="0" applyNumberFormat="1" applyFont="1" applyBorder="1" applyAlignment="1">
      <alignment horizontal="center"/>
    </xf>
    <xf numFmtId="164" fontId="19" fillId="0" borderId="13" xfId="0" applyNumberFormat="1"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5">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Input" xfId="14" builtinId="20"/>
    <cellStyle name="Normal" xfId="0" builtinId="0"/>
    <cellStyle name="Percent" xfId="4" builtinId="5"/>
  </cellStyles>
  <dxfs count="55">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922735</xdr:colOff>
      <xdr:row>14</xdr:row>
      <xdr:rowOff>255985</xdr:rowOff>
    </xdr:from>
    <xdr:to>
      <xdr:col>6</xdr:col>
      <xdr:colOff>160734</xdr:colOff>
      <xdr:row>15</xdr:row>
      <xdr:rowOff>1173789</xdr:rowOff>
    </xdr:to>
    <xdr:pic>
      <xdr:nvPicPr>
        <xdr:cNvPr id="3" name="Picture 2">
          <a:extLst>
            <a:ext uri="{FF2B5EF4-FFF2-40B4-BE49-F238E27FC236}">
              <a16:creationId xmlns:a16="http://schemas.microsoft.com/office/drawing/2014/main" id="{40ADA181-0637-EE9A-0DA6-DA8920365D97}"/>
            </a:ext>
          </a:extLst>
        </xdr:cNvPr>
        <xdr:cNvPicPr>
          <a:picLocks noChangeAspect="1"/>
        </xdr:cNvPicPr>
      </xdr:nvPicPr>
      <xdr:blipFill>
        <a:blip xmlns:r="http://schemas.openxmlformats.org/officeDocument/2006/relationships" r:embed="rId3"/>
        <a:stretch>
          <a:fillRect/>
        </a:stretch>
      </xdr:blipFill>
      <xdr:spPr>
        <a:xfrm>
          <a:off x="1172766" y="6435329"/>
          <a:ext cx="3393281" cy="128689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13008022" cy="943970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4"/>
  <sheetViews>
    <sheetView topLeftCell="A12" zoomScale="160" zoomScaleNormal="160" workbookViewId="0">
      <selection activeCell="O15" sqref="O15"/>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79" t="s">
        <v>350</v>
      </c>
      <c r="B1" s="279"/>
      <c r="C1" s="279"/>
      <c r="D1" s="279"/>
      <c r="E1" s="279"/>
      <c r="F1" s="279"/>
      <c r="G1" s="279"/>
      <c r="H1" s="279"/>
      <c r="I1" s="279"/>
      <c r="J1" s="279"/>
      <c r="K1" s="279"/>
      <c r="L1" s="279"/>
    </row>
    <row r="2" spans="1:18" x14ac:dyDescent="0.35">
      <c r="A2" s="1"/>
      <c r="B2" s="1"/>
      <c r="C2" s="2"/>
      <c r="D2"/>
    </row>
    <row r="3" spans="1:18" x14ac:dyDescent="0.35">
      <c r="A3" s="154" t="s">
        <v>204</v>
      </c>
      <c r="B3" s="155"/>
      <c r="C3" s="156"/>
      <c r="D3" s="157"/>
      <c r="E3" s="157"/>
      <c r="F3" s="157"/>
      <c r="G3" s="157"/>
      <c r="H3" s="157"/>
      <c r="I3" s="157"/>
      <c r="J3" s="157"/>
      <c r="K3" s="157"/>
      <c r="L3" s="158"/>
      <c r="N3" s="1"/>
    </row>
    <row r="4" spans="1:18" s="54" customFormat="1" ht="53.5" customHeight="1" x14ac:dyDescent="0.35">
      <c r="A4" s="280" t="s">
        <v>351</v>
      </c>
      <c r="B4" s="281"/>
      <c r="C4" s="281"/>
      <c r="D4" s="281"/>
      <c r="E4" s="281"/>
      <c r="F4" s="281"/>
      <c r="G4" s="281"/>
      <c r="H4" s="281"/>
      <c r="I4" s="281"/>
      <c r="J4" s="281"/>
      <c r="K4" s="281"/>
      <c r="L4" s="282"/>
      <c r="N4" s="283"/>
      <c r="O4" s="283"/>
      <c r="P4" s="283"/>
      <c r="Q4" s="283"/>
      <c r="R4" s="283"/>
    </row>
    <row r="5" spans="1:18" s="54" customFormat="1" ht="35" customHeight="1" x14ac:dyDescent="0.35">
      <c r="A5" s="284" t="s">
        <v>334</v>
      </c>
      <c r="B5" s="285"/>
      <c r="C5" s="285"/>
      <c r="D5" s="285"/>
      <c r="E5" s="285"/>
      <c r="F5" s="285"/>
      <c r="G5" s="285"/>
      <c r="H5" s="285"/>
      <c r="I5" s="285"/>
      <c r="J5" s="285"/>
      <c r="K5" s="285"/>
      <c r="L5" s="286"/>
      <c r="N5" s="113"/>
      <c r="O5" s="113"/>
      <c r="P5" s="113"/>
      <c r="Q5" s="113"/>
      <c r="R5" s="113"/>
    </row>
    <row r="6" spans="1:18" s="54" customFormat="1" ht="14" customHeight="1" x14ac:dyDescent="0.35">
      <c r="A6" s="284" t="s">
        <v>352</v>
      </c>
      <c r="B6" s="285"/>
      <c r="C6" s="285"/>
      <c r="D6" s="285"/>
      <c r="E6" s="285"/>
      <c r="F6" s="285"/>
      <c r="G6" s="285"/>
      <c r="H6" s="285"/>
      <c r="I6" s="285"/>
      <c r="J6" s="285"/>
      <c r="K6" s="285"/>
      <c r="L6" s="286"/>
      <c r="N6" s="113"/>
      <c r="O6" s="113"/>
      <c r="P6" s="113"/>
      <c r="Q6" s="113"/>
      <c r="R6" s="113"/>
    </row>
    <row r="7" spans="1:18" s="54" customFormat="1" ht="14" customHeight="1" x14ac:dyDescent="0.35">
      <c r="A7" s="232"/>
      <c r="B7" s="285" t="s">
        <v>353</v>
      </c>
      <c r="C7" s="285"/>
      <c r="D7" s="285"/>
      <c r="E7" s="285"/>
      <c r="F7" s="285"/>
      <c r="G7" s="285"/>
      <c r="H7" s="285"/>
      <c r="I7" s="285"/>
      <c r="J7" s="285"/>
      <c r="K7" s="285"/>
      <c r="L7" s="286"/>
      <c r="N7" s="113"/>
      <c r="O7" s="113"/>
      <c r="P7" s="113"/>
      <c r="Q7" s="113"/>
      <c r="R7" s="113"/>
    </row>
    <row r="8" spans="1:18" s="54" customFormat="1" ht="14" customHeight="1" x14ac:dyDescent="0.35">
      <c r="A8" s="233"/>
      <c r="B8" s="300" t="s">
        <v>354</v>
      </c>
      <c r="C8" s="300"/>
      <c r="D8" s="300"/>
      <c r="E8" s="300"/>
      <c r="F8" s="300"/>
      <c r="G8" s="300"/>
      <c r="H8" s="300"/>
      <c r="I8" s="300"/>
      <c r="J8" s="300"/>
      <c r="K8" s="300"/>
      <c r="L8" s="301"/>
      <c r="N8" s="113"/>
      <c r="O8" s="113"/>
      <c r="P8" s="113"/>
      <c r="Q8" s="113"/>
      <c r="R8" s="113"/>
    </row>
    <row r="9" spans="1:18" s="59" customFormat="1" ht="14.5" customHeight="1" x14ac:dyDescent="0.35">
      <c r="A9" s="113"/>
      <c r="B9" s="113"/>
      <c r="C9" s="113"/>
      <c r="D9" s="113"/>
      <c r="E9" s="113"/>
      <c r="F9" s="113"/>
      <c r="G9" s="113"/>
      <c r="H9" s="113"/>
      <c r="I9" s="113"/>
      <c r="J9" s="113"/>
      <c r="K9" s="113"/>
      <c r="L9" s="113"/>
    </row>
    <row r="10" spans="1:18" s="59" customFormat="1" ht="14.5" customHeight="1" x14ac:dyDescent="0.35">
      <c r="A10" s="302" t="s">
        <v>389</v>
      </c>
      <c r="B10" s="303"/>
      <c r="C10" s="303"/>
      <c r="D10" s="303"/>
      <c r="E10" s="303"/>
      <c r="F10" s="303"/>
      <c r="G10" s="303"/>
      <c r="H10" s="303"/>
      <c r="I10" s="303"/>
      <c r="J10" s="303"/>
      <c r="K10" s="303"/>
      <c r="L10" s="304"/>
    </row>
    <row r="11" spans="1:18" s="58" customFormat="1" ht="14.5" customHeight="1" x14ac:dyDescent="0.35">
      <c r="A11" s="253" t="s">
        <v>390</v>
      </c>
      <c r="B11" s="257" t="s">
        <v>393</v>
      </c>
      <c r="C11" s="257"/>
      <c r="D11" s="257"/>
      <c r="E11" s="257"/>
      <c r="F11" s="257"/>
      <c r="G11" s="257"/>
      <c r="H11" s="257"/>
      <c r="I11" s="257"/>
      <c r="J11" s="257"/>
      <c r="K11" s="257"/>
      <c r="L11" s="258"/>
    </row>
    <row r="12" spans="1:18" s="59" customFormat="1" ht="161.5" customHeight="1" x14ac:dyDescent="0.35">
      <c r="A12" s="245"/>
      <c r="B12" s="251"/>
      <c r="C12" s="251"/>
      <c r="D12" s="251"/>
      <c r="E12" s="251"/>
      <c r="F12" s="251"/>
      <c r="G12" s="251"/>
      <c r="H12" s="251"/>
      <c r="I12" s="251"/>
      <c r="J12" s="251"/>
      <c r="K12" s="251"/>
      <c r="L12" s="252"/>
    </row>
    <row r="13" spans="1:18" s="58" customFormat="1" ht="14.5" customHeight="1" x14ac:dyDescent="0.35">
      <c r="A13" s="253" t="s">
        <v>391</v>
      </c>
      <c r="B13" s="257" t="s">
        <v>394</v>
      </c>
      <c r="C13" s="257"/>
      <c r="D13" s="257"/>
      <c r="E13" s="257"/>
      <c r="F13" s="257"/>
      <c r="G13" s="257"/>
      <c r="H13" s="257"/>
      <c r="I13" s="257"/>
      <c r="J13" s="257"/>
      <c r="K13" s="257"/>
      <c r="L13" s="258"/>
    </row>
    <row r="14" spans="1:18" s="59" customFormat="1" ht="90.5" customHeight="1" x14ac:dyDescent="0.35">
      <c r="A14" s="245"/>
      <c r="B14" s="259"/>
      <c r="C14" s="259"/>
      <c r="D14" s="259"/>
      <c r="E14" s="259"/>
      <c r="F14" s="259"/>
      <c r="G14" s="259"/>
      <c r="H14" s="259"/>
      <c r="I14" s="259"/>
      <c r="J14" s="259"/>
      <c r="K14" s="259"/>
      <c r="L14" s="260"/>
    </row>
    <row r="15" spans="1:18" s="58" customFormat="1" ht="29" customHeight="1" x14ac:dyDescent="0.35">
      <c r="A15" s="253" t="s">
        <v>392</v>
      </c>
      <c r="B15" s="257" t="s">
        <v>395</v>
      </c>
      <c r="C15" s="257"/>
      <c r="D15" s="257"/>
      <c r="E15" s="257"/>
      <c r="F15" s="257"/>
      <c r="G15" s="257"/>
      <c r="H15" s="257"/>
      <c r="I15" s="257"/>
      <c r="J15" s="257"/>
      <c r="K15" s="257"/>
      <c r="L15" s="258"/>
    </row>
    <row r="16" spans="1:18" s="59" customFormat="1" ht="94.5" customHeight="1" x14ac:dyDescent="0.35">
      <c r="A16" s="245"/>
      <c r="B16" s="251"/>
      <c r="C16" s="251"/>
      <c r="D16" s="251"/>
      <c r="E16" s="251"/>
      <c r="F16" s="251"/>
      <c r="G16" s="251"/>
      <c r="H16" s="251"/>
      <c r="I16" s="251"/>
      <c r="J16" s="251"/>
      <c r="K16" s="251"/>
      <c r="L16" s="252"/>
    </row>
    <row r="17" spans="1:14" s="59" customFormat="1" ht="14.5" customHeight="1" x14ac:dyDescent="0.35">
      <c r="A17" s="255" t="s">
        <v>400</v>
      </c>
      <c r="B17" s="256"/>
      <c r="C17" s="256"/>
      <c r="D17" s="256"/>
      <c r="E17" s="250" t="s">
        <v>401</v>
      </c>
      <c r="F17" s="248"/>
      <c r="G17" s="248"/>
      <c r="H17" s="248"/>
      <c r="I17" s="248"/>
      <c r="J17" s="248"/>
      <c r="K17" s="248"/>
      <c r="L17" s="249"/>
    </row>
    <row r="18" spans="1:14" s="59" customFormat="1" ht="14.5" customHeight="1" x14ac:dyDescent="0.35">
      <c r="A18" s="113"/>
      <c r="B18" s="113"/>
      <c r="C18" s="113"/>
      <c r="D18" s="113"/>
      <c r="E18" s="113"/>
      <c r="F18" s="113"/>
      <c r="G18" s="113"/>
      <c r="H18" s="113"/>
      <c r="I18" s="113"/>
      <c r="J18" s="113"/>
      <c r="K18" s="113"/>
      <c r="L18" s="113"/>
    </row>
    <row r="19" spans="1:14" s="59" customFormat="1" ht="14.5" customHeight="1" x14ac:dyDescent="0.35">
      <c r="A19" s="287" t="s">
        <v>205</v>
      </c>
      <c r="B19" s="288"/>
      <c r="C19" s="288"/>
      <c r="D19" s="288"/>
      <c r="E19" s="288"/>
      <c r="F19" s="288"/>
      <c r="G19" s="288"/>
      <c r="H19" s="288"/>
      <c r="I19" s="288"/>
      <c r="J19" s="288"/>
      <c r="K19" s="288"/>
      <c r="L19" s="289"/>
    </row>
    <row r="20" spans="1:14" s="59" customFormat="1" ht="14.5" customHeight="1" x14ac:dyDescent="0.35">
      <c r="A20" s="290" t="s">
        <v>335</v>
      </c>
      <c r="B20" s="291"/>
      <c r="C20" s="291"/>
      <c r="D20" s="291"/>
      <c r="E20" s="291"/>
      <c r="F20" s="291"/>
      <c r="G20" s="291"/>
      <c r="H20" s="291"/>
      <c r="I20" s="291"/>
      <c r="J20" s="291"/>
      <c r="K20" s="291"/>
      <c r="L20" s="292"/>
    </row>
    <row r="21" spans="1:14" s="59" customFormat="1" ht="14.5" customHeight="1" x14ac:dyDescent="0.35">
      <c r="A21" s="293" t="s">
        <v>336</v>
      </c>
      <c r="B21" s="271"/>
      <c r="C21" s="271"/>
      <c r="D21" s="271"/>
      <c r="E21" s="271"/>
      <c r="F21" s="271"/>
      <c r="G21" s="271"/>
      <c r="H21" s="271"/>
      <c r="I21" s="271"/>
      <c r="J21" s="271"/>
      <c r="K21" s="271"/>
      <c r="L21" s="272"/>
    </row>
    <row r="22" spans="1:14" s="59" customFormat="1" ht="14.5" customHeight="1" x14ac:dyDescent="0.35">
      <c r="A22" s="293" t="s">
        <v>206</v>
      </c>
      <c r="B22" s="271"/>
      <c r="C22" s="271"/>
      <c r="D22" s="271"/>
      <c r="E22" s="271"/>
      <c r="F22" s="271"/>
      <c r="G22" s="271"/>
      <c r="H22" s="271"/>
      <c r="I22" s="271"/>
      <c r="J22" s="271"/>
      <c r="K22" s="271"/>
      <c r="L22" s="272"/>
    </row>
    <row r="23" spans="1:14" s="59" customFormat="1" ht="14.5" customHeight="1" x14ac:dyDescent="0.35">
      <c r="A23" s="294" t="s">
        <v>337</v>
      </c>
      <c r="B23" s="295"/>
      <c r="C23" s="295"/>
      <c r="D23" s="295"/>
      <c r="E23" s="295"/>
      <c r="F23" s="295"/>
      <c r="G23" s="295"/>
      <c r="H23" s="295"/>
      <c r="I23" s="295"/>
      <c r="J23" s="295"/>
      <c r="K23" s="295"/>
      <c r="L23" s="296"/>
    </row>
    <row r="24" spans="1:14" s="59" customFormat="1" ht="14.5" customHeight="1" x14ac:dyDescent="0.35">
      <c r="A24" s="113"/>
      <c r="B24" s="113"/>
      <c r="C24" s="113"/>
      <c r="D24" s="113"/>
      <c r="E24" s="113"/>
      <c r="F24" s="113"/>
      <c r="G24" s="113"/>
      <c r="H24" s="113"/>
      <c r="I24" s="113"/>
      <c r="J24" s="113"/>
      <c r="K24" s="113"/>
      <c r="L24" s="113"/>
    </row>
    <row r="25" spans="1:14" s="59" customFormat="1" ht="16.5" customHeight="1" x14ac:dyDescent="0.35">
      <c r="A25" s="297" t="s">
        <v>333</v>
      </c>
      <c r="B25" s="298"/>
      <c r="C25" s="298"/>
      <c r="D25" s="298"/>
      <c r="E25" s="298"/>
      <c r="F25" s="298"/>
      <c r="G25" s="298"/>
      <c r="H25" s="298"/>
      <c r="I25" s="298"/>
      <c r="J25" s="298"/>
      <c r="K25" s="298"/>
      <c r="L25" s="299"/>
      <c r="N25" s="1"/>
    </row>
    <row r="26" spans="1:14" s="59" customFormat="1" ht="16.5" customHeight="1" x14ac:dyDescent="0.35">
      <c r="A26" s="276" t="s">
        <v>215</v>
      </c>
      <c r="B26" s="277"/>
      <c r="C26" s="277"/>
      <c r="D26" s="277"/>
      <c r="E26" s="277"/>
      <c r="F26" s="277"/>
      <c r="G26" s="277"/>
      <c r="H26" s="277"/>
      <c r="I26" s="277"/>
      <c r="J26" s="277"/>
      <c r="K26" s="277"/>
      <c r="L26" s="278"/>
      <c r="N26" s="1"/>
    </row>
    <row r="27" spans="1:14" s="59" customFormat="1" ht="15" customHeight="1" x14ac:dyDescent="0.35">
      <c r="A27" s="227">
        <v>1</v>
      </c>
      <c r="B27" s="264" t="s">
        <v>214</v>
      </c>
      <c r="C27" s="264"/>
      <c r="D27" s="264"/>
      <c r="E27" s="264"/>
      <c r="F27" s="264"/>
      <c r="G27" s="264"/>
      <c r="H27" s="264"/>
      <c r="I27" s="264"/>
      <c r="J27" s="264"/>
      <c r="K27" s="264"/>
      <c r="L27" s="265"/>
    </row>
    <row r="28" spans="1:14" s="59" customFormat="1" ht="30" customHeight="1" x14ac:dyDescent="0.35">
      <c r="A28" s="227">
        <v>2</v>
      </c>
      <c r="B28" s="264" t="s">
        <v>329</v>
      </c>
      <c r="C28" s="264"/>
      <c r="D28" s="264"/>
      <c r="E28" s="264"/>
      <c r="F28" s="264"/>
      <c r="G28" s="264"/>
      <c r="H28" s="264"/>
      <c r="I28" s="264"/>
      <c r="J28" s="264"/>
      <c r="K28" s="264"/>
      <c r="L28" s="265"/>
      <c r="N28" s="106"/>
    </row>
    <row r="29" spans="1:14" s="59" customFormat="1" ht="15" customHeight="1" x14ac:dyDescent="0.35">
      <c r="A29" s="227">
        <v>3</v>
      </c>
      <c r="B29" s="264" t="s">
        <v>207</v>
      </c>
      <c r="C29" s="264"/>
      <c r="D29" s="264"/>
      <c r="E29" s="264"/>
      <c r="F29" s="264"/>
      <c r="G29" s="264"/>
      <c r="H29" s="264"/>
      <c r="I29" s="264"/>
      <c r="J29" s="264"/>
      <c r="K29" s="264"/>
      <c r="L29" s="265"/>
      <c r="N29" s="106"/>
    </row>
    <row r="30" spans="1:14" s="59" customFormat="1" ht="15" customHeight="1" x14ac:dyDescent="0.35">
      <c r="A30" s="227">
        <v>4</v>
      </c>
      <c r="B30" s="264" t="s">
        <v>338</v>
      </c>
      <c r="C30" s="264"/>
      <c r="D30" s="264"/>
      <c r="E30" s="264"/>
      <c r="F30" s="264"/>
      <c r="G30" s="264"/>
      <c r="H30" s="264"/>
      <c r="I30" s="264"/>
      <c r="J30" s="264"/>
      <c r="K30" s="264"/>
      <c r="L30" s="265"/>
      <c r="N30" s="106"/>
    </row>
    <row r="31" spans="1:14" s="59" customFormat="1" ht="15" customHeight="1" x14ac:dyDescent="0.35">
      <c r="A31" s="227">
        <v>5</v>
      </c>
      <c r="B31" s="264" t="s">
        <v>208</v>
      </c>
      <c r="C31" s="264"/>
      <c r="D31" s="264"/>
      <c r="E31" s="264"/>
      <c r="F31" s="264"/>
      <c r="G31" s="264"/>
      <c r="H31" s="264"/>
      <c r="I31" s="264"/>
      <c r="J31" s="264"/>
      <c r="K31" s="264"/>
      <c r="L31" s="265"/>
      <c r="N31" s="106"/>
    </row>
    <row r="32" spans="1:14" s="59" customFormat="1" ht="15" customHeight="1" x14ac:dyDescent="0.35">
      <c r="A32" s="227"/>
      <c r="B32" s="264" t="s">
        <v>209</v>
      </c>
      <c r="C32" s="264"/>
      <c r="D32" s="264"/>
      <c r="E32" s="264"/>
      <c r="F32" s="264"/>
      <c r="G32" s="264"/>
      <c r="H32" s="264"/>
      <c r="I32" s="264"/>
      <c r="J32" s="264"/>
      <c r="K32" s="264"/>
      <c r="L32" s="265"/>
      <c r="N32" s="106"/>
    </row>
    <row r="33" spans="1:14" s="59" customFormat="1" ht="15" customHeight="1" x14ac:dyDescent="0.35">
      <c r="A33" s="227"/>
      <c r="B33" s="264" t="s">
        <v>210</v>
      </c>
      <c r="C33" s="264"/>
      <c r="D33" s="264"/>
      <c r="E33" s="264"/>
      <c r="F33" s="264"/>
      <c r="G33" s="264"/>
      <c r="H33" s="264"/>
      <c r="I33" s="264"/>
      <c r="J33" s="264"/>
      <c r="K33" s="264"/>
      <c r="L33" s="265"/>
      <c r="N33" s="106"/>
    </row>
    <row r="34" spans="1:14" s="59" customFormat="1" ht="15" customHeight="1" x14ac:dyDescent="0.35">
      <c r="A34" s="273" t="s">
        <v>216</v>
      </c>
      <c r="B34" s="274"/>
      <c r="C34" s="274"/>
      <c r="D34" s="274"/>
      <c r="E34" s="274"/>
      <c r="F34" s="274"/>
      <c r="G34" s="274"/>
      <c r="H34" s="274"/>
      <c r="I34" s="274"/>
      <c r="J34" s="274"/>
      <c r="K34" s="274"/>
      <c r="L34" s="275"/>
      <c r="N34" s="106"/>
    </row>
    <row r="35" spans="1:14" s="59" customFormat="1" ht="15" customHeight="1" x14ac:dyDescent="0.35">
      <c r="A35" s="227">
        <v>1</v>
      </c>
      <c r="B35" s="264" t="s">
        <v>211</v>
      </c>
      <c r="C35" s="264"/>
      <c r="D35" s="264"/>
      <c r="E35" s="264"/>
      <c r="F35" s="264"/>
      <c r="G35" s="264"/>
      <c r="H35" s="264"/>
      <c r="I35" s="264"/>
      <c r="J35" s="264"/>
      <c r="K35" s="264"/>
      <c r="L35" s="265"/>
      <c r="N35" s="106"/>
    </row>
    <row r="36" spans="1:14" s="59" customFormat="1" ht="30.75" customHeight="1" x14ac:dyDescent="0.35">
      <c r="A36" s="227"/>
      <c r="B36" s="262" t="s">
        <v>339</v>
      </c>
      <c r="C36" s="262"/>
      <c r="D36" s="262"/>
      <c r="E36" s="262"/>
      <c r="F36" s="262"/>
      <c r="G36" s="262"/>
      <c r="H36" s="262"/>
      <c r="I36" s="262"/>
      <c r="J36" s="262"/>
      <c r="K36" s="262"/>
      <c r="L36" s="263"/>
      <c r="N36" s="106"/>
    </row>
    <row r="37" spans="1:14" s="59" customFormat="1" ht="29.5" customHeight="1" x14ac:dyDescent="0.35">
      <c r="A37" s="227">
        <v>2</v>
      </c>
      <c r="B37" s="264" t="s">
        <v>332</v>
      </c>
      <c r="C37" s="264"/>
      <c r="D37" s="264"/>
      <c r="E37" s="264"/>
      <c r="F37" s="264"/>
      <c r="G37" s="264"/>
      <c r="H37" s="264"/>
      <c r="I37" s="264"/>
      <c r="J37" s="264"/>
      <c r="K37" s="264"/>
      <c r="L37" s="265"/>
      <c r="N37" s="106"/>
    </row>
    <row r="38" spans="1:14" s="59" customFormat="1" ht="26.5" customHeight="1" x14ac:dyDescent="0.35">
      <c r="A38" s="227">
        <v>3</v>
      </c>
      <c r="B38" s="264" t="s">
        <v>321</v>
      </c>
      <c r="C38" s="264"/>
      <c r="D38" s="264"/>
      <c r="E38" s="264"/>
      <c r="F38" s="264"/>
      <c r="G38" s="264"/>
      <c r="H38" s="264"/>
      <c r="I38" s="264"/>
      <c r="J38" s="264"/>
      <c r="K38" s="264"/>
      <c r="L38" s="265"/>
      <c r="N38" s="106"/>
    </row>
    <row r="39" spans="1:14" s="59" customFormat="1" ht="26.5" customHeight="1" x14ac:dyDescent="0.35">
      <c r="A39" s="227">
        <v>4</v>
      </c>
      <c r="B39" s="264" t="s">
        <v>340</v>
      </c>
      <c r="C39" s="264"/>
      <c r="D39" s="264"/>
      <c r="E39" s="264"/>
      <c r="F39" s="264"/>
      <c r="G39" s="264"/>
      <c r="H39" s="264"/>
      <c r="I39" s="264"/>
      <c r="J39" s="264"/>
      <c r="K39" s="264"/>
      <c r="L39" s="265"/>
      <c r="N39" s="106"/>
    </row>
    <row r="40" spans="1:14" s="59" customFormat="1" ht="15" customHeight="1" x14ac:dyDescent="0.35">
      <c r="A40" s="227">
        <v>5</v>
      </c>
      <c r="B40" s="262" t="s">
        <v>322</v>
      </c>
      <c r="C40" s="262"/>
      <c r="D40" s="262"/>
      <c r="E40" s="262"/>
      <c r="F40" s="262"/>
      <c r="G40" s="262"/>
      <c r="H40" s="262"/>
      <c r="I40" s="262"/>
      <c r="J40" s="262"/>
      <c r="K40" s="262"/>
      <c r="L40" s="263"/>
      <c r="N40" s="106"/>
    </row>
    <row r="41" spans="1:14" s="59" customFormat="1" ht="28.5" customHeight="1" x14ac:dyDescent="0.35">
      <c r="A41" s="227">
        <v>6</v>
      </c>
      <c r="B41" s="262" t="s">
        <v>327</v>
      </c>
      <c r="C41" s="262"/>
      <c r="D41" s="262"/>
      <c r="E41" s="262"/>
      <c r="F41" s="262"/>
      <c r="G41" s="262"/>
      <c r="H41" s="262"/>
      <c r="I41" s="262"/>
      <c r="J41" s="262"/>
      <c r="K41" s="262"/>
      <c r="L41" s="263"/>
      <c r="N41" s="106"/>
    </row>
    <row r="42" spans="1:14" s="59" customFormat="1" ht="16.5" customHeight="1" x14ac:dyDescent="0.35">
      <c r="A42" s="227">
        <v>7</v>
      </c>
      <c r="B42" s="264" t="s">
        <v>323</v>
      </c>
      <c r="C42" s="264"/>
      <c r="D42" s="264"/>
      <c r="E42" s="264"/>
      <c r="F42" s="264"/>
      <c r="G42" s="264"/>
      <c r="H42" s="264"/>
      <c r="I42" s="264"/>
      <c r="J42" s="264"/>
      <c r="K42" s="264"/>
      <c r="L42" s="265"/>
    </row>
    <row r="43" spans="1:14" s="59" customFormat="1" ht="17.5" customHeight="1" x14ac:dyDescent="0.35">
      <c r="A43" s="227"/>
      <c r="B43" s="228"/>
      <c r="C43" s="228"/>
      <c r="D43" s="228"/>
      <c r="E43" s="228"/>
      <c r="F43" s="228"/>
      <c r="G43" s="228"/>
      <c r="H43" s="228"/>
      <c r="I43" s="228"/>
      <c r="J43" s="228"/>
      <c r="K43" s="228"/>
      <c r="L43" s="229"/>
    </row>
    <row r="44" spans="1:14" s="59" customFormat="1" ht="16.5" customHeight="1" x14ac:dyDescent="0.35">
      <c r="A44" s="273" t="s">
        <v>326</v>
      </c>
      <c r="B44" s="274"/>
      <c r="C44" s="274"/>
      <c r="D44" s="274"/>
      <c r="E44" s="274"/>
      <c r="F44" s="274"/>
      <c r="G44" s="274"/>
      <c r="H44" s="274"/>
      <c r="I44" s="274"/>
      <c r="J44" s="274"/>
      <c r="K44" s="274"/>
      <c r="L44" s="275"/>
    </row>
    <row r="45" spans="1:14" s="59" customFormat="1" ht="15" customHeight="1" x14ac:dyDescent="0.35">
      <c r="A45" s="230" t="s">
        <v>324</v>
      </c>
      <c r="B45" s="264" t="s">
        <v>212</v>
      </c>
      <c r="C45" s="264"/>
      <c r="D45" s="264"/>
      <c r="E45" s="264"/>
      <c r="F45" s="264"/>
      <c r="G45" s="264"/>
      <c r="H45" s="264"/>
      <c r="I45" s="264"/>
      <c r="J45" s="264"/>
      <c r="K45" s="264"/>
      <c r="L45" s="265"/>
    </row>
    <row r="46" spans="1:14" s="59" customFormat="1" ht="30.75" customHeight="1" x14ac:dyDescent="0.35">
      <c r="A46" s="231" t="s">
        <v>325</v>
      </c>
      <c r="B46" s="266" t="s">
        <v>328</v>
      </c>
      <c r="C46" s="266"/>
      <c r="D46" s="266"/>
      <c r="E46" s="266"/>
      <c r="F46" s="266"/>
      <c r="G46" s="266"/>
      <c r="H46" s="266"/>
      <c r="I46" s="266"/>
      <c r="J46" s="266"/>
      <c r="K46" s="266"/>
      <c r="L46" s="267"/>
    </row>
    <row r="47" spans="1:14" s="59" customFormat="1" ht="18" customHeight="1" x14ac:dyDescent="0.35">
      <c r="A47" s="160"/>
      <c r="B47" s="113"/>
      <c r="C47" s="113"/>
      <c r="D47" s="113"/>
      <c r="E47" s="113"/>
      <c r="F47" s="113"/>
      <c r="G47" s="113"/>
      <c r="H47" s="113"/>
      <c r="I47" s="113"/>
      <c r="J47" s="113"/>
      <c r="K47" s="113"/>
      <c r="L47" s="113"/>
    </row>
    <row r="48" spans="1:14" s="1" customFormat="1" ht="16.5" customHeight="1" x14ac:dyDescent="0.35">
      <c r="A48" s="268" t="s">
        <v>240</v>
      </c>
      <c r="B48" s="269"/>
      <c r="C48" s="269"/>
      <c r="D48" s="269"/>
      <c r="E48" s="269"/>
      <c r="F48" s="269"/>
      <c r="G48" s="269"/>
      <c r="H48" s="269"/>
      <c r="I48" s="269"/>
      <c r="J48" s="269"/>
      <c r="K48" s="269"/>
      <c r="L48" s="270"/>
    </row>
    <row r="49" spans="1:12" s="1" customFormat="1" ht="16.5" customHeight="1" x14ac:dyDescent="0.35">
      <c r="A49" s="234" t="s">
        <v>213</v>
      </c>
      <c r="B49" s="161"/>
      <c r="C49" s="161"/>
      <c r="D49" s="161"/>
      <c r="E49" s="161"/>
      <c r="F49" s="161"/>
      <c r="G49" s="161"/>
      <c r="H49" s="161"/>
      <c r="I49" s="161"/>
      <c r="J49" s="161"/>
      <c r="K49" s="161"/>
      <c r="L49" s="162"/>
    </row>
    <row r="50" spans="1:12" ht="14.25" customHeight="1" x14ac:dyDescent="0.35">
      <c r="B50" s="84"/>
      <c r="C50" s="84"/>
      <c r="D50" s="84"/>
      <c r="E50" s="84"/>
      <c r="F50" s="84"/>
      <c r="G50" s="84"/>
      <c r="H50" s="84"/>
      <c r="I50" s="84"/>
      <c r="J50" s="84"/>
      <c r="K50" s="84"/>
      <c r="L50" s="84"/>
    </row>
    <row r="51" spans="1:12" ht="16.5" customHeight="1" x14ac:dyDescent="0.35">
      <c r="A51" s="163" t="s">
        <v>166</v>
      </c>
      <c r="B51" s="164"/>
      <c r="C51" s="164"/>
      <c r="D51" s="165"/>
      <c r="E51" s="164"/>
      <c r="F51" s="164"/>
      <c r="G51" s="164"/>
      <c r="H51" s="164"/>
      <c r="I51" s="164"/>
      <c r="J51" s="164"/>
      <c r="K51" s="164"/>
      <c r="L51" s="166"/>
    </row>
    <row r="52" spans="1:12" ht="15" customHeight="1" x14ac:dyDescent="0.35">
      <c r="A52" s="167"/>
      <c r="B52" s="168" t="s">
        <v>62</v>
      </c>
      <c r="C52" s="169" t="s">
        <v>79</v>
      </c>
      <c r="D52" s="169"/>
      <c r="E52" s="169"/>
      <c r="F52" s="169"/>
      <c r="G52" s="169"/>
      <c r="H52" s="169"/>
      <c r="I52" s="169"/>
      <c r="J52" s="169"/>
      <c r="K52" s="169"/>
      <c r="L52" s="170"/>
    </row>
    <row r="53" spans="1:12" ht="14.25" customHeight="1" x14ac:dyDescent="0.35">
      <c r="A53" s="167"/>
      <c r="B53" s="168" t="s">
        <v>81</v>
      </c>
      <c r="C53" s="169" t="s">
        <v>91</v>
      </c>
      <c r="D53" s="169"/>
      <c r="E53" s="169"/>
      <c r="F53" s="169"/>
      <c r="G53" s="169"/>
      <c r="H53" s="169"/>
      <c r="I53" s="169"/>
      <c r="J53" s="169"/>
      <c r="K53" s="169"/>
      <c r="L53" s="170"/>
    </row>
    <row r="54" spans="1:12" s="58" customFormat="1" ht="33.75" customHeight="1" x14ac:dyDescent="0.35">
      <c r="A54" s="167"/>
      <c r="B54" s="168" t="s">
        <v>62</v>
      </c>
      <c r="C54" s="271" t="s">
        <v>312</v>
      </c>
      <c r="D54" s="271"/>
      <c r="E54" s="271"/>
      <c r="F54" s="271"/>
      <c r="G54" s="271"/>
      <c r="H54" s="271"/>
      <c r="I54" s="271"/>
      <c r="J54" s="271"/>
      <c r="K54" s="271"/>
      <c r="L54" s="272"/>
    </row>
    <row r="55" spans="1:12" s="58" customFormat="1" ht="33.75" customHeight="1" x14ac:dyDescent="0.35">
      <c r="A55" s="167"/>
      <c r="B55" s="168" t="s">
        <v>313</v>
      </c>
      <c r="C55" s="271" t="s">
        <v>314</v>
      </c>
      <c r="D55" s="271"/>
      <c r="E55" s="271"/>
      <c r="F55" s="271"/>
      <c r="G55" s="271"/>
      <c r="H55" s="271"/>
      <c r="I55" s="271"/>
      <c r="J55" s="271"/>
      <c r="K55" s="271"/>
      <c r="L55" s="272"/>
    </row>
    <row r="56" spans="1:12" s="58" customFormat="1" ht="33.75" customHeight="1" x14ac:dyDescent="0.35">
      <c r="A56" s="167"/>
      <c r="B56" s="168" t="s">
        <v>382</v>
      </c>
      <c r="C56" s="271" t="s">
        <v>383</v>
      </c>
      <c r="D56" s="271"/>
      <c r="E56" s="271"/>
      <c r="F56" s="271"/>
      <c r="G56" s="271"/>
      <c r="H56" s="271"/>
      <c r="I56" s="271"/>
      <c r="J56" s="271"/>
      <c r="K56" s="271"/>
      <c r="L56" s="272"/>
    </row>
    <row r="57" spans="1:12" ht="30.75" customHeight="1" x14ac:dyDescent="0.35">
      <c r="A57" s="167"/>
      <c r="B57" s="168" t="s">
        <v>138</v>
      </c>
      <c r="C57" s="271" t="s">
        <v>139</v>
      </c>
      <c r="D57" s="271"/>
      <c r="E57" s="271"/>
      <c r="F57" s="271"/>
      <c r="G57" s="271"/>
      <c r="H57" s="271"/>
      <c r="I57" s="271"/>
      <c r="J57" s="271"/>
      <c r="K57" s="271"/>
      <c r="L57" s="272"/>
    </row>
    <row r="58" spans="1:12" ht="30.75" customHeight="1" x14ac:dyDescent="0.35">
      <c r="A58" s="167"/>
      <c r="B58" s="168" t="s">
        <v>238</v>
      </c>
      <c r="C58" s="271" t="s">
        <v>239</v>
      </c>
      <c r="D58" s="271"/>
      <c r="E58" s="271"/>
      <c r="F58" s="271"/>
      <c r="G58" s="271"/>
      <c r="H58" s="271"/>
      <c r="I58" s="271"/>
      <c r="J58" s="271"/>
      <c r="K58" s="271"/>
      <c r="L58" s="272"/>
    </row>
    <row r="59" spans="1:12" x14ac:dyDescent="0.35">
      <c r="A59" s="167"/>
      <c r="B59" s="168" t="s">
        <v>203</v>
      </c>
      <c r="C59" s="169" t="s">
        <v>315</v>
      </c>
      <c r="D59" s="169"/>
      <c r="E59" s="169"/>
      <c r="F59" s="169"/>
      <c r="G59" s="169"/>
      <c r="H59" s="169"/>
      <c r="I59" s="169"/>
      <c r="J59" s="169"/>
      <c r="K59" s="169"/>
      <c r="L59" s="170"/>
    </row>
    <row r="60" spans="1:12" ht="14.5" customHeight="1" x14ac:dyDescent="0.35">
      <c r="A60" s="167"/>
      <c r="B60" s="168" t="s">
        <v>63</v>
      </c>
      <c r="C60" s="271" t="s">
        <v>316</v>
      </c>
      <c r="D60" s="271"/>
      <c r="E60" s="271"/>
      <c r="F60" s="271"/>
      <c r="G60" s="271"/>
      <c r="H60" s="271"/>
      <c r="I60" s="271"/>
      <c r="J60" s="271"/>
      <c r="K60" s="271"/>
      <c r="L60" s="272"/>
    </row>
    <row r="61" spans="1:12" x14ac:dyDescent="0.35">
      <c r="A61" s="167"/>
      <c r="B61" s="168" t="s">
        <v>75</v>
      </c>
      <c r="C61" s="169" t="s">
        <v>76</v>
      </c>
      <c r="D61" s="169"/>
      <c r="E61" s="169"/>
      <c r="F61" s="169"/>
      <c r="G61" s="169"/>
      <c r="H61" s="169"/>
      <c r="I61" s="169"/>
      <c r="J61" s="169"/>
      <c r="K61" s="169"/>
      <c r="L61" s="170"/>
    </row>
    <row r="62" spans="1:12" x14ac:dyDescent="0.35">
      <c r="A62" s="171"/>
      <c r="B62" s="172" t="s">
        <v>159</v>
      </c>
      <c r="C62" s="173" t="s">
        <v>160</v>
      </c>
      <c r="D62" s="173"/>
      <c r="E62" s="173"/>
      <c r="F62" s="173"/>
      <c r="G62" s="173"/>
      <c r="H62" s="173"/>
      <c r="I62" s="173"/>
      <c r="J62" s="173"/>
      <c r="K62" s="173"/>
      <c r="L62" s="174"/>
    </row>
    <row r="64" spans="1:12" x14ac:dyDescent="0.35">
      <c r="A64" s="1" t="s">
        <v>92</v>
      </c>
    </row>
    <row r="65" spans="1:12" x14ac:dyDescent="0.35">
      <c r="A65" s="1" t="s">
        <v>93</v>
      </c>
    </row>
    <row r="66" spans="1:12" x14ac:dyDescent="0.35">
      <c r="A66" t="s">
        <v>94</v>
      </c>
    </row>
    <row r="67" spans="1:12" x14ac:dyDescent="0.35">
      <c r="A67" s="45" t="s">
        <v>95</v>
      </c>
    </row>
    <row r="68" spans="1:12" x14ac:dyDescent="0.35">
      <c r="A68" s="45" t="s">
        <v>96</v>
      </c>
    </row>
    <row r="69" spans="1:12" x14ac:dyDescent="0.35">
      <c r="A69" s="45"/>
    </row>
    <row r="70" spans="1:12" x14ac:dyDescent="0.35">
      <c r="A70" s="247" t="s">
        <v>396</v>
      </c>
    </row>
    <row r="71" spans="1:12" x14ac:dyDescent="0.35">
      <c r="A71" s="246" t="s">
        <v>397</v>
      </c>
    </row>
    <row r="72" spans="1:12" x14ac:dyDescent="0.35">
      <c r="A72" s="45" t="s">
        <v>399</v>
      </c>
    </row>
    <row r="73" spans="1:12" x14ac:dyDescent="0.35">
      <c r="A73" s="45"/>
    </row>
    <row r="74" spans="1:12" x14ac:dyDescent="0.35">
      <c r="A74" s="1" t="s">
        <v>201</v>
      </c>
    </row>
    <row r="75" spans="1:12" x14ac:dyDescent="0.35">
      <c r="A75" s="45" t="s">
        <v>317</v>
      </c>
    </row>
    <row r="77" spans="1:12" x14ac:dyDescent="0.35">
      <c r="A77" s="1" t="s">
        <v>23</v>
      </c>
    </row>
    <row r="78" spans="1:12" ht="29.15" customHeight="1" x14ac:dyDescent="0.35">
      <c r="A78" s="261" t="s">
        <v>398</v>
      </c>
      <c r="B78" s="261"/>
      <c r="C78" s="261"/>
      <c r="D78" s="261"/>
      <c r="E78" s="261"/>
      <c r="F78" s="261"/>
      <c r="G78" s="261"/>
      <c r="H78" s="261"/>
      <c r="I78" s="261"/>
      <c r="J78" s="261"/>
      <c r="K78" s="261"/>
      <c r="L78" s="261"/>
    </row>
    <row r="83" ht="16" customHeight="1" x14ac:dyDescent="0.35"/>
    <row r="84" ht="29.25" customHeight="1" x14ac:dyDescent="0.35"/>
  </sheetData>
  <mergeCells count="47">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78:L78"/>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5" r:id="rId3" xr:uid="{A0F8DE06-D9FC-495F-9A01-AA199CB82365}"/>
    <hyperlink ref="A48:L48" r:id="rId4" display="LETS START (visual directions as pdf)" xr:uid="{0D075873-7EBB-4309-B00A-6A62EA192A0C}"/>
    <hyperlink ref="A49" r:id="rId5" xr:uid="{25154A32-BA44-496E-9945-086DE0980DBD}"/>
    <hyperlink ref="A72" r:id="rId6" xr:uid="{AA792CE4-4071-4CE8-87C6-993A0BA6C6A5}"/>
    <hyperlink ref="E17" r:id="rId7" xr:uid="{218FEB9D-6782-4420-9DCE-4D6F20EDE6D5}"/>
  </hyperlinks>
  <pageMargins left="0.7" right="0.7" top="0.75" bottom="0.75" header="0.3" footer="0.3"/>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70</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1">
        <v>60736</v>
      </c>
      <c r="C9" s="6">
        <f t="shared" si="0"/>
        <v>2095736</v>
      </c>
      <c r="D9" s="6">
        <v>30563.999999899999</v>
      </c>
      <c r="E9" s="2">
        <v>5</v>
      </c>
      <c r="H9" s="8">
        <f t="shared" si="1"/>
        <v>897</v>
      </c>
    </row>
    <row r="10" spans="1:13" x14ac:dyDescent="0.35">
      <c r="A10" s="5">
        <v>897.5</v>
      </c>
      <c r="B10" s="21">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59"/>
    <col min="3" max="3" width="3.7265625" style="59" customWidth="1"/>
    <col min="4" max="4" width="46.54296875" style="59" customWidth="1"/>
  </cols>
  <sheetData>
    <row r="1" spans="1:4" x14ac:dyDescent="0.35">
      <c r="A1" s="59" t="s">
        <v>158</v>
      </c>
    </row>
    <row r="3" spans="1:4" s="1" customFormat="1" x14ac:dyDescent="0.35">
      <c r="A3" s="342" t="s">
        <v>156</v>
      </c>
      <c r="B3" s="342"/>
      <c r="C3" s="342"/>
      <c r="D3" s="128" t="s">
        <v>155</v>
      </c>
    </row>
    <row r="4" spans="1:4" ht="30" customHeight="1" x14ac:dyDescent="0.35">
      <c r="A4" s="343" t="s">
        <v>152</v>
      </c>
      <c r="B4" s="343"/>
      <c r="C4" s="343"/>
      <c r="D4" s="175" t="s">
        <v>222</v>
      </c>
    </row>
    <row r="5" spans="1:4" ht="43.5" x14ac:dyDescent="0.35">
      <c r="A5" s="347" t="s">
        <v>223</v>
      </c>
      <c r="B5" s="344"/>
      <c r="C5" s="344"/>
      <c r="D5" s="176" t="s">
        <v>241</v>
      </c>
    </row>
    <row r="6" spans="1:4" ht="57.5" customHeight="1" x14ac:dyDescent="0.35">
      <c r="A6" s="345" t="s">
        <v>224</v>
      </c>
      <c r="B6" s="345"/>
      <c r="C6" s="345"/>
      <c r="D6" s="177" t="s">
        <v>225</v>
      </c>
    </row>
    <row r="7" spans="1:4" ht="29" x14ac:dyDescent="0.35">
      <c r="A7" s="346" t="s">
        <v>21</v>
      </c>
      <c r="B7" s="346"/>
      <c r="C7" s="346"/>
      <c r="D7" s="178" t="s">
        <v>226</v>
      </c>
    </row>
    <row r="11" spans="1:4" x14ac:dyDescent="0.35">
      <c r="A11" s="343" t="s">
        <v>152</v>
      </c>
      <c r="B11" s="343"/>
      <c r="C11" s="343"/>
    </row>
    <row r="12" spans="1:4" x14ac:dyDescent="0.35">
      <c r="A12" s="344" t="s">
        <v>153</v>
      </c>
      <c r="B12" s="344"/>
      <c r="C12" s="344"/>
    </row>
    <row r="13" spans="1:4" x14ac:dyDescent="0.35">
      <c r="A13" s="345" t="s">
        <v>154</v>
      </c>
      <c r="B13" s="345"/>
      <c r="C13" s="345"/>
    </row>
    <row r="14" spans="1:4" x14ac:dyDescent="0.35">
      <c r="A14" s="346" t="s">
        <v>21</v>
      </c>
      <c r="B14" s="346"/>
      <c r="C14" s="34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zoomScale="150" zoomScaleNormal="150" workbookViewId="0">
      <selection activeCell="K3" sqref="K3"/>
    </sheetView>
  </sheetViews>
  <sheetFormatPr defaultRowHeight="14.5" x14ac:dyDescent="0.35"/>
  <cols>
    <col min="1" max="1" width="12.54296875" style="39" customWidth="1"/>
    <col min="2" max="2" width="7.81640625" style="150" customWidth="1"/>
    <col min="3" max="3" width="29.81640625" style="38" customWidth="1"/>
    <col min="4" max="4" width="7.26953125" style="41" customWidth="1"/>
    <col min="5" max="5" width="12.453125" style="41" customWidth="1"/>
    <col min="6" max="6" width="15.1796875" style="41" customWidth="1"/>
    <col min="7" max="7" width="12" style="39" customWidth="1"/>
    <col min="9" max="9" width="32.453125" style="54" customWidth="1"/>
    <col min="10" max="10" width="12.453125" style="54" customWidth="1"/>
    <col min="11" max="11" width="11" style="109" customWidth="1"/>
  </cols>
  <sheetData>
    <row r="1" spans="1:11" s="35" customFormat="1" ht="30.65" customHeight="1" x14ac:dyDescent="0.35">
      <c r="A1" s="36" t="s">
        <v>82</v>
      </c>
      <c r="B1" s="148" t="s">
        <v>88</v>
      </c>
      <c r="C1" s="37" t="s">
        <v>83</v>
      </c>
      <c r="D1" s="36" t="s">
        <v>286</v>
      </c>
      <c r="E1" s="36" t="s">
        <v>85</v>
      </c>
      <c r="F1" s="36" t="s">
        <v>84</v>
      </c>
      <c r="G1" s="36" t="s">
        <v>86</v>
      </c>
      <c r="I1" s="107" t="s">
        <v>97</v>
      </c>
      <c r="J1" s="107" t="s">
        <v>84</v>
      </c>
      <c r="K1" s="108" t="s">
        <v>86</v>
      </c>
    </row>
    <row r="2" spans="1:11" ht="43.5" x14ac:dyDescent="0.35">
      <c r="A2" s="57">
        <v>45413</v>
      </c>
      <c r="B2" s="149" t="s">
        <v>284</v>
      </c>
      <c r="C2" s="56" t="s">
        <v>288</v>
      </c>
      <c r="D2" s="55">
        <v>0.3</v>
      </c>
      <c r="E2" s="55" t="s">
        <v>285</v>
      </c>
      <c r="F2" s="55" t="s">
        <v>285</v>
      </c>
      <c r="G2" s="57"/>
      <c r="I2" s="38" t="s">
        <v>404</v>
      </c>
      <c r="J2" s="38" t="s">
        <v>405</v>
      </c>
      <c r="K2" s="40">
        <v>45678</v>
      </c>
    </row>
    <row r="3" spans="1:11" ht="43.5" x14ac:dyDescent="0.35">
      <c r="A3" s="57">
        <v>45604</v>
      </c>
      <c r="B3" s="149" t="s">
        <v>287</v>
      </c>
      <c r="C3" s="56" t="s">
        <v>318</v>
      </c>
      <c r="D3" s="55">
        <v>4</v>
      </c>
      <c r="E3" s="55" t="s">
        <v>285</v>
      </c>
      <c r="F3" s="55" t="s">
        <v>285</v>
      </c>
      <c r="G3" s="57"/>
      <c r="I3" s="38"/>
      <c r="J3" s="38"/>
      <c r="K3" s="39"/>
    </row>
    <row r="4" spans="1:11" x14ac:dyDescent="0.35">
      <c r="A4" s="57">
        <v>45611</v>
      </c>
      <c r="B4" s="149" t="s">
        <v>319</v>
      </c>
      <c r="C4" s="56" t="s">
        <v>320</v>
      </c>
      <c r="D4" s="55">
        <v>0.3</v>
      </c>
      <c r="E4" s="55" t="s">
        <v>285</v>
      </c>
      <c r="F4" s="55" t="s">
        <v>285</v>
      </c>
      <c r="G4" s="57"/>
      <c r="I4" s="38"/>
      <c r="J4" s="38"/>
      <c r="K4" s="40"/>
    </row>
    <row r="5" spans="1:11" ht="40.5" customHeight="1" x14ac:dyDescent="0.35">
      <c r="A5" s="57">
        <v>45622</v>
      </c>
      <c r="B5" s="149" t="s">
        <v>346</v>
      </c>
      <c r="C5" s="56" t="s">
        <v>347</v>
      </c>
      <c r="D5" s="55">
        <v>4</v>
      </c>
      <c r="E5" s="55" t="s">
        <v>285</v>
      </c>
      <c r="F5" s="55" t="s">
        <v>285</v>
      </c>
      <c r="G5" s="57"/>
      <c r="I5" s="38"/>
      <c r="J5" s="38"/>
      <c r="K5" s="40"/>
    </row>
    <row r="6" spans="1:11" ht="38.5" customHeight="1" x14ac:dyDescent="0.35">
      <c r="A6" s="57">
        <v>45666</v>
      </c>
      <c r="B6" s="149" t="s">
        <v>355</v>
      </c>
      <c r="C6" s="56" t="s">
        <v>356</v>
      </c>
      <c r="D6" s="55">
        <v>3</v>
      </c>
      <c r="E6" s="55" t="s">
        <v>285</v>
      </c>
      <c r="F6" s="55" t="s">
        <v>285</v>
      </c>
      <c r="G6" s="57"/>
      <c r="I6" s="38"/>
      <c r="J6" s="38"/>
      <c r="K6" s="39"/>
    </row>
    <row r="7" spans="1:11" ht="58" x14ac:dyDescent="0.35">
      <c r="A7" s="57">
        <v>45670</v>
      </c>
      <c r="B7" s="149" t="s">
        <v>360</v>
      </c>
      <c r="C7" s="38" t="s">
        <v>357</v>
      </c>
      <c r="D7" s="55">
        <v>0.5</v>
      </c>
      <c r="E7" s="55" t="s">
        <v>285</v>
      </c>
      <c r="F7" s="55" t="s">
        <v>285</v>
      </c>
      <c r="G7" s="57"/>
      <c r="I7" s="38"/>
      <c r="J7" s="41"/>
      <c r="K7" s="40"/>
    </row>
    <row r="8" spans="1:11" ht="29" x14ac:dyDescent="0.35">
      <c r="A8" s="57">
        <v>45671</v>
      </c>
      <c r="B8" s="149" t="s">
        <v>387</v>
      </c>
      <c r="C8" s="56" t="s">
        <v>388</v>
      </c>
      <c r="D8" s="55">
        <v>0.5</v>
      </c>
      <c r="E8" s="55" t="s">
        <v>285</v>
      </c>
      <c r="F8" s="55" t="s">
        <v>285</v>
      </c>
      <c r="G8" s="57"/>
      <c r="I8" s="38"/>
      <c r="J8" s="41"/>
      <c r="K8" s="40"/>
    </row>
    <row r="9" spans="1:11" ht="29" x14ac:dyDescent="0.35">
      <c r="A9" s="57">
        <v>45681</v>
      </c>
      <c r="B9" s="149" t="s">
        <v>402</v>
      </c>
      <c r="C9" s="56" t="s">
        <v>403</v>
      </c>
      <c r="D9" s="55">
        <v>0.25</v>
      </c>
      <c r="E9" s="55" t="s">
        <v>285</v>
      </c>
      <c r="F9" s="55" t="s">
        <v>285</v>
      </c>
      <c r="G9" s="57"/>
      <c r="I9" s="38"/>
      <c r="J9" s="38"/>
      <c r="K9" s="40"/>
    </row>
    <row r="10" spans="1:11" x14ac:dyDescent="0.35">
      <c r="A10" s="57"/>
      <c r="B10" s="149"/>
      <c r="C10" s="56"/>
      <c r="D10" s="55"/>
      <c r="E10" s="55"/>
      <c r="F10" s="55"/>
      <c r="G10" s="57"/>
      <c r="I10" s="38"/>
      <c r="J10" s="41"/>
      <c r="K10" s="40"/>
    </row>
    <row r="11" spans="1:11" x14ac:dyDescent="0.35">
      <c r="A11" s="57"/>
      <c r="B11" s="149"/>
      <c r="C11" s="56"/>
      <c r="D11" s="55"/>
      <c r="E11" s="55"/>
      <c r="F11" s="55"/>
      <c r="G11" s="57"/>
      <c r="I11" s="38"/>
      <c r="J11" s="41"/>
      <c r="K11" s="40"/>
    </row>
    <row r="12" spans="1:11" x14ac:dyDescent="0.35">
      <c r="A12" s="57"/>
      <c r="B12" s="149"/>
      <c r="C12" s="56"/>
      <c r="D12" s="55"/>
      <c r="E12" s="55"/>
      <c r="F12" s="55"/>
      <c r="G12" s="57"/>
      <c r="I12" s="38"/>
      <c r="J12" s="41"/>
      <c r="K12" s="40"/>
    </row>
    <row r="13" spans="1:11" x14ac:dyDescent="0.35">
      <c r="A13" s="57"/>
      <c r="B13" s="149"/>
      <c r="C13" s="56"/>
      <c r="D13" s="55"/>
      <c r="E13" s="55"/>
      <c r="F13" s="55"/>
      <c r="G13" s="57"/>
      <c r="I13" s="38"/>
      <c r="J13" s="38"/>
      <c r="K13" s="39"/>
    </row>
    <row r="14" spans="1:11" x14ac:dyDescent="0.35">
      <c r="A14" s="57"/>
      <c r="B14" s="149"/>
      <c r="C14" s="56"/>
      <c r="D14" s="55"/>
      <c r="E14" s="55"/>
      <c r="F14" s="55"/>
      <c r="G14" s="57"/>
      <c r="I14" s="38"/>
      <c r="J14" s="38"/>
      <c r="K14" s="39"/>
    </row>
    <row r="15" spans="1:11" x14ac:dyDescent="0.35">
      <c r="A15" s="57"/>
      <c r="B15" s="149"/>
      <c r="C15" s="56"/>
      <c r="D15" s="55"/>
      <c r="E15" s="55"/>
      <c r="F15" s="55"/>
      <c r="G15" s="57"/>
      <c r="I15" s="38"/>
      <c r="J15" s="38"/>
      <c r="K15" s="39"/>
    </row>
    <row r="16" spans="1:11" x14ac:dyDescent="0.35">
      <c r="A16" s="57"/>
      <c r="B16" s="149"/>
      <c r="C16" s="56"/>
      <c r="D16" s="55"/>
      <c r="E16" s="55"/>
      <c r="F16" s="55"/>
      <c r="G16" s="57"/>
      <c r="I16" s="38"/>
      <c r="J16" s="38"/>
      <c r="K16" s="39"/>
    </row>
    <row r="17" spans="1:7" x14ac:dyDescent="0.35">
      <c r="A17" s="57"/>
      <c r="B17" s="149"/>
      <c r="C17" s="56"/>
      <c r="D17" s="55"/>
      <c r="E17" s="55"/>
      <c r="F17" s="55"/>
      <c r="G17" s="57"/>
    </row>
    <row r="18" spans="1:7" x14ac:dyDescent="0.35">
      <c r="A18" s="57"/>
      <c r="B18" s="149"/>
      <c r="C18" s="56"/>
      <c r="D18" s="55"/>
      <c r="E18" s="55"/>
      <c r="F18" s="55"/>
      <c r="G18" s="57"/>
    </row>
    <row r="19" spans="1:7" x14ac:dyDescent="0.35">
      <c r="A19" s="57"/>
      <c r="B19" s="55"/>
      <c r="C19" s="56"/>
      <c r="D19" s="55"/>
      <c r="E19" s="55"/>
      <c r="F19" s="55"/>
      <c r="G19" s="57"/>
    </row>
    <row r="20" spans="1:7" x14ac:dyDescent="0.35">
      <c r="A20" s="57"/>
      <c r="B20" s="55"/>
      <c r="C20" s="56"/>
      <c r="D20" s="55"/>
      <c r="E20" s="55"/>
      <c r="F20" s="55"/>
      <c r="G20" s="57"/>
    </row>
    <row r="21" spans="1:7" x14ac:dyDescent="0.35">
      <c r="A21" s="57"/>
      <c r="B21" s="55"/>
      <c r="C21" s="56"/>
      <c r="D21" s="55"/>
      <c r="E21" s="55"/>
      <c r="F21" s="55"/>
      <c r="G21" s="57"/>
    </row>
    <row r="22" spans="1:7" x14ac:dyDescent="0.35">
      <c r="A22" s="57"/>
      <c r="B22" s="55"/>
      <c r="C22" s="56"/>
      <c r="D22" s="55"/>
      <c r="E22" s="55"/>
      <c r="F22" s="55"/>
      <c r="G22" s="57"/>
    </row>
    <row r="23" spans="1:7" x14ac:dyDescent="0.35">
      <c r="A23" s="57"/>
      <c r="B23" s="55"/>
      <c r="C23" s="56"/>
      <c r="D23" s="55"/>
      <c r="E23" s="55"/>
      <c r="F23" s="55"/>
      <c r="G23" s="57"/>
    </row>
    <row r="24" spans="1:7" x14ac:dyDescent="0.35">
      <c r="A24" s="57"/>
      <c r="B24" s="55"/>
      <c r="C24" s="56"/>
      <c r="D24" s="55"/>
      <c r="E24" s="55"/>
      <c r="F24" s="55"/>
      <c r="G24" s="57"/>
    </row>
    <row r="25" spans="1:7" x14ac:dyDescent="0.35">
      <c r="A25" s="57"/>
      <c r="B25" s="55"/>
      <c r="C25" s="56"/>
      <c r="D25" s="55"/>
      <c r="E25" s="55"/>
      <c r="F25" s="55"/>
      <c r="G25" s="57"/>
    </row>
    <row r="26" spans="1:7" x14ac:dyDescent="0.35">
      <c r="A26" s="57"/>
      <c r="B26" s="55"/>
      <c r="C26" s="56"/>
      <c r="D26" s="55"/>
      <c r="E26" s="55"/>
      <c r="F26" s="55"/>
      <c r="G26" s="57"/>
    </row>
    <row r="27" spans="1:7" x14ac:dyDescent="0.35">
      <c r="A27" s="57"/>
      <c r="B27" s="55"/>
      <c r="E27" s="55"/>
      <c r="F27" s="55"/>
      <c r="G27" s="57"/>
    </row>
    <row r="28" spans="1:7" x14ac:dyDescent="0.35">
      <c r="A28" s="57"/>
      <c r="B28" s="55"/>
      <c r="C28" s="56"/>
      <c r="D28" s="55"/>
      <c r="E28" s="55"/>
      <c r="F28" s="55"/>
      <c r="G28" s="57"/>
    </row>
    <row r="29" spans="1:7" x14ac:dyDescent="0.35">
      <c r="A29" s="57"/>
      <c r="B29" s="55"/>
      <c r="C29" s="56"/>
      <c r="D29" s="55"/>
      <c r="E29" s="55"/>
      <c r="F29" s="55"/>
      <c r="G29" s="57"/>
    </row>
    <row r="30" spans="1:7" x14ac:dyDescent="0.35">
      <c r="A30" s="55"/>
      <c r="B30" s="55"/>
      <c r="E30" s="55"/>
      <c r="F30" s="55"/>
      <c r="G30" s="57"/>
    </row>
    <row r="31" spans="1:7" x14ac:dyDescent="0.35">
      <c r="A31" s="55"/>
      <c r="B31" s="55"/>
      <c r="E31" s="55"/>
      <c r="F31" s="55"/>
      <c r="G31" s="57"/>
    </row>
    <row r="32" spans="1:7" x14ac:dyDescent="0.35">
      <c r="A32" s="57"/>
      <c r="B32" s="55"/>
      <c r="C32" s="56"/>
      <c r="D32" s="55"/>
      <c r="E32" s="55"/>
      <c r="F32" s="55"/>
      <c r="G32" s="57"/>
    </row>
    <row r="33" spans="1:7" x14ac:dyDescent="0.35">
      <c r="A33" s="40"/>
      <c r="B33" s="39"/>
      <c r="G33" s="40"/>
    </row>
    <row r="34" spans="1:7" x14ac:dyDescent="0.35">
      <c r="A34" s="40"/>
      <c r="B34" s="39"/>
      <c r="G34" s="40"/>
    </row>
    <row r="35" spans="1:7" x14ac:dyDescent="0.35">
      <c r="A35" s="40"/>
      <c r="B35" s="39"/>
      <c r="G35" s="40"/>
    </row>
    <row r="36" spans="1:7" x14ac:dyDescent="0.35">
      <c r="A36" s="40"/>
      <c r="B36" s="39"/>
      <c r="G36" s="40"/>
    </row>
    <row r="37" spans="1:7" x14ac:dyDescent="0.35">
      <c r="A37" s="40"/>
      <c r="B37" s="39"/>
      <c r="G37" s="40"/>
    </row>
    <row r="38" spans="1:7" x14ac:dyDescent="0.35">
      <c r="A38" s="40"/>
      <c r="B38" s="39"/>
      <c r="G38" s="40"/>
    </row>
    <row r="39" spans="1:7" x14ac:dyDescent="0.35">
      <c r="A39" s="40"/>
      <c r="B39" s="39"/>
      <c r="G39" s="40"/>
    </row>
    <row r="40" spans="1:7" x14ac:dyDescent="0.35">
      <c r="A40" s="40"/>
      <c r="B40" s="39"/>
      <c r="G40" s="40"/>
    </row>
    <row r="41" spans="1:7" x14ac:dyDescent="0.35">
      <c r="A41" s="40"/>
      <c r="B41" s="39"/>
      <c r="G41" s="40"/>
    </row>
    <row r="42" spans="1:7" x14ac:dyDescent="0.35">
      <c r="A42" s="40"/>
      <c r="B42" s="39"/>
      <c r="G42" s="40"/>
    </row>
    <row r="43" spans="1:7" x14ac:dyDescent="0.35">
      <c r="A43" s="40"/>
      <c r="B43" s="39"/>
      <c r="G43" s="40"/>
    </row>
    <row r="44" spans="1:7" x14ac:dyDescent="0.35">
      <c r="A44" s="40"/>
      <c r="B44" s="39"/>
      <c r="G44" s="40"/>
    </row>
    <row r="45" spans="1:7" x14ac:dyDescent="0.35">
      <c r="A45" s="40"/>
      <c r="B45" s="39"/>
      <c r="G45" s="40"/>
    </row>
    <row r="46" spans="1:7" x14ac:dyDescent="0.35">
      <c r="A46" s="40"/>
      <c r="B46" s="39"/>
      <c r="G46" s="40"/>
    </row>
    <row r="47" spans="1:7" x14ac:dyDescent="0.35">
      <c r="A47" s="40"/>
      <c r="B47" s="42"/>
      <c r="G47" s="40"/>
    </row>
    <row r="48" spans="1:7" x14ac:dyDescent="0.35">
      <c r="A48" s="40"/>
      <c r="B48" s="42"/>
      <c r="G48"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39"/>
  <sheetViews>
    <sheetView tabSelected="1" zoomScale="150" zoomScaleNormal="150" workbookViewId="0">
      <selection activeCell="N109" sqref="N109"/>
    </sheetView>
  </sheetViews>
  <sheetFormatPr defaultRowHeight="14.5" x14ac:dyDescent="0.35"/>
  <cols>
    <col min="1" max="1" width="39.54296875" customWidth="1"/>
    <col min="2" max="2" width="10.81640625"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42"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21" x14ac:dyDescent="0.5">
      <c r="A1" s="305" t="str">
        <f>'ReadMe-Directions'!A1</f>
        <v>Immersive Model for Lake Mead based on the Principle of Divide Reservoir Inflow</v>
      </c>
      <c r="B1" s="305"/>
      <c r="C1" s="305"/>
      <c r="D1" s="305"/>
      <c r="E1" s="305"/>
      <c r="F1" s="305"/>
      <c r="G1" s="305"/>
    </row>
    <row r="2" spans="1:14" x14ac:dyDescent="0.35">
      <c r="A2" s="1" t="s">
        <v>218</v>
      </c>
      <c r="B2" s="1"/>
    </row>
    <row r="3" spans="1:14" ht="32.15" customHeight="1" x14ac:dyDescent="0.35">
      <c r="A3" s="313" t="s">
        <v>230</v>
      </c>
      <c r="B3" s="313"/>
      <c r="C3" s="313"/>
      <c r="D3" s="313"/>
      <c r="E3" s="313"/>
      <c r="F3" s="313"/>
      <c r="G3" s="313"/>
      <c r="H3" s="84"/>
      <c r="I3" s="84"/>
      <c r="J3" s="84"/>
      <c r="K3" s="84"/>
      <c r="N3" s="137" t="s">
        <v>196</v>
      </c>
    </row>
    <row r="4" spans="1:14" x14ac:dyDescent="0.35">
      <c r="A4" s="127" t="s">
        <v>308</v>
      </c>
      <c r="B4" s="127" t="s">
        <v>19</v>
      </c>
      <c r="C4" s="314" t="s">
        <v>309</v>
      </c>
      <c r="D4" s="315"/>
      <c r="E4" s="315"/>
      <c r="F4" s="315"/>
      <c r="G4" s="316"/>
      <c r="N4" s="141" t="s">
        <v>384</v>
      </c>
    </row>
    <row r="5" spans="1:14" x14ac:dyDescent="0.35">
      <c r="A5" s="90" t="s">
        <v>283</v>
      </c>
      <c r="B5" s="114"/>
      <c r="C5" s="317"/>
      <c r="D5" s="312"/>
      <c r="E5" s="312"/>
      <c r="F5" s="312"/>
      <c r="G5" s="312"/>
      <c r="N5" s="141"/>
    </row>
    <row r="6" spans="1:14" x14ac:dyDescent="0.35">
      <c r="A6" s="90" t="s">
        <v>242</v>
      </c>
      <c r="B6" s="114"/>
      <c r="C6" s="317"/>
      <c r="D6" s="312"/>
      <c r="E6" s="312"/>
      <c r="F6" s="312"/>
      <c r="G6" s="312"/>
      <c r="N6" s="142"/>
    </row>
    <row r="7" spans="1:14" x14ac:dyDescent="0.35">
      <c r="A7" s="90" t="s">
        <v>243</v>
      </c>
      <c r="B7" s="114"/>
      <c r="C7" s="317"/>
      <c r="D7" s="312"/>
      <c r="E7" s="312"/>
      <c r="F7" s="312"/>
      <c r="G7" s="312"/>
      <c r="N7" s="142"/>
    </row>
    <row r="8" spans="1:14" x14ac:dyDescent="0.35">
      <c r="A8" s="114" t="s">
        <v>244</v>
      </c>
      <c r="B8" s="90"/>
      <c r="C8" s="312"/>
      <c r="D8" s="312"/>
      <c r="E8" s="312"/>
      <c r="F8" s="312"/>
      <c r="G8" s="312"/>
      <c r="N8" s="142"/>
    </row>
    <row r="9" spans="1:14" x14ac:dyDescent="0.35">
      <c r="A9" s="114" t="s">
        <v>18</v>
      </c>
      <c r="B9" s="90"/>
      <c r="C9" s="318"/>
      <c r="D9" s="318"/>
      <c r="E9" s="318"/>
      <c r="F9" s="318"/>
      <c r="G9" s="318"/>
      <c r="N9" s="142"/>
    </row>
    <row r="10" spans="1:14" x14ac:dyDescent="0.35">
      <c r="A10" s="90" t="s">
        <v>331</v>
      </c>
      <c r="B10" s="90"/>
      <c r="C10" s="312"/>
      <c r="D10" s="312"/>
      <c r="E10" s="312"/>
      <c r="F10" s="312"/>
      <c r="G10" s="312"/>
      <c r="N10" s="142"/>
    </row>
    <row r="11" spans="1:14" x14ac:dyDescent="0.35">
      <c r="A11" s="13"/>
      <c r="B11" s="2"/>
      <c r="C11"/>
      <c r="N11" s="142"/>
    </row>
    <row r="12" spans="1:14" x14ac:dyDescent="0.35">
      <c r="A12" s="15" t="s">
        <v>150</v>
      </c>
      <c r="B12" s="319" t="s">
        <v>152</v>
      </c>
      <c r="C12" s="320"/>
      <c r="D12" s="321"/>
      <c r="N12" s="141" t="s">
        <v>169</v>
      </c>
    </row>
    <row r="13" spans="1:14" x14ac:dyDescent="0.35">
      <c r="B13" s="322" t="s">
        <v>229</v>
      </c>
      <c r="C13" s="323"/>
      <c r="D13" s="324"/>
    </row>
    <row r="14" spans="1:14" x14ac:dyDescent="0.35">
      <c r="B14" s="306" t="s">
        <v>224</v>
      </c>
      <c r="C14" s="307"/>
      <c r="D14" s="308"/>
      <c r="F14">
        <f>4.5/7.2</f>
        <v>0.625</v>
      </c>
      <c r="N14" s="142"/>
    </row>
    <row r="15" spans="1:14" x14ac:dyDescent="0.35">
      <c r="B15" s="309" t="s">
        <v>21</v>
      </c>
      <c r="C15" s="310"/>
      <c r="D15" s="311"/>
      <c r="F15">
        <f>F14*0.4</f>
        <v>0.25</v>
      </c>
      <c r="N15" s="142"/>
    </row>
    <row r="16" spans="1:14" x14ac:dyDescent="0.35">
      <c r="N16" s="142"/>
    </row>
    <row r="17" spans="1:14" ht="29" x14ac:dyDescent="0.35">
      <c r="A17" s="1" t="s">
        <v>298</v>
      </c>
      <c r="B17" s="226" t="s">
        <v>245</v>
      </c>
      <c r="C17" s="226" t="s">
        <v>246</v>
      </c>
      <c r="N17" s="141" t="s">
        <v>170</v>
      </c>
    </row>
    <row r="18" spans="1:14" x14ac:dyDescent="0.35">
      <c r="A18" t="s">
        <v>299</v>
      </c>
      <c r="B18" s="225">
        <v>6</v>
      </c>
      <c r="D18" s="16"/>
      <c r="N18" s="141" t="s">
        <v>172</v>
      </c>
    </row>
    <row r="19" spans="1:14" x14ac:dyDescent="0.35">
      <c r="A19" t="s">
        <v>300</v>
      </c>
      <c r="B19" s="217">
        <v>1063.29</v>
      </c>
      <c r="C19" s="12">
        <f>VLOOKUP(B19,'Mead-Elevation-Area'!$A$5:$B$676,2)/1000000</f>
        <v>8.6522179999999995</v>
      </c>
      <c r="D19" s="129" t="s">
        <v>406</v>
      </c>
      <c r="F19" s="254" t="s">
        <v>248</v>
      </c>
      <c r="N19" s="141" t="s">
        <v>171</v>
      </c>
    </row>
    <row r="20" spans="1:14" x14ac:dyDescent="0.35">
      <c r="A20" s="125" t="str">
        <f>"     Set "&amp;A5</f>
        <v xml:space="preserve">     Set Reclamation - Protect Zone</v>
      </c>
      <c r="B20" s="184"/>
      <c r="C20" s="12">
        <f>VLOOKUP(IF(B20="",895,B20),'Mead-Elevation-Area'!$A$5:$B$689,2)/1000000</f>
        <v>0</v>
      </c>
      <c r="D20" s="10"/>
      <c r="N20" s="141" t="s">
        <v>173</v>
      </c>
    </row>
    <row r="21" spans="1:14" x14ac:dyDescent="0.35">
      <c r="A21" t="s">
        <v>301</v>
      </c>
      <c r="C21" s="12">
        <f>C19-C20</f>
        <v>8.6522179999999995</v>
      </c>
      <c r="D21" s="116"/>
      <c r="E21" s="28"/>
      <c r="F21" s="116"/>
      <c r="N21" s="141" t="s">
        <v>342</v>
      </c>
    </row>
    <row r="22" spans="1:14" x14ac:dyDescent="0.35">
      <c r="A22" t="s">
        <v>302</v>
      </c>
      <c r="C22" s="185">
        <v>3.5339999999999998</v>
      </c>
      <c r="D22" s="111" t="s">
        <v>250</v>
      </c>
      <c r="E22" s="28"/>
      <c r="F22" s="28"/>
      <c r="N22" s="141" t="s">
        <v>341</v>
      </c>
    </row>
    <row r="23" spans="1:14" x14ac:dyDescent="0.35">
      <c r="A23" t="s">
        <v>330</v>
      </c>
      <c r="C23" s="12">
        <f>C21-C22</f>
        <v>5.1182179999999997</v>
      </c>
      <c r="D23" s="111"/>
      <c r="E23" s="28"/>
      <c r="N23" s="141" t="s">
        <v>343</v>
      </c>
    </row>
    <row r="24" spans="1:14" x14ac:dyDescent="0.35">
      <c r="A24" t="s">
        <v>359</v>
      </c>
      <c r="B24" s="94">
        <f>TribalWater!H7</f>
        <v>0.16438105840220965</v>
      </c>
      <c r="C24"/>
      <c r="D24" s="111"/>
      <c r="E24" s="28"/>
      <c r="N24" s="141" t="s">
        <v>385</v>
      </c>
    </row>
    <row r="25" spans="1:14" x14ac:dyDescent="0.35">
      <c r="A25" t="s">
        <v>358</v>
      </c>
      <c r="B25" s="235">
        <f>1-B24</f>
        <v>0.83561894159779038</v>
      </c>
      <c r="C25"/>
      <c r="D25" s="111"/>
      <c r="E25" s="28"/>
      <c r="N25" s="141" t="s">
        <v>386</v>
      </c>
    </row>
    <row r="26" spans="1:14" x14ac:dyDescent="0.35">
      <c r="B26" s="28"/>
      <c r="N26" s="142"/>
    </row>
    <row r="27" spans="1:14" s="1" customFormat="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247</v>
      </c>
      <c r="B28" s="1"/>
      <c r="C28" s="97">
        <v>9.26</v>
      </c>
      <c r="D28" s="97"/>
      <c r="E28" s="97"/>
      <c r="F28" s="97"/>
      <c r="G28" s="97"/>
      <c r="H28" s="97"/>
      <c r="I28" s="97"/>
      <c r="J28" s="97"/>
      <c r="K28" s="97"/>
      <c r="L28" s="97"/>
      <c r="N28" s="141" t="s">
        <v>345</v>
      </c>
    </row>
    <row r="29" spans="1:14" hidden="1" x14ac:dyDescent="0.35">
      <c r="A29" s="1" t="s">
        <v>71</v>
      </c>
      <c r="B29" s="1"/>
      <c r="C29" s="96">
        <f>IF(C$28&lt;&gt;"",0.8,"")</f>
        <v>0.8</v>
      </c>
      <c r="D29" s="96" t="str">
        <f t="shared" ref="D29:L29" si="0">IF(D$28&lt;&gt;"",0.8,"")</f>
        <v/>
      </c>
      <c r="E29" s="96" t="str">
        <f t="shared" si="0"/>
        <v/>
      </c>
      <c r="F29" s="96" t="str">
        <f t="shared" si="0"/>
        <v/>
      </c>
      <c r="G29" s="96" t="str">
        <f t="shared" si="0"/>
        <v/>
      </c>
      <c r="H29" s="96" t="str">
        <f t="shared" si="0"/>
        <v/>
      </c>
      <c r="I29" s="96" t="str">
        <f t="shared" si="0"/>
        <v/>
      </c>
      <c r="J29" s="96" t="str">
        <f t="shared" si="0"/>
        <v/>
      </c>
      <c r="K29" s="96" t="str">
        <f t="shared" si="0"/>
        <v/>
      </c>
      <c r="L29" s="96" t="str">
        <f t="shared" si="0"/>
        <v/>
      </c>
      <c r="N29" s="141" t="s">
        <v>179</v>
      </c>
    </row>
    <row r="30" spans="1:14" hidden="1" x14ac:dyDescent="0.35">
      <c r="A30" s="1" t="s">
        <v>137</v>
      </c>
      <c r="B30" s="1"/>
      <c r="C30" s="96">
        <f>IF(C$28&lt;&gt;"",0.2,"")</f>
        <v>0.2</v>
      </c>
      <c r="D30" s="96" t="str">
        <f t="shared" ref="D30:L30" si="1">IF(D$28&lt;&gt;"",0.2,"")</f>
        <v/>
      </c>
      <c r="E30" s="96" t="str">
        <f t="shared" si="1"/>
        <v/>
      </c>
      <c r="F30" s="96" t="str">
        <f t="shared" si="1"/>
        <v/>
      </c>
      <c r="G30" s="96" t="str">
        <f t="shared" si="1"/>
        <v/>
      </c>
      <c r="H30" s="96" t="str">
        <f t="shared" si="1"/>
        <v/>
      </c>
      <c r="I30" s="96" t="str">
        <f t="shared" si="1"/>
        <v/>
      </c>
      <c r="J30" s="96" t="str">
        <f t="shared" si="1"/>
        <v/>
      </c>
      <c r="K30" s="96" t="str">
        <f t="shared" si="1"/>
        <v/>
      </c>
      <c r="L30" s="96" t="str">
        <f t="shared" si="1"/>
        <v/>
      </c>
      <c r="N30" s="141" t="s">
        <v>180</v>
      </c>
    </row>
    <row r="31" spans="1:14" hidden="1" x14ac:dyDescent="0.35">
      <c r="A31" s="1" t="s">
        <v>126</v>
      </c>
      <c r="B31" s="1"/>
      <c r="C31" s="96">
        <f>IF(C$28&lt;&gt;"",0.6,"")</f>
        <v>0.6</v>
      </c>
      <c r="D31" s="96" t="str">
        <f t="shared" ref="D31:L31" si="2">IF(D$28&lt;&gt;"",0.6,"")</f>
        <v/>
      </c>
      <c r="E31" s="96" t="str">
        <f t="shared" si="2"/>
        <v/>
      </c>
      <c r="F31" s="96" t="str">
        <f t="shared" si="2"/>
        <v/>
      </c>
      <c r="G31" s="96" t="str">
        <f t="shared" si="2"/>
        <v/>
      </c>
      <c r="H31" s="96" t="str">
        <f t="shared" si="2"/>
        <v/>
      </c>
      <c r="I31" s="96" t="str">
        <f t="shared" si="2"/>
        <v/>
      </c>
      <c r="J31" s="96" t="str">
        <f t="shared" si="2"/>
        <v/>
      </c>
      <c r="K31" s="96" t="str">
        <f t="shared" si="2"/>
        <v/>
      </c>
      <c r="L31" s="96" t="str">
        <f t="shared" si="2"/>
        <v/>
      </c>
      <c r="N31" s="141" t="s">
        <v>181</v>
      </c>
    </row>
    <row r="32" spans="1:14" x14ac:dyDescent="0.35">
      <c r="A32" s="1" t="s">
        <v>296</v>
      </c>
      <c r="B32" s="1"/>
      <c r="H32" s="96"/>
      <c r="I32" s="96"/>
      <c r="J32" s="96"/>
      <c r="K32" s="96"/>
      <c r="L32" s="96"/>
      <c r="N32" s="141"/>
    </row>
    <row r="33" spans="1:14" x14ac:dyDescent="0.35">
      <c r="A33" s="1" t="s">
        <v>293</v>
      </c>
      <c r="B33" s="1"/>
      <c r="C33" s="12">
        <f>IF(C$28&lt;&gt;"",IF(COLUMN(C28)=COLUMN($C28),$C$19,B135),"")</f>
        <v>8.6522179999999995</v>
      </c>
      <c r="D33" s="12" t="str">
        <f>IF(D$28&lt;&gt;"",IF(COLUMN(D28)=COLUMN($C28),$C$19,C135),"")</f>
        <v/>
      </c>
      <c r="E33" s="12" t="str">
        <f>IF(E$28&lt;&gt;"",IF(COLUMN(E28)=COLUMN($C28),$C$19,D135),"")</f>
        <v/>
      </c>
      <c r="F33" s="12" t="str">
        <f>IF(F$28&lt;&gt;"",IF(COLUMN(F28)=COLUMN($C28),$C$19,E135),"")</f>
        <v/>
      </c>
      <c r="G33" s="12" t="str">
        <f>IF(G$28&lt;&gt;"",IF(COLUMN(G28)=COLUMN($C28),$C$19,F135),"")</f>
        <v/>
      </c>
      <c r="H33" s="96"/>
      <c r="I33" s="96"/>
      <c r="J33" s="96"/>
      <c r="K33" s="96"/>
      <c r="L33" s="96"/>
      <c r="N33" s="141"/>
    </row>
    <row r="34" spans="1:14" x14ac:dyDescent="0.35">
      <c r="A34" s="1" t="s">
        <v>294</v>
      </c>
      <c r="B34" s="1"/>
      <c r="C34" s="218">
        <f>IF(C$28&lt;&gt;"",IF(COLUMN(C29)=COLUMN($C29),$B$19,B136),"")</f>
        <v>1063.29</v>
      </c>
      <c r="D34" s="218" t="str">
        <f t="shared" ref="D34:G34" si="3">IF(D$28&lt;&gt;"",IF(COLUMN(D29)=COLUMN($C29),$B$19,C136),"")</f>
        <v/>
      </c>
      <c r="E34" s="218" t="str">
        <f t="shared" si="3"/>
        <v/>
      </c>
      <c r="F34" s="218" t="str">
        <f t="shared" si="3"/>
        <v/>
      </c>
      <c r="G34" s="218" t="str">
        <f t="shared" si="3"/>
        <v/>
      </c>
      <c r="H34" s="96"/>
      <c r="I34" s="96"/>
      <c r="J34" s="96"/>
      <c r="K34" s="96"/>
      <c r="L34" s="96"/>
      <c r="N34" s="141"/>
    </row>
    <row r="35" spans="1:14" x14ac:dyDescent="0.35">
      <c r="A35" s="125" t="s">
        <v>291</v>
      </c>
      <c r="C35"/>
      <c r="H35" s="12" t="str">
        <f>IF(H$28&lt;&gt;"",G135,"")</f>
        <v/>
      </c>
      <c r="I35" s="12" t="str">
        <f t="shared" ref="I35:L35" si="4">IF(I$28&lt;&gt;"",H134,"")</f>
        <v/>
      </c>
      <c r="J35" s="12" t="str">
        <f t="shared" si="4"/>
        <v/>
      </c>
      <c r="K35" s="12" t="str">
        <f t="shared" si="4"/>
        <v/>
      </c>
      <c r="L35" s="12" t="str">
        <f t="shared" si="4"/>
        <v/>
      </c>
      <c r="N35" s="141" t="s">
        <v>182</v>
      </c>
    </row>
    <row r="36" spans="1:14" x14ac:dyDescent="0.35">
      <c r="A36" t="str">
        <f t="shared" ref="A36:A41" si="5">IF(A5="","","    "&amp;A5&amp;" Balance")</f>
        <v xml:space="preserve">    Reclamation - Protect Zone Balance</v>
      </c>
      <c r="B36" s="83">
        <f>C20</f>
        <v>0</v>
      </c>
      <c r="C36" s="81">
        <f>IF(OR(C$28="",$A36=""),"",B36)</f>
        <v>0</v>
      </c>
      <c r="D36" s="12" t="str">
        <f>IF(OR(D$28="",$A36=""),"",C128)</f>
        <v/>
      </c>
      <c r="E36" s="12" t="str">
        <f t="shared" ref="E36:L36" si="6">IF(OR(E$28="",$A36=""),"",D128)</f>
        <v/>
      </c>
      <c r="F36" s="12" t="str">
        <f t="shared" si="6"/>
        <v/>
      </c>
      <c r="G36" s="12" t="str">
        <f t="shared" si="6"/>
        <v/>
      </c>
      <c r="H36" s="12" t="str">
        <f t="shared" si="6"/>
        <v/>
      </c>
      <c r="I36" s="12" t="str">
        <f t="shared" si="6"/>
        <v/>
      </c>
      <c r="J36" s="12" t="str">
        <f t="shared" si="6"/>
        <v/>
      </c>
      <c r="K36" s="12" t="str">
        <f t="shared" si="6"/>
        <v/>
      </c>
      <c r="L36" s="12" t="str">
        <f t="shared" si="6"/>
        <v/>
      </c>
      <c r="N36" s="142"/>
    </row>
    <row r="37" spans="1:14" x14ac:dyDescent="0.35">
      <c r="A37" t="str">
        <f t="shared" si="5"/>
        <v xml:space="preserve">    California Balance</v>
      </c>
      <c r="B37" s="83">
        <v>1.6619999999999999</v>
      </c>
      <c r="C37" s="81">
        <f>IF(OR(C$28="",$A37=""),"",IF(C$22&lt;=C$21,B37,B37-(C$22-C$21)*B37/C$22))</f>
        <v>1.6619999999999999</v>
      </c>
      <c r="D37" s="12" t="str">
        <f t="shared" ref="D37:D41" si="7">IF(OR(D$28="",$A37=""),"",C129)</f>
        <v/>
      </c>
      <c r="E37" s="12" t="str">
        <f t="shared" ref="E37:L41" si="8">IF(OR(E$28="",$A37=""),"",D129)</f>
        <v/>
      </c>
      <c r="F37" s="12" t="str">
        <f t="shared" si="8"/>
        <v/>
      </c>
      <c r="G37" s="12" t="str">
        <f t="shared" si="8"/>
        <v/>
      </c>
      <c r="H37" s="12" t="str">
        <f t="shared" si="8"/>
        <v/>
      </c>
      <c r="I37" s="12" t="str">
        <f t="shared" si="8"/>
        <v/>
      </c>
      <c r="J37" s="12" t="str">
        <f t="shared" si="8"/>
        <v/>
      </c>
      <c r="K37" s="12" t="str">
        <f t="shared" si="8"/>
        <v/>
      </c>
      <c r="L37" s="12" t="str">
        <f t="shared" si="8"/>
        <v/>
      </c>
      <c r="N37" s="142"/>
    </row>
    <row r="38" spans="1:14" x14ac:dyDescent="0.35">
      <c r="A38" t="str">
        <f t="shared" si="5"/>
        <v xml:space="preserve">    Arizona Balance</v>
      </c>
      <c r="B38" s="83">
        <v>0.71099999999999997</v>
      </c>
      <c r="C38" s="81">
        <f t="shared" ref="C38:C41" si="9">IF(OR(C$28="",$A38=""),"",IF(C$22&lt;=C$21,B38,B38-(C$22-C$21)*B38/C$22))</f>
        <v>0.71099999999999997</v>
      </c>
      <c r="D38" s="33" t="str">
        <f t="shared" si="7"/>
        <v/>
      </c>
      <c r="E38" s="33" t="str">
        <f t="shared" si="8"/>
        <v/>
      </c>
      <c r="F38" s="33" t="str">
        <f t="shared" si="8"/>
        <v/>
      </c>
      <c r="G38" s="33" t="str">
        <f t="shared" si="8"/>
        <v/>
      </c>
      <c r="H38" s="12" t="str">
        <f t="shared" si="8"/>
        <v/>
      </c>
      <c r="I38" s="12" t="str">
        <f t="shared" si="8"/>
        <v/>
      </c>
      <c r="J38" s="12" t="str">
        <f t="shared" si="8"/>
        <v/>
      </c>
      <c r="K38" s="12" t="str">
        <f t="shared" si="8"/>
        <v/>
      </c>
      <c r="L38" s="12" t="str">
        <f t="shared" si="8"/>
        <v/>
      </c>
      <c r="N38" s="142"/>
    </row>
    <row r="39" spans="1:14" x14ac:dyDescent="0.35">
      <c r="A39" t="str">
        <f t="shared" si="5"/>
        <v xml:space="preserve">    Nevada Balance</v>
      </c>
      <c r="B39" s="83">
        <v>0.9556</v>
      </c>
      <c r="C39" s="81">
        <f t="shared" si="9"/>
        <v>0.9556</v>
      </c>
      <c r="D39" s="12" t="str">
        <f t="shared" si="7"/>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42"/>
    </row>
    <row r="40" spans="1:14" x14ac:dyDescent="0.35">
      <c r="A40" t="str">
        <f t="shared" si="5"/>
        <v xml:space="preserve">    Mexico Balance</v>
      </c>
      <c r="B40" s="83">
        <v>0.21099999999999999</v>
      </c>
      <c r="C40" s="81">
        <f t="shared" si="9"/>
        <v>0.21099999999999999</v>
      </c>
      <c r="D40" s="12" t="str">
        <f t="shared" si="7"/>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42"/>
    </row>
    <row r="41" spans="1:14" x14ac:dyDescent="0.35">
      <c r="A41" t="str">
        <f t="shared" si="5"/>
        <v xml:space="preserve">    Tribal Nations of the Lower Basin Balance</v>
      </c>
      <c r="B41" s="83">
        <f>IF(C21&gt;C22,C21-C22,0)</f>
        <v>5.1182179999999997</v>
      </c>
      <c r="C41" s="81">
        <f t="shared" si="9"/>
        <v>5.1182179999999997</v>
      </c>
      <c r="D41" s="12" t="str">
        <f t="shared" si="7"/>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42"/>
    </row>
    <row r="42" spans="1:14" hidden="1" x14ac:dyDescent="0.35">
      <c r="A42" s="1" t="s">
        <v>148</v>
      </c>
      <c r="C42"/>
      <c r="N42" s="141" t="s">
        <v>194</v>
      </c>
    </row>
    <row r="43" spans="1:14" hidden="1" x14ac:dyDescent="0.35">
      <c r="A43" t="s">
        <v>68</v>
      </c>
      <c r="C43" s="12">
        <f>IF(C$28&lt;&gt;"",IF(COLUMN(C27)=COLUMN($C27),$B$19,#REF!),"")</f>
        <v>1063.29</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42"/>
    </row>
    <row r="44" spans="1:14" hidden="1" x14ac:dyDescent="0.35">
      <c r="A44" t="s">
        <v>69</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42"/>
    </row>
    <row r="45" spans="1:14" x14ac:dyDescent="0.35">
      <c r="A45" s="1" t="s">
        <v>249</v>
      </c>
      <c r="B45" s="186"/>
      <c r="C45" s="12">
        <f>IF(C$28&lt;&gt;"",VLOOKUP(C33*1000000,'Mead-Elevation-Area'!$B$5:$D$676,3)*$B$18/1000000,"")</f>
        <v>0.46150799999999997</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41" t="s">
        <v>344</v>
      </c>
    </row>
    <row r="46" spans="1:14" x14ac:dyDescent="0.35">
      <c r="A46" t="str">
        <f t="shared" ref="A46:A51" si="10">IF(A5="","","    "&amp;A5&amp;" Share")</f>
        <v xml:space="preserve">    Reclamation - Protect Zone Share</v>
      </c>
      <c r="C46" s="12">
        <f t="shared" ref="C46:G51" si="11">IF(OR(C$28="",$A46=""),"",C$45*C36/C$33)</f>
        <v>0</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42"/>
    </row>
    <row r="47" spans="1:14" x14ac:dyDescent="0.35">
      <c r="A47" t="str">
        <f t="shared" si="10"/>
        <v xml:space="preserve">    California Share</v>
      </c>
      <c r="B47" s="1"/>
      <c r="C47" s="12">
        <f t="shared" si="11"/>
        <v>8.8650828723917954E-2</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42"/>
    </row>
    <row r="48" spans="1:14" x14ac:dyDescent="0.35">
      <c r="A48" t="str">
        <f t="shared" si="10"/>
        <v xml:space="preserve">    Arizona Share</v>
      </c>
      <c r="B48" s="1"/>
      <c r="C48" s="12">
        <f t="shared" si="11"/>
        <v>3.7924632504636381E-2</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42"/>
    </row>
    <row r="49" spans="1:16" x14ac:dyDescent="0.35">
      <c r="A49" t="str">
        <f t="shared" si="10"/>
        <v xml:space="preserve">    Nevada Share</v>
      </c>
      <c r="B49" s="1"/>
      <c r="C49" s="12">
        <f t="shared" si="11"/>
        <v>5.0971559523812278E-2</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42"/>
    </row>
    <row r="50" spans="1:16" x14ac:dyDescent="0.35">
      <c r="A50" t="str">
        <f t="shared" si="10"/>
        <v xml:space="preserve">    Mexico Share</v>
      </c>
      <c r="B50" s="1"/>
      <c r="C50" s="12">
        <f t="shared" si="11"/>
        <v>1.1254708099125564E-2</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42"/>
    </row>
    <row r="51" spans="1:16" x14ac:dyDescent="0.35">
      <c r="A51" t="str">
        <f t="shared" si="10"/>
        <v xml:space="preserve">    Tribal Nations of the Lower Basin Share</v>
      </c>
      <c r="B51" s="1"/>
      <c r="C51" s="12">
        <f t="shared" si="11"/>
        <v>0.27300497430184956</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42"/>
    </row>
    <row r="52" spans="1:16" x14ac:dyDescent="0.35">
      <c r="A52" s="125" t="s">
        <v>289</v>
      </c>
      <c r="B52" s="214"/>
      <c r="C52" s="215">
        <f>IF(C28="","",SUM(C28))</f>
        <v>9.26</v>
      </c>
      <c r="D52" s="215" t="str">
        <f>IF(D28="","",SUM(D28))</f>
        <v/>
      </c>
      <c r="E52" s="215" t="str">
        <f>IF(E28="","",SUM(E28))</f>
        <v/>
      </c>
      <c r="F52" s="215" t="str">
        <f>IF(F28="","",SUM(F28))</f>
        <v/>
      </c>
      <c r="G52" s="215" t="str">
        <f>IF(G28="","",SUM(G28))</f>
        <v/>
      </c>
      <c r="H52" s="30" t="str">
        <f>IF(H$28&lt;&gt;"",1.5-0.21/9/2-VLOOKUP(H44,MandatoryConservation!$C$5:$P$13,13)-H60*(1.5/8.7),"")</f>
        <v/>
      </c>
      <c r="I52" s="30" t="str">
        <f>IF(I$28&lt;&gt;"",1.5-0.21/9/2-VLOOKUP(I44,MandatoryConservation!$C$5:$P$13,13)-I60*(1.5/8.7),"")</f>
        <v/>
      </c>
      <c r="J52" s="30" t="str">
        <f>IF(J$28&lt;&gt;"",1.5-0.21/9/2-VLOOKUP(J44,MandatoryConservation!$C$5:$P$13,13)-J60*(1.5/8.7),"")</f>
        <v/>
      </c>
      <c r="K52" s="30" t="str">
        <f>IF(K$28&lt;&gt;"",1.5-0.21/9/2-VLOOKUP(K44,MandatoryConservation!$C$5:$P$13,13)-K60*(1.5/8.7),"")</f>
        <v/>
      </c>
      <c r="L52" s="30" t="str">
        <f>IF(L$28&lt;&gt;"",1.5-0.21/9/2-VLOOKUP(L44,MandatoryConservation!$C$5:$P$13,13)-L60*(1.5/8.7),"")</f>
        <v/>
      </c>
      <c r="M52" s="116"/>
      <c r="N52" s="141" t="s">
        <v>348</v>
      </c>
    </row>
    <row r="53" spans="1:16" x14ac:dyDescent="0.35">
      <c r="A53" t="str">
        <f>IF(A5="","","    To "&amp;A5)</f>
        <v xml:space="preserve">    To Reclamation - Protect Zone</v>
      </c>
      <c r="B53" s="187" t="s">
        <v>251</v>
      </c>
      <c r="C53" s="82">
        <f>IF(OR(C$28="",$A55=""),"",C46)</f>
        <v>0</v>
      </c>
      <c r="D53" s="82" t="str">
        <f t="shared" ref="D53:G53" si="13">IF(OR(D$28="",$A55=""),"",D46)</f>
        <v/>
      </c>
      <c r="E53" s="82" t="str">
        <f t="shared" si="13"/>
        <v/>
      </c>
      <c r="F53" s="82" t="str">
        <f t="shared" si="13"/>
        <v/>
      </c>
      <c r="G53" s="82" t="str">
        <f t="shared" si="13"/>
        <v/>
      </c>
      <c r="H53" s="12" t="str">
        <f t="shared" ref="H53:L53" si="14">IF(H28="","",SUM(H28:H30))</f>
        <v/>
      </c>
      <c r="I53" s="12" t="str">
        <f t="shared" si="14"/>
        <v/>
      </c>
      <c r="J53" s="12" t="str">
        <f t="shared" si="14"/>
        <v/>
      </c>
      <c r="K53" s="12" t="str">
        <f t="shared" si="14"/>
        <v/>
      </c>
      <c r="L53" s="12" t="str">
        <f t="shared" si="14"/>
        <v/>
      </c>
      <c r="M53" s="19">
        <f>SUM(C55:C59)</f>
        <v>9.26</v>
      </c>
      <c r="N53" s="183"/>
    </row>
    <row r="54" spans="1:16" x14ac:dyDescent="0.35">
      <c r="A54" t="s">
        <v>290</v>
      </c>
      <c r="C54" s="82">
        <f>IF(OR(C$28="",$A56=""),"",C52-C53)</f>
        <v>9.26</v>
      </c>
      <c r="D54" s="82" t="str">
        <f t="shared" ref="D54:G54" si="15">IF(OR(D$28="",$A56=""),"",D52-D53)</f>
        <v/>
      </c>
      <c r="E54" s="82" t="str">
        <f t="shared" si="15"/>
        <v/>
      </c>
      <c r="F54" s="82" t="str">
        <f t="shared" si="15"/>
        <v/>
      </c>
      <c r="G54" s="82" t="str">
        <f t="shared" si="15"/>
        <v/>
      </c>
      <c r="H54" s="81" t="str">
        <f t="shared" ref="H54" si="16">IF(OR(H$28="",$A55=""),"",MAX(0,H53-SUM(H55:H60)))</f>
        <v/>
      </c>
      <c r="I54" s="81" t="str">
        <f t="shared" ref="I54" si="17">IF(OR(I$28="",$A55=""),"",MAX(0,I53-SUM(I55:I60)))</f>
        <v/>
      </c>
      <c r="J54" s="81" t="str">
        <f t="shared" ref="J54" si="18">IF(OR(J$28="",$A55=""),"",MAX(0,J53-SUM(J55:J60)))</f>
        <v/>
      </c>
      <c r="K54" s="81" t="str">
        <f t="shared" ref="K54" si="19">IF(OR(K$28="",$A55=""),"",MAX(0,K53-SUM(K55:K60)))</f>
        <v/>
      </c>
      <c r="L54" s="81" t="str">
        <f t="shared" ref="L54" si="20">IF(OR(L$28="",$A55=""),"",MAX(0,L53-SUM(L55:L60)))</f>
        <v/>
      </c>
      <c r="M54" s="18">
        <f>SUM(M55:M59)</f>
        <v>1</v>
      </c>
      <c r="N54" s="143"/>
      <c r="P54" s="81"/>
    </row>
    <row r="55" spans="1:16" x14ac:dyDescent="0.35">
      <c r="A55" t="str">
        <f>IF(A6="","","       To "&amp;A6)</f>
        <v xml:space="preserve">       To California</v>
      </c>
      <c r="B55" s="95" t="s">
        <v>304</v>
      </c>
      <c r="C55" s="82">
        <f>IF(OR(C$28="",$A55=""),"",(VLOOKUP(C$54,DivideInflow!$K$19:$W$25,9)-IF($A$59&lt;&gt;"",$B$59*$B$24,0))*(C$54))</f>
        <v>4.3338971767156647</v>
      </c>
      <c r="D55" s="82" t="str">
        <f>IF(OR(D$28="",$A55=""),"",(VLOOKUP(D$54,DivideInflow!$K$19:$W$25,9)-IF($A$59&lt;&gt;"",$B$59*$B$24,0))*(D$54))</f>
        <v/>
      </c>
      <c r="E55" s="82" t="str">
        <f>IF(OR(E$28="",$A55=""),"",(VLOOKUP(E$54,DivideInflow!$K$19:$W$25,9)-IF($A$59&lt;&gt;"",$B$59*$B$24,0))*(E$54))</f>
        <v/>
      </c>
      <c r="F55" s="82" t="str">
        <f>IF(OR(F$28="",$A55=""),"",(VLOOKUP(F$54,DivideInflow!$K$19:$W$25,9)-IF($A$59&lt;&gt;"",$B$59*$B$24,0))*(F$54))</f>
        <v/>
      </c>
      <c r="G55" s="82" t="str">
        <f>IF(OR(G$28="",$A55=""),"",(VLOOKUP(G$54,DivideInflow!$K$19:$W$25,9)-IF($A$59&lt;&gt;"",$B$59*$B$24,0))*(G$54))</f>
        <v/>
      </c>
      <c r="H55" s="81"/>
      <c r="I55" s="81"/>
      <c r="J55" s="81"/>
      <c r="K55" s="81"/>
      <c r="L55" s="81"/>
      <c r="M55" s="223">
        <f>C55/C$54</f>
        <v>0.46802345320903505</v>
      </c>
      <c r="N55" s="143"/>
      <c r="P55" s="81"/>
    </row>
    <row r="56" spans="1:16" x14ac:dyDescent="0.35">
      <c r="A56" t="str">
        <f>IF(A7="","","       To "&amp;A7)</f>
        <v xml:space="preserve">       To Arizona</v>
      </c>
      <c r="B56" s="95" t="s">
        <v>303</v>
      </c>
      <c r="C56" s="82">
        <f>IF(OR(C$28="",$A56=""),"",(VLOOKUP(C$54,DivideInflow!$K$19:$W$25,7)-IF($A$59&lt;&gt;"",$B$59*$B$25,0))*(C$54))</f>
        <v>1.8987001566176687</v>
      </c>
      <c r="D56" s="82" t="str">
        <f>IF(OR(D$28="",$A56=""),"",(VLOOKUP(D$54,DivideInflow!$K$19:$W$25,7)-IF($A$59&lt;&gt;"",$B$59*$B$25,0))*(D$54))</f>
        <v/>
      </c>
      <c r="E56" s="82" t="str">
        <f>IF(OR(E$28="",$A56=""),"",(VLOOKUP(E$54,DivideInflow!$K$19:$W$25,7)-IF($A$59&lt;&gt;"",$B$59*$B$25,0))*(E$54))</f>
        <v/>
      </c>
      <c r="F56" s="82" t="str">
        <f>IF(OR(F$28="",$A56=""),"",(VLOOKUP(F$54,DivideInflow!$K$19:$W$25,7)-IF($A$59&lt;&gt;"",$B$59*$B$25,0))*(F$54))</f>
        <v/>
      </c>
      <c r="G56" s="82" t="str">
        <f>IF(OR(G$28="",$A56=""),"",(VLOOKUP(G$54,DivideInflow!$K$19:$W$25,7)-IF($A$59&lt;&gt;"",$B$59*$B$25,0))*(G$54))</f>
        <v/>
      </c>
      <c r="H56" s="82" t="str">
        <f t="shared" ref="H56" si="21">IF(OR(H$28="",$A56=""),"",MIN(H52,H$53-SUM(H57:H60)))</f>
        <v/>
      </c>
      <c r="I56" s="82" t="str">
        <f t="shared" ref="I56" si="22">IF(OR(I$28="",$A56=""),"",MIN(I52,I$53-SUM(I57:I60)))</f>
        <v/>
      </c>
      <c r="J56" s="82" t="str">
        <f t="shared" ref="J56" si="23">IF(OR(J$28="",$A56=""),"",MIN(J52,J$53-SUM(J57:J60)))</f>
        <v/>
      </c>
      <c r="K56" s="82" t="str">
        <f t="shared" ref="K56" si="24">IF(OR(K$28="",$A56=""),"",MIN(K52,K$53-SUM(K57:K60)))</f>
        <v/>
      </c>
      <c r="L56" s="82" t="str">
        <f t="shared" ref="L56" si="25">IF(OR(L$28="",$A56=""),"",MIN(L52,L$53-SUM(L57:L60)))</f>
        <v/>
      </c>
      <c r="M56" s="223">
        <f t="shared" ref="M56:M58" si="26">C56/C$54</f>
        <v>0.2050432134576316</v>
      </c>
      <c r="N56" s="143"/>
    </row>
    <row r="57" spans="1:16" x14ac:dyDescent="0.35">
      <c r="A57" t="str">
        <f>IF(A8="","","       To "&amp;A8)</f>
        <v xml:space="preserve">       To Nevada</v>
      </c>
      <c r="B57" s="211">
        <v>3.3000000000000002E-2</v>
      </c>
      <c r="C57" s="82">
        <f>IF(OR(C$28="",$A57=""),"",VLOOKUP(C$54,DivideInflow!$K$19:$W$25,8)*(C$54))</f>
        <v>0.30866666666666664</v>
      </c>
      <c r="D57" s="82" t="str">
        <f>IF(OR(D$28="",$A57=""),"",VLOOKUP(D$54,DivideInflow!$K$18:$W$23,8)*(D$54))</f>
        <v/>
      </c>
      <c r="E57" s="82" t="str">
        <f>IF(OR(E$28="",$A57=""),"",VLOOKUP(E$54,DivideInflow!$K$18:$W$23,8)*(E$54))</f>
        <v/>
      </c>
      <c r="F57" s="82" t="str">
        <f>IF(OR(F$28="",$A57=""),"",VLOOKUP(F$54,DivideInflow!$K$18:$W$23,8)*(F$54))</f>
        <v/>
      </c>
      <c r="G57" s="82" t="str">
        <f>IF(OR(G$28="",$A57=""),"",VLOOKUP(G$54,DivideInflow!$K$18:$W$23,8)*(G$54))</f>
        <v/>
      </c>
      <c r="H57" s="105" t="str">
        <f t="shared" ref="H57" si="27">IF(OR(H$28="",$A57=""),"",MIN($B57,H$53-SUM(H58:H60)))</f>
        <v/>
      </c>
      <c r="I57" s="105" t="str">
        <f t="shared" ref="I57" si="28">IF(OR(I$28="",$A57=""),"",MIN($B57,I$53-SUM(I58:I60)))</f>
        <v/>
      </c>
      <c r="J57" s="105" t="str">
        <f t="shared" ref="J57" si="29">IF(OR(J$28="",$A57=""),"",MIN($B57,J$53-SUM(J58:J60)))</f>
        <v/>
      </c>
      <c r="K57" s="105" t="str">
        <f t="shared" ref="K57" si="30">IF(OR(K$28="",$A57=""),"",MIN($B57,K$53-SUM(K58:K60)))</f>
        <v/>
      </c>
      <c r="L57" s="105" t="str">
        <f t="shared" ref="L57" si="31">IF(OR(L$28="",$A57=""),"",MIN($B57,L$53-SUM(L58:L60)))</f>
        <v/>
      </c>
      <c r="M57" s="223">
        <f t="shared" si="26"/>
        <v>3.3333333333333333E-2</v>
      </c>
      <c r="N57" s="143"/>
    </row>
    <row r="58" spans="1:16" x14ac:dyDescent="0.35">
      <c r="A58" t="str">
        <f>IF(A9="","","       To "&amp;A9)</f>
        <v xml:space="preserve">       To Mexico</v>
      </c>
      <c r="B58" s="211">
        <v>0.16700000000000001</v>
      </c>
      <c r="C58" s="82">
        <f>IF(OR(C$28="",$A58=""),"",VLOOKUP(C$54,DivideInflow!$K$19:$W$25,10)*(C$54))</f>
        <v>1.5433333333333332</v>
      </c>
      <c r="D58" s="82" t="str">
        <f>IF(OR(D$28="",$A58=""),"",VLOOKUP(D$54,DivideInflow!$K$18:$W$23,10)*(D$54))</f>
        <v/>
      </c>
      <c r="E58" s="82" t="str">
        <f>IF(OR(E$28="",$A58=""),"",VLOOKUP(E$54,DivideInflow!$K$18:$W$23,10)*(E$54))</f>
        <v/>
      </c>
      <c r="F58" s="82" t="str">
        <f>IF(OR(F$28="",$A58=""),"",VLOOKUP(F$54,DivideInflow!$K$18:$W$23,10)*(F$54))</f>
        <v/>
      </c>
      <c r="G58" s="82" t="str">
        <f>IF(OR(G$28="",$A58=""),"",VLOOKUP(G$54,DivideInflow!$K$18:$W$23,10)*(G$54))</f>
        <v/>
      </c>
      <c r="H58" s="81" t="str">
        <f t="shared" ref="H58" si="32">IF(OR(H$28="",$A58=""),"",MIN($B58,H$53-SUM(H59:H60)))</f>
        <v/>
      </c>
      <c r="I58" s="81" t="str">
        <f t="shared" ref="I58" si="33">IF(OR(I$28="",$A58=""),"",MIN($B58,I$53-SUM(I59:I60)))</f>
        <v/>
      </c>
      <c r="J58" s="81" t="str">
        <f t="shared" ref="J58" si="34">IF(OR(J$28="",$A58=""),"",MIN($B58,J$53-SUM(J59:J60)))</f>
        <v/>
      </c>
      <c r="K58" s="81" t="str">
        <f t="shared" ref="K58" si="35">IF(OR(K$28="",$A58=""),"",MIN($B58,K$53-SUM(K59:K60)))</f>
        <v/>
      </c>
      <c r="L58" s="81" t="str">
        <f t="shared" ref="L58" si="36">IF(OR(L$28="",$A58=""),"",MIN($B58,L$53-SUM(L59:L60)))</f>
        <v/>
      </c>
      <c r="M58" s="223">
        <f t="shared" si="26"/>
        <v>0.16666666666666666</v>
      </c>
      <c r="N58" s="143"/>
    </row>
    <row r="59" spans="1:16" x14ac:dyDescent="0.35">
      <c r="A59" t="str">
        <f>IF(A10="","","       To "&amp;A10)</f>
        <v xml:space="preserve">       To Tribal Nations of the Lower Basin</v>
      </c>
      <c r="B59" s="211">
        <f>IF(A59="","",0.952/7.5)</f>
        <v>0.12693333333333331</v>
      </c>
      <c r="C59" s="82">
        <f>IF(OR(C$28="",$A59=""),"",C$54*$B59)</f>
        <v>1.1754026666666664</v>
      </c>
      <c r="D59" s="82" t="str">
        <f t="shared" ref="D59:G59" si="37">IF(OR(D$28="",$A59=""),"",D$54*$B59)</f>
        <v/>
      </c>
      <c r="E59" s="82" t="str">
        <f t="shared" si="37"/>
        <v/>
      </c>
      <c r="F59" s="82" t="str">
        <f t="shared" si="37"/>
        <v/>
      </c>
      <c r="G59" s="82" t="str">
        <f t="shared" si="37"/>
        <v/>
      </c>
      <c r="H59" s="152" t="str">
        <f t="shared" ref="H59:L59" si="38">IF(OR(H$28="",$A59=""),"",IF(H$53&gt;H51,H51,H53))</f>
        <v/>
      </c>
      <c r="I59" s="152" t="str">
        <f t="shared" si="38"/>
        <v/>
      </c>
      <c r="J59" s="152" t="str">
        <f t="shared" si="38"/>
        <v/>
      </c>
      <c r="K59" s="152" t="str">
        <f t="shared" si="38"/>
        <v/>
      </c>
      <c r="L59" s="152" t="str">
        <f t="shared" si="38"/>
        <v/>
      </c>
      <c r="M59" s="223">
        <f>IF(A59="","",C59/C$54)</f>
        <v>0.12693333333333331</v>
      </c>
      <c r="N59" s="143"/>
    </row>
    <row r="60" spans="1:16" hidden="1" x14ac:dyDescent="0.35">
      <c r="A60" t="str">
        <f>IF(A31="","","    To "&amp;A31)</f>
        <v xml:space="preserve">    To Havasu / Parker evaporation and ET</v>
      </c>
      <c r="B60" s="151" t="s">
        <v>199</v>
      </c>
      <c r="C60" s="153">
        <f>IF(OR(C$28="",$A60=""),"",MIN(C31,C52-C59))</f>
        <v>0.6</v>
      </c>
      <c r="D60" s="153" t="str">
        <f>IF(OR(D$28="",$A60=""),"",MIN(D31,D52-D59))</f>
        <v/>
      </c>
      <c r="E60" s="153" t="str">
        <f>IF(OR(E$28="",$A60=""),"",MIN(E31,E52-E59))</f>
        <v/>
      </c>
      <c r="F60" s="153" t="str">
        <f>IF(OR(F$28="",$A60=""),"",MIN(F31,F52-F59))</f>
        <v/>
      </c>
      <c r="G60" s="153" t="str">
        <f>IF(OR(G$28="",$A60=""),"",MIN(G31,G52-G59))</f>
        <v/>
      </c>
      <c r="H60" s="153" t="str">
        <f t="shared" ref="H60" si="39">IF(OR(H$28="",$A60=""),"",MIN(H31,H53-H59))</f>
        <v/>
      </c>
      <c r="I60" s="153" t="str">
        <f t="shared" ref="I60" si="40">IF(OR(I$28="",$A60=""),"",MIN(I31,I53-I59))</f>
        <v/>
      </c>
      <c r="J60" s="153" t="str">
        <f t="shared" ref="J60" si="41">IF(OR(J$28="",$A60=""),"",MIN(J31,J53-J59))</f>
        <v/>
      </c>
      <c r="K60" s="153" t="str">
        <f t="shared" ref="K60" si="42">IF(OR(K$28="",$A60=""),"",MIN(K31,K53-K59))</f>
        <v/>
      </c>
      <c r="L60" s="153" t="str">
        <f t="shared" ref="L60" si="43">IF(OR(L$28="",$A60=""),"",MIN(L31,L53-L59))</f>
        <v/>
      </c>
      <c r="M60" s="223" t="e">
        <f t="shared" ref="M60" si="44">F60/F$54</f>
        <v>#VALUE!</v>
      </c>
      <c r="N60" s="143"/>
    </row>
    <row r="61" spans="1:16" x14ac:dyDescent="0.35">
      <c r="B61" s="19"/>
      <c r="C61" s="18"/>
      <c r="D61" s="18"/>
      <c r="E61" s="18"/>
      <c r="F61" s="116"/>
      <c r="G61" s="28"/>
      <c r="N61" s="142"/>
    </row>
    <row r="62" spans="1:16" x14ac:dyDescent="0.35">
      <c r="A62" s="101" t="s">
        <v>227</v>
      </c>
      <c r="B62" s="98"/>
      <c r="C62" s="98"/>
      <c r="D62" s="98"/>
      <c r="E62" s="98"/>
      <c r="F62" s="98"/>
      <c r="G62" s="98"/>
      <c r="H62" s="98"/>
      <c r="I62" s="98"/>
      <c r="J62" s="98"/>
      <c r="K62" s="98"/>
      <c r="L62" s="98"/>
      <c r="M62" s="98"/>
      <c r="N62" s="138" t="str">
        <f>N3</f>
        <v>HELP, CONTEXT, and SUGGESTIONS</v>
      </c>
    </row>
    <row r="63" spans="1:16" x14ac:dyDescent="0.35">
      <c r="A63" s="119" t="str">
        <f>IF(A$5="[Unused]","",A5&amp;" ("&amp;B5&amp;")")</f>
        <v>Reclamation - Protect Zone ()</v>
      </c>
      <c r="B63" s="99"/>
      <c r="C63" s="99"/>
      <c r="D63" s="99"/>
      <c r="E63" s="99"/>
      <c r="F63" s="99"/>
      <c r="G63" s="99"/>
      <c r="H63" s="99"/>
      <c r="I63" s="99"/>
      <c r="J63" s="99"/>
      <c r="K63" s="99"/>
      <c r="L63" s="99"/>
      <c r="M63" s="100" t="s">
        <v>64</v>
      </c>
      <c r="N63" s="139" t="s">
        <v>186</v>
      </c>
    </row>
    <row r="64" spans="1:16" x14ac:dyDescent="0.35">
      <c r="A64" s="126" t="str">
        <f>IF(A63="[Unused]","","   Enter volume to Buy(+) or Sell(-) [maf]")</f>
        <v xml:space="preserve">   Enter volume to Buy(+) or Sell(-) [maf]</v>
      </c>
      <c r="C64" s="91"/>
      <c r="D64" s="91"/>
      <c r="E64" s="91"/>
      <c r="F64" s="91"/>
      <c r="G64" s="91"/>
      <c r="H64" s="91"/>
      <c r="I64" s="91"/>
      <c r="J64" s="91"/>
      <c r="K64" s="91"/>
      <c r="L64" s="91"/>
      <c r="M64" s="44">
        <f>SUM(C64:L64)</f>
        <v>0</v>
      </c>
      <c r="N64" s="144" t="s">
        <v>187</v>
      </c>
    </row>
    <row r="65" spans="1:14" x14ac:dyDescent="0.35">
      <c r="A65" s="126" t="str">
        <f>IF(A64="","","   Enter compensation to Buy(-) or Sell(+) [$ Mill]")</f>
        <v xml:space="preserve">   Enter compensation to Buy(-) or Sell(+) [$ Mill]</v>
      </c>
      <c r="C65" s="92"/>
      <c r="D65" s="92"/>
      <c r="E65" s="92"/>
      <c r="F65" s="91"/>
      <c r="G65" s="92"/>
      <c r="H65" s="92"/>
      <c r="I65" s="92"/>
      <c r="J65" s="92"/>
      <c r="K65" s="92"/>
      <c r="L65" s="92"/>
      <c r="M65" s="43">
        <f>SUM(C65:L65)</f>
        <v>0</v>
      </c>
      <c r="N65" s="145" t="s">
        <v>188</v>
      </c>
    </row>
    <row r="66" spans="1:14" x14ac:dyDescent="0.35">
      <c r="A66" t="str">
        <f>IF(A65="","","   Net trade volume all participants (should be zero)")</f>
        <v xml:space="preserve">   Net trade volume all participants (should be zero)</v>
      </c>
      <c r="C66" s="44">
        <f t="shared" ref="C66:M66" ca="1" si="45">IF(OR(C$28="",$A66=""),"",C$119)</f>
        <v>0</v>
      </c>
      <c r="D66" s="44" t="str">
        <f t="shared" si="45"/>
        <v/>
      </c>
      <c r="E66" s="44" t="str">
        <f t="shared" si="45"/>
        <v/>
      </c>
      <c r="F66" s="44" t="str">
        <f t="shared" si="45"/>
        <v/>
      </c>
      <c r="G66" s="44" t="str">
        <f t="shared" si="45"/>
        <v/>
      </c>
      <c r="H66" s="44" t="str">
        <f t="shared" si="45"/>
        <v/>
      </c>
      <c r="I66" s="44" t="str">
        <f t="shared" si="45"/>
        <v/>
      </c>
      <c r="J66" s="44" t="str">
        <f t="shared" si="45"/>
        <v/>
      </c>
      <c r="K66" s="44" t="str">
        <f t="shared" si="45"/>
        <v/>
      </c>
      <c r="L66" s="44" t="str">
        <f t="shared" si="45"/>
        <v/>
      </c>
      <c r="M66" t="str">
        <f t="shared" si="45"/>
        <v/>
      </c>
      <c r="N66" s="141" t="s">
        <v>189</v>
      </c>
    </row>
    <row r="67" spans="1:14" x14ac:dyDescent="0.35">
      <c r="A67" s="1" t="str">
        <f>IF(A65="","","   Available Water [maf]")</f>
        <v xml:space="preserve">   Available Water [maf]</v>
      </c>
      <c r="C67" s="12">
        <f>IF(OR(C$28="",$A67=""),"",C36+C53-C46+C64)</f>
        <v>0</v>
      </c>
      <c r="D67" s="12" t="str">
        <f>IF(OR(D$28="",$A67=""),"",D36+D53-D46+D64)</f>
        <v/>
      </c>
      <c r="E67" s="12" t="str">
        <f>IF(OR(E$28="",$A67=""),"",E36+E53-E46+E64)</f>
        <v/>
      </c>
      <c r="F67" s="12" t="str">
        <f>IF(OR(F$28="",$A67=""),"",F36+F53-F46+F64)</f>
        <v/>
      </c>
      <c r="G67" s="12" t="str">
        <f>IF(OR(G$28="",$A67=""),"",G36+G53-G46+G64)</f>
        <v/>
      </c>
      <c r="H67" s="12" t="str">
        <f t="shared" ref="H67:L67" si="46">IF(OR(H$28="",$A67=""),"",H36+H54-H46+H64)</f>
        <v/>
      </c>
      <c r="I67" s="12" t="str">
        <f t="shared" si="46"/>
        <v/>
      </c>
      <c r="J67" s="12" t="str">
        <f t="shared" si="46"/>
        <v/>
      </c>
      <c r="K67" s="12" t="str">
        <f t="shared" si="46"/>
        <v/>
      </c>
      <c r="L67" s="12" t="str">
        <f t="shared" si="46"/>
        <v/>
      </c>
      <c r="N67" s="141" t="s">
        <v>190</v>
      </c>
    </row>
    <row r="68" spans="1:14" x14ac:dyDescent="0.35">
      <c r="A68" s="125" t="str">
        <f>IF(A67="","","   Enter withdraw [maf] within available water")</f>
        <v xml:space="preserve">   Enter withdraw [maf] within available water</v>
      </c>
      <c r="C68" s="93"/>
      <c r="D68" s="93"/>
      <c r="E68" s="93"/>
      <c r="F68" s="93"/>
      <c r="G68" s="93"/>
      <c r="H68" s="93"/>
      <c r="I68" s="93"/>
      <c r="J68" s="93"/>
      <c r="K68" s="93"/>
      <c r="L68" s="93"/>
      <c r="N68" s="141" t="s">
        <v>195</v>
      </c>
    </row>
    <row r="69" spans="1:14" x14ac:dyDescent="0.35">
      <c r="A69" t="str">
        <f>IF(A68="","","   End of Year Balance [maf]")</f>
        <v xml:space="preserve">   End of Year Balance [maf]</v>
      </c>
      <c r="C69" s="12">
        <f>IF(OR(C$28="",$A69=""),"",C67-C68)</f>
        <v>0</v>
      </c>
      <c r="D69" s="12" t="str">
        <f t="shared" ref="D69:L69" si="47">IF(OR(D$28="",$A69=""),"",D67-D68)</f>
        <v/>
      </c>
      <c r="E69" s="12" t="str">
        <f t="shared" si="47"/>
        <v/>
      </c>
      <c r="F69" s="12" t="str">
        <f t="shared" si="47"/>
        <v/>
      </c>
      <c r="G69" s="12" t="str">
        <f t="shared" si="47"/>
        <v/>
      </c>
      <c r="H69" s="12" t="str">
        <f t="shared" si="47"/>
        <v/>
      </c>
      <c r="I69" s="12" t="str">
        <f t="shared" si="47"/>
        <v/>
      </c>
      <c r="J69" s="12" t="str">
        <f t="shared" si="47"/>
        <v/>
      </c>
      <c r="K69" s="12" t="str">
        <f t="shared" si="47"/>
        <v/>
      </c>
      <c r="L69" s="12" t="str">
        <f t="shared" si="47"/>
        <v/>
      </c>
      <c r="N69" s="141" t="s">
        <v>191</v>
      </c>
    </row>
    <row r="70" spans="1:14" x14ac:dyDescent="0.35">
      <c r="C70"/>
      <c r="N70" s="142"/>
    </row>
    <row r="71" spans="1:14" x14ac:dyDescent="0.35">
      <c r="A71" s="119" t="str">
        <f>IF(A$6="","[Unused]",A6&amp;" ("&amp;B6&amp;")")</f>
        <v>California ()</v>
      </c>
      <c r="B71" s="99"/>
      <c r="C71" s="99"/>
      <c r="D71" s="99"/>
      <c r="E71" s="99"/>
      <c r="F71" s="99"/>
      <c r="G71" s="99"/>
      <c r="H71" s="99"/>
      <c r="I71" s="99"/>
      <c r="J71" s="99"/>
      <c r="K71" s="99"/>
      <c r="L71" s="99"/>
      <c r="M71" s="100" t="s">
        <v>64</v>
      </c>
      <c r="N71" s="139" t="s">
        <v>186</v>
      </c>
    </row>
    <row r="72" spans="1:14" x14ac:dyDescent="0.35">
      <c r="A72" s="126" t="str">
        <f>IF(A71="[Unused]","",$A$64)</f>
        <v xml:space="preserve">   Enter volume to Buy(+) or Sell(-) [maf]</v>
      </c>
      <c r="C72" s="91"/>
      <c r="D72" s="91"/>
      <c r="E72" s="91"/>
      <c r="F72" s="91"/>
      <c r="G72" s="91"/>
      <c r="H72" s="91"/>
      <c r="I72" s="91"/>
      <c r="J72" s="91"/>
      <c r="K72" s="91"/>
      <c r="L72" s="91"/>
      <c r="M72" s="44">
        <f>SUM(C72:L72)</f>
        <v>0</v>
      </c>
      <c r="N72" s="144" t="s">
        <v>187</v>
      </c>
    </row>
    <row r="73" spans="1:14" x14ac:dyDescent="0.35">
      <c r="A73" s="126" t="str">
        <f>IF(A72="","",$A$65)</f>
        <v xml:space="preserve">   Enter compensation to Buy(-) or Sell(+) [$ Mill]</v>
      </c>
      <c r="C73" s="92"/>
      <c r="D73" s="92"/>
      <c r="E73" s="92"/>
      <c r="F73" s="92"/>
      <c r="G73" s="92"/>
      <c r="H73" s="92"/>
      <c r="I73" s="92"/>
      <c r="J73" s="92"/>
      <c r="K73" s="92"/>
      <c r="L73" s="92"/>
      <c r="M73" s="43">
        <f>SUM(C73:L73)</f>
        <v>0</v>
      </c>
      <c r="N73" s="145" t="s">
        <v>188</v>
      </c>
    </row>
    <row r="74" spans="1:14" x14ac:dyDescent="0.35">
      <c r="A74" s="131" t="str">
        <f>IF(A73="","",$A$66)</f>
        <v xml:space="preserve">   Net trade volume all participants (should be zero)</v>
      </c>
      <c r="C74" s="44">
        <f t="shared" ref="C74:M74" ca="1" si="48">IF(OR(C$28="",$A74=""),"",C$119)</f>
        <v>0</v>
      </c>
      <c r="D74" s="44" t="str">
        <f t="shared" si="48"/>
        <v/>
      </c>
      <c r="E74" s="44" t="str">
        <f t="shared" si="48"/>
        <v/>
      </c>
      <c r="F74" s="44" t="str">
        <f t="shared" si="48"/>
        <v/>
      </c>
      <c r="G74" s="44" t="str">
        <f t="shared" si="48"/>
        <v/>
      </c>
      <c r="H74" s="44" t="str">
        <f t="shared" si="48"/>
        <v/>
      </c>
      <c r="I74" s="44" t="str">
        <f t="shared" si="48"/>
        <v/>
      </c>
      <c r="J74" s="44" t="str">
        <f t="shared" si="48"/>
        <v/>
      </c>
      <c r="K74" s="44" t="str">
        <f t="shared" si="48"/>
        <v/>
      </c>
      <c r="L74" s="44" t="str">
        <f t="shared" si="48"/>
        <v/>
      </c>
      <c r="M74" t="str">
        <f t="shared" si="48"/>
        <v/>
      </c>
      <c r="N74" s="141" t="s">
        <v>189</v>
      </c>
    </row>
    <row r="75" spans="1:14" x14ac:dyDescent="0.35">
      <c r="A75" s="1" t="str">
        <f>IF(A73="","","   Available Water [maf]")</f>
        <v xml:space="preserve">   Available Water [maf]</v>
      </c>
      <c r="C75" s="12">
        <f>IF(OR(C$28="",$A75=""),"",C37+C55-C47+C72)</f>
        <v>5.9072463479917463</v>
      </c>
      <c r="D75" s="12" t="str">
        <f>IF(OR(D$28="",$A75=""),"",D37+D55-D47+D72)</f>
        <v/>
      </c>
      <c r="E75" s="12" t="str">
        <f t="shared" ref="E75:L75" si="49">IF(OR(E$28="",$A75=""),"",E37+E55-E47+E72)</f>
        <v/>
      </c>
      <c r="F75" s="12" t="str">
        <f t="shared" si="49"/>
        <v/>
      </c>
      <c r="G75" s="12" t="str">
        <f t="shared" si="49"/>
        <v/>
      </c>
      <c r="H75" s="12" t="str">
        <f t="shared" si="49"/>
        <v/>
      </c>
      <c r="I75" s="12" t="str">
        <f t="shared" si="49"/>
        <v/>
      </c>
      <c r="J75" s="12" t="str">
        <f t="shared" si="49"/>
        <v/>
      </c>
      <c r="K75" s="12" t="str">
        <f t="shared" si="49"/>
        <v/>
      </c>
      <c r="L75" s="12" t="str">
        <f t="shared" si="49"/>
        <v/>
      </c>
      <c r="N75" s="141" t="s">
        <v>190</v>
      </c>
    </row>
    <row r="76" spans="1:14" x14ac:dyDescent="0.35">
      <c r="A76" s="125" t="str">
        <f>IF(A75="","",$A$68)</f>
        <v xml:space="preserve">   Enter withdraw [maf] within available water</v>
      </c>
      <c r="C76" s="93"/>
      <c r="D76" s="93"/>
      <c r="E76" s="93"/>
      <c r="F76" s="93"/>
      <c r="G76" s="93"/>
      <c r="H76" s="93"/>
      <c r="I76" s="93"/>
      <c r="J76" s="93"/>
      <c r="K76" s="93"/>
      <c r="L76" s="93"/>
      <c r="N76" s="141" t="s">
        <v>195</v>
      </c>
    </row>
    <row r="77" spans="1:14" x14ac:dyDescent="0.35">
      <c r="A77" t="str">
        <f>IF(A76="","","   End of Year Balance [maf]")</f>
        <v xml:space="preserve">   End of Year Balance [maf]</v>
      </c>
      <c r="C77" s="12">
        <f>IF(OR(C$28="",$A77=""),"",C75-C76)</f>
        <v>5.9072463479917463</v>
      </c>
      <c r="D77" s="12" t="str">
        <f t="shared" ref="D77:L77" si="50">IF(OR(D$28="",$A77=""),"",D75-D76)</f>
        <v/>
      </c>
      <c r="E77" s="12" t="str">
        <f t="shared" si="50"/>
        <v/>
      </c>
      <c r="F77" s="12" t="str">
        <f t="shared" si="50"/>
        <v/>
      </c>
      <c r="G77" s="12" t="str">
        <f t="shared" si="50"/>
        <v/>
      </c>
      <c r="H77" s="12" t="str">
        <f t="shared" si="50"/>
        <v/>
      </c>
      <c r="I77" s="12" t="str">
        <f t="shared" si="50"/>
        <v/>
      </c>
      <c r="J77" s="12" t="str">
        <f t="shared" si="50"/>
        <v/>
      </c>
      <c r="K77" s="12" t="str">
        <f t="shared" si="50"/>
        <v/>
      </c>
      <c r="L77" s="12" t="str">
        <f t="shared" si="50"/>
        <v/>
      </c>
      <c r="N77" s="141" t="s">
        <v>191</v>
      </c>
    </row>
    <row r="78" spans="1:14" x14ac:dyDescent="0.35">
      <c r="C78"/>
      <c r="N78" s="142"/>
    </row>
    <row r="79" spans="1:14" x14ac:dyDescent="0.35">
      <c r="A79" s="119" t="str">
        <f>IF(A$7="","[Unused]",A7&amp;" ("&amp;B7&amp;")")</f>
        <v>Arizona ()</v>
      </c>
      <c r="B79" s="99"/>
      <c r="C79" s="99"/>
      <c r="D79" s="99"/>
      <c r="E79" s="99"/>
      <c r="F79" s="99"/>
      <c r="G79" s="99"/>
      <c r="H79" s="99"/>
      <c r="I79" s="99"/>
      <c r="J79" s="99"/>
      <c r="K79" s="99"/>
      <c r="L79" s="99"/>
      <c r="M79" s="100" t="s">
        <v>64</v>
      </c>
      <c r="N79" s="139" t="s">
        <v>186</v>
      </c>
    </row>
    <row r="80" spans="1:14" x14ac:dyDescent="0.35">
      <c r="A80" s="126" t="str">
        <f>IF(A79="[Unused]","",$A$64)</f>
        <v xml:space="preserve">   Enter volume to Buy(+) or Sell(-) [maf]</v>
      </c>
      <c r="C80" s="91"/>
      <c r="D80" s="91"/>
      <c r="E80" s="91"/>
      <c r="F80" s="91"/>
      <c r="G80" s="91"/>
      <c r="H80" s="91"/>
      <c r="I80" s="91"/>
      <c r="J80" s="91"/>
      <c r="K80" s="91"/>
      <c r="L80" s="91"/>
      <c r="M80" s="44">
        <f>SUM(C80:L80)</f>
        <v>0</v>
      </c>
      <c r="N80" s="144" t="s">
        <v>187</v>
      </c>
    </row>
    <row r="81" spans="1:14" x14ac:dyDescent="0.35">
      <c r="A81" s="126" t="str">
        <f>IF(A80="","",$A$65)</f>
        <v xml:space="preserve">   Enter compensation to Buy(-) or Sell(+) [$ Mill]</v>
      </c>
      <c r="C81" s="92"/>
      <c r="D81" s="92"/>
      <c r="E81" s="92"/>
      <c r="F81" s="92"/>
      <c r="G81" s="92"/>
      <c r="H81" s="92"/>
      <c r="I81" s="92"/>
      <c r="J81" s="92"/>
      <c r="K81" s="92"/>
      <c r="L81" s="92"/>
      <c r="M81" s="43">
        <f>SUM(C81:L81)</f>
        <v>0</v>
      </c>
      <c r="N81" s="145" t="s">
        <v>188</v>
      </c>
    </row>
    <row r="82" spans="1:14" x14ac:dyDescent="0.35">
      <c r="A82" s="131" t="str">
        <f>IF(A81="","",$A$66)</f>
        <v xml:space="preserve">   Net trade volume all participants (should be zero)</v>
      </c>
      <c r="C82" s="44">
        <f t="shared" ref="C82:M82" ca="1" si="51">IF(OR(C$28="",$A82=""),"",C$119)</f>
        <v>0</v>
      </c>
      <c r="D82" s="44" t="str">
        <f t="shared" si="51"/>
        <v/>
      </c>
      <c r="E82" s="44" t="str">
        <f t="shared" si="51"/>
        <v/>
      </c>
      <c r="F82" s="44" t="str">
        <f t="shared" si="51"/>
        <v/>
      </c>
      <c r="G82" s="44" t="str">
        <f t="shared" si="51"/>
        <v/>
      </c>
      <c r="H82" s="44" t="str">
        <f t="shared" si="51"/>
        <v/>
      </c>
      <c r="I82" s="44" t="str">
        <f t="shared" si="51"/>
        <v/>
      </c>
      <c r="J82" s="44" t="str">
        <f t="shared" si="51"/>
        <v/>
      </c>
      <c r="K82" s="44" t="str">
        <f t="shared" si="51"/>
        <v/>
      </c>
      <c r="L82" s="44" t="str">
        <f t="shared" si="51"/>
        <v/>
      </c>
      <c r="M82" t="str">
        <f t="shared" si="51"/>
        <v/>
      </c>
      <c r="N82" s="141" t="s">
        <v>189</v>
      </c>
    </row>
    <row r="83" spans="1:14" x14ac:dyDescent="0.35">
      <c r="A83" s="1" t="str">
        <f>IF(A81="","","   Available Water [maf]")</f>
        <v xml:space="preserve">   Available Water [maf]</v>
      </c>
      <c r="C83" s="12">
        <f>IF(OR(C$28="",$A83=""),"",C38+C56-C48+C80)</f>
        <v>2.5717755241130322</v>
      </c>
      <c r="D83" s="12" t="str">
        <f t="shared" ref="D83:L83" si="52">IF(OR(D$28="",$A83=""),"",D38+D56-D48+D80)</f>
        <v/>
      </c>
      <c r="E83" s="12" t="str">
        <f t="shared" si="52"/>
        <v/>
      </c>
      <c r="F83" s="12" t="str">
        <f t="shared" si="52"/>
        <v/>
      </c>
      <c r="G83" s="12" t="str">
        <f t="shared" si="52"/>
        <v/>
      </c>
      <c r="H83" s="12" t="str">
        <f t="shared" si="52"/>
        <v/>
      </c>
      <c r="I83" s="12" t="str">
        <f t="shared" si="52"/>
        <v/>
      </c>
      <c r="J83" s="12" t="str">
        <f t="shared" si="52"/>
        <v/>
      </c>
      <c r="K83" s="12" t="str">
        <f t="shared" si="52"/>
        <v/>
      </c>
      <c r="L83" s="12" t="str">
        <f t="shared" si="52"/>
        <v/>
      </c>
      <c r="N83" s="141" t="s">
        <v>190</v>
      </c>
    </row>
    <row r="84" spans="1:14" x14ac:dyDescent="0.35">
      <c r="A84" s="125" t="str">
        <f>IF(A83="","",$A$68)</f>
        <v xml:space="preserve">   Enter withdraw [maf] within available water</v>
      </c>
      <c r="C84" s="93"/>
      <c r="D84" s="93"/>
      <c r="E84" s="93"/>
      <c r="F84" s="93"/>
      <c r="G84" s="93"/>
      <c r="H84" s="93"/>
      <c r="I84" s="93"/>
      <c r="J84" s="93"/>
      <c r="K84" s="93"/>
      <c r="L84" s="93"/>
      <c r="N84" s="141" t="s">
        <v>195</v>
      </c>
    </row>
    <row r="85" spans="1:14" x14ac:dyDescent="0.35">
      <c r="A85" t="str">
        <f>IF(A84="","","   End of Year Balance [maf]")</f>
        <v xml:space="preserve">   End of Year Balance [maf]</v>
      </c>
      <c r="C85" s="12">
        <f>IF(OR(C$28="",$A85=""),"",C83-C84)</f>
        <v>2.5717755241130322</v>
      </c>
      <c r="D85" s="12" t="str">
        <f t="shared" ref="D85:L85" si="53">IF(OR(D$28="",$A85=""),"",D83-D84)</f>
        <v/>
      </c>
      <c r="E85" s="12" t="str">
        <f t="shared" si="53"/>
        <v/>
      </c>
      <c r="F85" s="12" t="str">
        <f t="shared" si="53"/>
        <v/>
      </c>
      <c r="G85" s="12" t="str">
        <f t="shared" si="53"/>
        <v/>
      </c>
      <c r="H85" s="12" t="str">
        <f t="shared" si="53"/>
        <v/>
      </c>
      <c r="I85" s="12" t="str">
        <f t="shared" si="53"/>
        <v/>
      </c>
      <c r="J85" s="12" t="str">
        <f t="shared" si="53"/>
        <v/>
      </c>
      <c r="K85" s="12" t="str">
        <f t="shared" si="53"/>
        <v/>
      </c>
      <c r="L85" s="12" t="str">
        <f t="shared" si="53"/>
        <v/>
      </c>
      <c r="N85" s="141" t="s">
        <v>191</v>
      </c>
    </row>
    <row r="86" spans="1:14" x14ac:dyDescent="0.35">
      <c r="C86"/>
      <c r="N86" s="142"/>
    </row>
    <row r="87" spans="1:14" x14ac:dyDescent="0.35">
      <c r="A87" s="119" t="str">
        <f>IF(A$8="","[Unused]",A8&amp;" ("&amp;B8&amp;")")</f>
        <v>Nevada ()</v>
      </c>
      <c r="B87" s="99"/>
      <c r="C87" s="99"/>
      <c r="D87" s="99"/>
      <c r="E87" s="99"/>
      <c r="F87" s="99"/>
      <c r="G87" s="99"/>
      <c r="H87" s="99"/>
      <c r="I87" s="99"/>
      <c r="J87" s="99"/>
      <c r="K87" s="99"/>
      <c r="L87" s="99"/>
      <c r="M87" s="100" t="s">
        <v>64</v>
      </c>
      <c r="N87" s="139" t="s">
        <v>186</v>
      </c>
    </row>
    <row r="88" spans="1:14" x14ac:dyDescent="0.35">
      <c r="A88" s="126" t="str">
        <f>IF(A87="[Unused]","",$A$64)</f>
        <v xml:space="preserve">   Enter volume to Buy(+) or Sell(-) [maf]</v>
      </c>
      <c r="C88" s="91"/>
      <c r="D88" s="91"/>
      <c r="E88" s="91"/>
      <c r="F88" s="91"/>
      <c r="G88" s="91"/>
      <c r="H88" s="91"/>
      <c r="I88" s="91"/>
      <c r="J88" s="91"/>
      <c r="K88" s="91"/>
      <c r="L88" s="91"/>
      <c r="M88" s="44">
        <f>SUM(C88:L88)</f>
        <v>0</v>
      </c>
      <c r="N88" s="144" t="s">
        <v>187</v>
      </c>
    </row>
    <row r="89" spans="1:14" x14ac:dyDescent="0.35">
      <c r="A89" s="126" t="str">
        <f>IF(A88="","",$A$65)</f>
        <v xml:space="preserve">   Enter compensation to Buy(-) or Sell(+) [$ Mill]</v>
      </c>
      <c r="C89" s="92"/>
      <c r="D89" s="92"/>
      <c r="E89" s="92"/>
      <c r="F89" s="92"/>
      <c r="G89" s="92"/>
      <c r="H89" s="92"/>
      <c r="I89" s="92"/>
      <c r="J89" s="92"/>
      <c r="K89" s="92"/>
      <c r="L89" s="92"/>
      <c r="M89" s="43">
        <f>SUM(C89:L89)</f>
        <v>0</v>
      </c>
      <c r="N89" s="145" t="s">
        <v>188</v>
      </c>
    </row>
    <row r="90" spans="1:14" x14ac:dyDescent="0.35">
      <c r="A90" s="131" t="str">
        <f>IF(A89="","",$A$66)</f>
        <v xml:space="preserve">   Net trade volume all participants (should be zero)</v>
      </c>
      <c r="C90" s="44">
        <f t="shared" ref="C90:M90" ca="1" si="54">IF(OR(C$28="",$A90=""),"",C$119)</f>
        <v>0</v>
      </c>
      <c r="D90" s="44" t="str">
        <f t="shared" si="54"/>
        <v/>
      </c>
      <c r="E90" s="44" t="str">
        <f t="shared" si="54"/>
        <v/>
      </c>
      <c r="F90" s="44" t="str">
        <f t="shared" si="54"/>
        <v/>
      </c>
      <c r="G90" s="44" t="str">
        <f t="shared" si="54"/>
        <v/>
      </c>
      <c r="H90" s="44" t="str">
        <f t="shared" si="54"/>
        <v/>
      </c>
      <c r="I90" s="44" t="str">
        <f t="shared" si="54"/>
        <v/>
      </c>
      <c r="J90" s="44" t="str">
        <f t="shared" si="54"/>
        <v/>
      </c>
      <c r="K90" s="44" t="str">
        <f t="shared" si="54"/>
        <v/>
      </c>
      <c r="L90" s="44" t="str">
        <f t="shared" si="54"/>
        <v/>
      </c>
      <c r="M90" t="str">
        <f t="shared" si="54"/>
        <v/>
      </c>
      <c r="N90" s="141" t="s">
        <v>189</v>
      </c>
    </row>
    <row r="91" spans="1:14" x14ac:dyDescent="0.35">
      <c r="A91" s="1" t="str">
        <f>IF(A89="","","   Available Water [maf]")</f>
        <v xml:space="preserve">   Available Water [maf]</v>
      </c>
      <c r="C91" s="12">
        <f>IF(OR(C$28="",$A91=""),"",C39+C57-C49+C88)</f>
        <v>1.2132951071428544</v>
      </c>
      <c r="D91" s="12" t="str">
        <f t="shared" ref="D91:L91" si="55">IF(OR(D$28="",$A91=""),"",D39+D57-D49+D88)</f>
        <v/>
      </c>
      <c r="E91" s="12" t="str">
        <f t="shared" si="55"/>
        <v/>
      </c>
      <c r="F91" s="12" t="str">
        <f t="shared" si="55"/>
        <v/>
      </c>
      <c r="G91" s="12" t="str">
        <f t="shared" si="55"/>
        <v/>
      </c>
      <c r="H91" s="117" t="str">
        <f t="shared" si="55"/>
        <v/>
      </c>
      <c r="I91" s="117" t="str">
        <f t="shared" si="55"/>
        <v/>
      </c>
      <c r="J91" s="117" t="str">
        <f t="shared" si="55"/>
        <v/>
      </c>
      <c r="K91" s="117" t="str">
        <f t="shared" si="55"/>
        <v/>
      </c>
      <c r="L91" s="117" t="str">
        <f t="shared" si="55"/>
        <v/>
      </c>
      <c r="N91" s="141" t="s">
        <v>190</v>
      </c>
    </row>
    <row r="92" spans="1:14" x14ac:dyDescent="0.35">
      <c r="A92" s="125" t="str">
        <f>IF(A91="","",$A$68)</f>
        <v xml:space="preserve">   Enter withdraw [maf] within available water</v>
      </c>
      <c r="C92" s="93"/>
      <c r="D92" s="93"/>
      <c r="E92" s="93"/>
      <c r="F92" s="93"/>
      <c r="G92" s="93"/>
      <c r="H92" s="118"/>
      <c r="I92" s="118"/>
      <c r="J92" s="118"/>
      <c r="K92" s="118"/>
      <c r="L92" s="118"/>
      <c r="N92" s="141" t="s">
        <v>195</v>
      </c>
    </row>
    <row r="93" spans="1:14" x14ac:dyDescent="0.35">
      <c r="A93" t="str">
        <f>IF(A92="","","   End of Year Balance [maf]")</f>
        <v xml:space="preserve">   End of Year Balance [maf]</v>
      </c>
      <c r="C93" s="12">
        <f>IF(OR(C$28="",$A93=""),"",C91-C92)</f>
        <v>1.2132951071428544</v>
      </c>
      <c r="D93" s="12" t="str">
        <f t="shared" ref="D93:L93" si="56">IF(OR(D$28="",$A93=""),"",D91-D92)</f>
        <v/>
      </c>
      <c r="E93" s="12" t="str">
        <f t="shared" si="56"/>
        <v/>
      </c>
      <c r="F93" s="12" t="str">
        <f t="shared" si="56"/>
        <v/>
      </c>
      <c r="G93" s="12" t="str">
        <f t="shared" si="56"/>
        <v/>
      </c>
      <c r="H93" s="12" t="str">
        <f t="shared" si="56"/>
        <v/>
      </c>
      <c r="I93" s="12" t="str">
        <f t="shared" si="56"/>
        <v/>
      </c>
      <c r="J93" s="12" t="str">
        <f t="shared" si="56"/>
        <v/>
      </c>
      <c r="K93" s="12" t="str">
        <f t="shared" si="56"/>
        <v/>
      </c>
      <c r="L93" s="12" t="str">
        <f t="shared" si="56"/>
        <v/>
      </c>
      <c r="N93" s="141" t="s">
        <v>191</v>
      </c>
    </row>
    <row r="94" spans="1:14" x14ac:dyDescent="0.35">
      <c r="C94"/>
      <c r="N94" s="142"/>
    </row>
    <row r="95" spans="1:14" x14ac:dyDescent="0.35">
      <c r="A95" s="119" t="str">
        <f>IF(A$9="","[Unused]",A9&amp;" ("&amp;B9&amp;")")</f>
        <v>Mexico ()</v>
      </c>
      <c r="B95" s="99"/>
      <c r="C95" s="99"/>
      <c r="D95" s="99"/>
      <c r="E95" s="99"/>
      <c r="F95" s="99"/>
      <c r="G95" s="99"/>
      <c r="H95" s="99"/>
      <c r="I95" s="99"/>
      <c r="J95" s="99"/>
      <c r="K95" s="99"/>
      <c r="L95" s="99"/>
      <c r="M95" s="100" t="s">
        <v>64</v>
      </c>
      <c r="N95" s="139" t="s">
        <v>186</v>
      </c>
    </row>
    <row r="96" spans="1:14" x14ac:dyDescent="0.35">
      <c r="A96" t="str">
        <f>IF(A95="[Unused]","",$A$64)</f>
        <v xml:space="preserve">   Enter volume to Buy(+) or Sell(-) [maf]</v>
      </c>
      <c r="C96" s="91"/>
      <c r="D96" s="91"/>
      <c r="E96" s="91"/>
      <c r="F96" s="91"/>
      <c r="G96" s="91"/>
      <c r="H96" s="91"/>
      <c r="I96" s="91"/>
      <c r="J96" s="91"/>
      <c r="K96" s="91"/>
      <c r="L96" s="91"/>
      <c r="M96" s="44">
        <f>SUM(C96:L96)</f>
        <v>0</v>
      </c>
      <c r="N96" s="144" t="s">
        <v>187</v>
      </c>
    </row>
    <row r="97" spans="1:14" x14ac:dyDescent="0.35">
      <c r="A97" t="str">
        <f>IF(A96="","",$A$65)</f>
        <v xml:space="preserve">   Enter compensation to Buy(-) or Sell(+) [$ Mill]</v>
      </c>
      <c r="C97" s="92"/>
      <c r="D97" s="92"/>
      <c r="E97" s="92"/>
      <c r="F97" s="92"/>
      <c r="G97" s="92"/>
      <c r="H97" s="92"/>
      <c r="I97" s="92"/>
      <c r="J97" s="92"/>
      <c r="K97" s="92"/>
      <c r="L97" s="92"/>
      <c r="M97" s="43">
        <f>SUM(C97:L97)</f>
        <v>0</v>
      </c>
      <c r="N97" s="145" t="s">
        <v>188</v>
      </c>
    </row>
    <row r="98" spans="1:14" x14ac:dyDescent="0.35">
      <c r="A98" s="131" t="str">
        <f>IF(A97="","",$A$66)</f>
        <v xml:space="preserve">   Net trade volume all participants (should be zero)</v>
      </c>
      <c r="C98" s="44">
        <f t="shared" ref="C98:M98" ca="1" si="57">IF(OR(C$28="",$A98=""),"",C$119)</f>
        <v>0</v>
      </c>
      <c r="D98" s="44" t="str">
        <f t="shared" si="57"/>
        <v/>
      </c>
      <c r="E98" s="44" t="str">
        <f t="shared" si="57"/>
        <v/>
      </c>
      <c r="F98" s="44" t="str">
        <f t="shared" si="57"/>
        <v/>
      </c>
      <c r="G98" s="44" t="str">
        <f t="shared" si="57"/>
        <v/>
      </c>
      <c r="H98" s="44" t="str">
        <f t="shared" si="57"/>
        <v/>
      </c>
      <c r="I98" s="44" t="str">
        <f t="shared" si="57"/>
        <v/>
      </c>
      <c r="J98" s="44" t="str">
        <f t="shared" si="57"/>
        <v/>
      </c>
      <c r="K98" s="44" t="str">
        <f t="shared" si="57"/>
        <v/>
      </c>
      <c r="L98" s="44" t="str">
        <f t="shared" si="57"/>
        <v/>
      </c>
      <c r="M98" t="str">
        <f t="shared" si="57"/>
        <v/>
      </c>
      <c r="N98" s="141" t="s">
        <v>189</v>
      </c>
    </row>
    <row r="99" spans="1:14" x14ac:dyDescent="0.35">
      <c r="A99" s="1" t="str">
        <f>IF(A97="","","   Available Water [maf]")</f>
        <v xml:space="preserve">   Available Water [maf]</v>
      </c>
      <c r="C99" s="12">
        <f>IF(OR(C$28="",$A99=""),"",C40+C58-C50+C96)</f>
        <v>1.7430786252342076</v>
      </c>
      <c r="D99" s="12" t="str">
        <f t="shared" ref="D99:L99" si="58">IF(OR(D$28="",$A99=""),"",D40+D58-D50+D96)</f>
        <v/>
      </c>
      <c r="E99" s="12" t="str">
        <f t="shared" si="58"/>
        <v/>
      </c>
      <c r="F99" s="12" t="str">
        <f t="shared" si="58"/>
        <v/>
      </c>
      <c r="G99" s="12" t="str">
        <f t="shared" si="58"/>
        <v/>
      </c>
      <c r="H99" s="12" t="str">
        <f t="shared" si="58"/>
        <v/>
      </c>
      <c r="I99" s="12" t="str">
        <f t="shared" si="58"/>
        <v/>
      </c>
      <c r="J99" s="12" t="str">
        <f t="shared" si="58"/>
        <v/>
      </c>
      <c r="K99" s="12" t="str">
        <f t="shared" si="58"/>
        <v/>
      </c>
      <c r="L99" s="12" t="str">
        <f t="shared" si="58"/>
        <v/>
      </c>
      <c r="N99" s="141" t="s">
        <v>190</v>
      </c>
    </row>
    <row r="100" spans="1:14" x14ac:dyDescent="0.35">
      <c r="A100" s="125" t="str">
        <f>IF(A99="","",$A$68)</f>
        <v xml:space="preserve">   Enter withdraw [maf] within available water</v>
      </c>
      <c r="C100" s="93"/>
      <c r="D100" s="93"/>
      <c r="E100" s="93"/>
      <c r="F100" s="93"/>
      <c r="G100" s="93"/>
      <c r="H100" s="93"/>
      <c r="I100" s="93"/>
      <c r="J100" s="93"/>
      <c r="K100" s="93"/>
      <c r="L100" s="93"/>
      <c r="N100" s="141" t="s">
        <v>195</v>
      </c>
    </row>
    <row r="101" spans="1:14" x14ac:dyDescent="0.35">
      <c r="A101" t="str">
        <f>IF(A100="","","   End of Year Balance [maf]")</f>
        <v xml:space="preserve">   End of Year Balance [maf]</v>
      </c>
      <c r="C101" s="12">
        <f>IF(OR(C$28="",$A101=""),"",C99-C100)</f>
        <v>1.7430786252342076</v>
      </c>
      <c r="D101" s="12" t="str">
        <f t="shared" ref="D101:L101" si="59">IF(OR(D$28="",$A101=""),"",D99-D100)</f>
        <v/>
      </c>
      <c r="E101" s="12" t="str">
        <f t="shared" si="59"/>
        <v/>
      </c>
      <c r="F101" s="12" t="str">
        <f t="shared" si="59"/>
        <v/>
      </c>
      <c r="G101" s="12" t="str">
        <f t="shared" si="59"/>
        <v/>
      </c>
      <c r="H101" s="12" t="str">
        <f t="shared" si="59"/>
        <v/>
      </c>
      <c r="I101" s="12" t="str">
        <f t="shared" si="59"/>
        <v/>
      </c>
      <c r="J101" s="12" t="str">
        <f t="shared" si="59"/>
        <v/>
      </c>
      <c r="K101" s="12" t="str">
        <f t="shared" si="59"/>
        <v/>
      </c>
      <c r="L101" s="12" t="str">
        <f t="shared" si="59"/>
        <v/>
      </c>
      <c r="N101" s="141" t="s">
        <v>191</v>
      </c>
    </row>
    <row r="102" spans="1:14" x14ac:dyDescent="0.35">
      <c r="C102"/>
      <c r="N102" s="142"/>
    </row>
    <row r="103" spans="1:14" x14ac:dyDescent="0.35">
      <c r="A103" s="119" t="str">
        <f>IF(A$10="","[Unused]",A10&amp;" ("&amp;B10&amp;")")</f>
        <v>Tribal Nations of the Lower Basin ()</v>
      </c>
      <c r="B103" s="99"/>
      <c r="C103" s="99"/>
      <c r="D103" s="99"/>
      <c r="E103" s="99"/>
      <c r="F103" s="99"/>
      <c r="G103" s="99"/>
      <c r="H103" s="99"/>
      <c r="I103" s="99"/>
      <c r="J103" s="99"/>
      <c r="K103" s="99"/>
      <c r="L103" s="99"/>
      <c r="M103" s="100" t="s">
        <v>64</v>
      </c>
      <c r="N103" s="139" t="s">
        <v>186</v>
      </c>
    </row>
    <row r="104" spans="1:14" x14ac:dyDescent="0.35">
      <c r="A104" s="126" t="str">
        <f>IF(A103="[Unused]","",$A$64)</f>
        <v xml:space="preserve">   Enter volume to Buy(+) or Sell(-) [maf]</v>
      </c>
      <c r="C104" s="220"/>
      <c r="D104" s="220"/>
      <c r="E104" s="220"/>
      <c r="F104" s="220"/>
      <c r="G104" s="220"/>
      <c r="H104" s="17"/>
      <c r="I104" s="17"/>
      <c r="J104" s="17"/>
      <c r="K104" s="17"/>
      <c r="L104" s="17"/>
      <c r="M104" s="44">
        <f>SUM(C104:L104)</f>
        <v>0</v>
      </c>
      <c r="N104" s="144" t="s">
        <v>187</v>
      </c>
    </row>
    <row r="105" spans="1:14" x14ac:dyDescent="0.35">
      <c r="A105" s="126" t="str">
        <f>IF(A104="","",$A$65)</f>
        <v xml:space="preserve">   Enter compensation to Buy(-) or Sell(+) [$ Mill]</v>
      </c>
      <c r="C105" s="221"/>
      <c r="D105" s="221"/>
      <c r="E105" s="221"/>
      <c r="F105" s="221"/>
      <c r="G105" s="221"/>
      <c r="H105" s="112"/>
      <c r="I105" s="112"/>
      <c r="J105" s="112"/>
      <c r="K105" s="112"/>
      <c r="L105" s="112"/>
      <c r="M105" s="43">
        <f>SUM(C105:L105)</f>
        <v>0</v>
      </c>
      <c r="N105" s="145" t="s">
        <v>188</v>
      </c>
    </row>
    <row r="106" spans="1:14" x14ac:dyDescent="0.35">
      <c r="A106" s="131" t="str">
        <f>IF(A105="","",$A$66)</f>
        <v xml:space="preserve">   Net trade volume all participants (should be zero)</v>
      </c>
      <c r="C106" s="44">
        <f t="shared" ref="C106:M106" ca="1" si="60">IF(OR(C$28="",$A106=""),"",C$119)</f>
        <v>0</v>
      </c>
      <c r="D106" s="44" t="str">
        <f t="shared" si="60"/>
        <v/>
      </c>
      <c r="E106" s="44" t="str">
        <f t="shared" si="60"/>
        <v/>
      </c>
      <c r="F106" s="44" t="str">
        <f t="shared" si="60"/>
        <v/>
      </c>
      <c r="G106" s="44" t="str">
        <f t="shared" si="60"/>
        <v/>
      </c>
      <c r="H106" s="44" t="str">
        <f t="shared" si="60"/>
        <v/>
      </c>
      <c r="I106" s="44" t="str">
        <f t="shared" si="60"/>
        <v/>
      </c>
      <c r="J106" s="44" t="str">
        <f t="shared" si="60"/>
        <v/>
      </c>
      <c r="K106" s="44" t="str">
        <f t="shared" si="60"/>
        <v/>
      </c>
      <c r="L106" s="44" t="str">
        <f t="shared" si="60"/>
        <v/>
      </c>
      <c r="M106" t="str">
        <f t="shared" si="60"/>
        <v/>
      </c>
      <c r="N106" s="141" t="s">
        <v>189</v>
      </c>
    </row>
    <row r="107" spans="1:14" x14ac:dyDescent="0.35">
      <c r="A107" s="1" t="str">
        <f>IF(A105="","","   Available Water [maf]")</f>
        <v xml:space="preserve">   Available Water [maf]</v>
      </c>
      <c r="C107" s="12">
        <f>IF(OR(C$28="",$A107=""),"",C41+C59-C51+C104)</f>
        <v>6.0206156923648164</v>
      </c>
      <c r="D107" s="12" t="str">
        <f t="shared" ref="D107:L107" si="61">IF(OR(D$28="",$A107=""),"",D41+D59-D51+D104)</f>
        <v/>
      </c>
      <c r="E107" s="12" t="str">
        <f t="shared" si="61"/>
        <v/>
      </c>
      <c r="F107" s="12" t="str">
        <f t="shared" si="61"/>
        <v/>
      </c>
      <c r="G107" s="12" t="str">
        <f t="shared" si="61"/>
        <v/>
      </c>
      <c r="H107" s="12" t="str">
        <f t="shared" si="61"/>
        <v/>
      </c>
      <c r="I107" s="12" t="str">
        <f t="shared" si="61"/>
        <v/>
      </c>
      <c r="J107" s="12" t="str">
        <f t="shared" si="61"/>
        <v/>
      </c>
      <c r="K107" s="12" t="str">
        <f t="shared" si="61"/>
        <v/>
      </c>
      <c r="L107" s="12" t="str">
        <f t="shared" si="61"/>
        <v/>
      </c>
      <c r="N107" s="141" t="s">
        <v>190</v>
      </c>
    </row>
    <row r="108" spans="1:14" x14ac:dyDescent="0.35">
      <c r="A108" s="125" t="str">
        <f>IF(A107="","",$A$68)</f>
        <v xml:space="preserve">   Enter withdraw [maf] within available water</v>
      </c>
      <c r="C108" s="222"/>
      <c r="D108" s="222"/>
      <c r="E108" s="222"/>
      <c r="F108" s="222"/>
      <c r="G108" s="222"/>
      <c r="H108" s="27"/>
      <c r="I108" s="27"/>
      <c r="J108" s="27"/>
      <c r="K108" s="27"/>
      <c r="L108" s="27"/>
      <c r="N108" s="141" t="s">
        <v>195</v>
      </c>
    </row>
    <row r="109" spans="1:14" x14ac:dyDescent="0.35">
      <c r="A109" t="str">
        <f>IF(A108="","","   End of Year Balance [maf]")</f>
        <v xml:space="preserve">   End of Year Balance [maf]</v>
      </c>
      <c r="C109" s="12">
        <f>IF(OR(C$28="",$A109=""),"",C107-C108)</f>
        <v>6.0206156923648164</v>
      </c>
      <c r="D109" s="12" t="str">
        <f t="shared" ref="D109:L109" si="62">IF(OR(D$28="",$A109=""),"",D107-D108)</f>
        <v/>
      </c>
      <c r="E109" s="12" t="str">
        <f t="shared" si="62"/>
        <v/>
      </c>
      <c r="F109" s="12" t="str">
        <f t="shared" si="62"/>
        <v/>
      </c>
      <c r="G109" s="12" t="str">
        <f t="shared" si="62"/>
        <v/>
      </c>
      <c r="H109" s="12" t="str">
        <f t="shared" si="62"/>
        <v/>
      </c>
      <c r="I109" s="12" t="str">
        <f t="shared" si="62"/>
        <v/>
      </c>
      <c r="J109" s="12" t="str">
        <f t="shared" si="62"/>
        <v/>
      </c>
      <c r="K109" s="12" t="str">
        <f t="shared" si="62"/>
        <v/>
      </c>
      <c r="L109" s="12" t="str">
        <f t="shared" si="62"/>
        <v/>
      </c>
      <c r="N109" s="141" t="s">
        <v>191</v>
      </c>
    </row>
    <row r="110" spans="1:14" x14ac:dyDescent="0.35">
      <c r="C110"/>
      <c r="N110" s="142"/>
    </row>
    <row r="111" spans="1:14" x14ac:dyDescent="0.35">
      <c r="A111" s="101" t="s">
        <v>228</v>
      </c>
      <c r="B111" s="101"/>
      <c r="C111" s="101"/>
      <c r="D111" s="101"/>
      <c r="E111" s="101"/>
      <c r="F111" s="101"/>
      <c r="G111" s="101"/>
      <c r="H111" s="101"/>
      <c r="I111" s="101"/>
      <c r="J111" s="101"/>
      <c r="K111" s="101"/>
      <c r="L111" s="101"/>
      <c r="M111" s="101"/>
      <c r="N111" s="141" t="s">
        <v>192</v>
      </c>
    </row>
    <row r="112" spans="1:14" x14ac:dyDescent="0.35">
      <c r="A112" s="1" t="s">
        <v>142</v>
      </c>
      <c r="C112"/>
      <c r="M112" t="s">
        <v>89</v>
      </c>
      <c r="N112" s="142"/>
    </row>
    <row r="113" spans="1:14" x14ac:dyDescent="0.35">
      <c r="A113" t="str">
        <f t="shared" ref="A113:A118" si="63">IF(A5="","","    "&amp;A5)</f>
        <v xml:space="preserve">    Reclamation - Protect Zone</v>
      </c>
      <c r="B113" s="1"/>
      <c r="C113" s="44">
        <f t="shared" ref="C113:L113" ca="1" si="64">IF(OR(C$28="",$A113=""),"",OFFSET(C$64,8*(ROW(B113)-ROW(B$113)),0))</f>
        <v>0</v>
      </c>
      <c r="D113" s="44" t="str">
        <f t="shared" ca="1" si="64"/>
        <v/>
      </c>
      <c r="E113" s="44" t="str">
        <f t="shared" ca="1" si="64"/>
        <v/>
      </c>
      <c r="F113" s="44" t="str">
        <f t="shared" ca="1" si="64"/>
        <v/>
      </c>
      <c r="G113" s="44" t="str">
        <f t="shared" ca="1" si="64"/>
        <v/>
      </c>
      <c r="H113" s="44" t="str">
        <f t="shared" ca="1" si="64"/>
        <v/>
      </c>
      <c r="I113" s="44" t="str">
        <f t="shared" ca="1" si="64"/>
        <v/>
      </c>
      <c r="J113" s="44" t="str">
        <f t="shared" ca="1" si="64"/>
        <v/>
      </c>
      <c r="K113" s="44" t="str">
        <f t="shared" ca="1" si="64"/>
        <v/>
      </c>
      <c r="L113" s="135" t="str">
        <f t="shared" ca="1" si="64"/>
        <v/>
      </c>
      <c r="M113" s="136">
        <f ca="1">IF(OR($A113=""),"",SUM(C113:L113))</f>
        <v>0</v>
      </c>
      <c r="N113" s="146"/>
    </row>
    <row r="114" spans="1:14" x14ac:dyDescent="0.35">
      <c r="A114" t="str">
        <f t="shared" si="63"/>
        <v xml:space="preserve">    California</v>
      </c>
      <c r="B114" s="1"/>
      <c r="C114" s="44">
        <f t="shared" ref="C114:L114" ca="1" si="65">IF(OR(C$28="",$A114=""),"",OFFSET(C$64,8*(ROW(B114)-ROW(B$113)),0))</f>
        <v>0</v>
      </c>
      <c r="D114" s="44" t="str">
        <f t="shared" ca="1" si="65"/>
        <v/>
      </c>
      <c r="E114" s="44" t="str">
        <f t="shared" ca="1" si="65"/>
        <v/>
      </c>
      <c r="F114" s="44" t="str">
        <f t="shared" ca="1" si="65"/>
        <v/>
      </c>
      <c r="G114" s="44" t="str">
        <f t="shared" ca="1" si="65"/>
        <v/>
      </c>
      <c r="H114" s="44" t="str">
        <f t="shared" ca="1" si="65"/>
        <v/>
      </c>
      <c r="I114" s="44" t="str">
        <f t="shared" ca="1" si="65"/>
        <v/>
      </c>
      <c r="J114" s="44" t="str">
        <f t="shared" ca="1" si="65"/>
        <v/>
      </c>
      <c r="K114" s="44" t="str">
        <f t="shared" ca="1" si="65"/>
        <v/>
      </c>
      <c r="L114" s="135" t="str">
        <f t="shared" ca="1" si="65"/>
        <v/>
      </c>
      <c r="M114" s="136">
        <f t="shared" ref="M114:M118" ca="1" si="66">IF(OR($A114=""),"",SUM(C114:L114))</f>
        <v>0</v>
      </c>
      <c r="N114" s="146"/>
    </row>
    <row r="115" spans="1:14" x14ac:dyDescent="0.35">
      <c r="A115" t="str">
        <f t="shared" si="63"/>
        <v xml:space="preserve">    Arizona</v>
      </c>
      <c r="B115" s="1"/>
      <c r="C115" s="44">
        <f t="shared" ref="C115:L115" ca="1" si="67">IF(OR(C$28="",$A115=""),"",OFFSET(C$64,8*(ROW(B115)-ROW(B$113)),0))</f>
        <v>0</v>
      </c>
      <c r="D115" s="44" t="str">
        <f t="shared" ca="1" si="67"/>
        <v/>
      </c>
      <c r="E115" s="44" t="str">
        <f t="shared" ca="1" si="67"/>
        <v/>
      </c>
      <c r="F115" s="44" t="str">
        <f t="shared" ca="1" si="67"/>
        <v/>
      </c>
      <c r="G115" s="44" t="str">
        <f t="shared" ca="1" si="67"/>
        <v/>
      </c>
      <c r="H115" s="44" t="str">
        <f t="shared" ca="1" si="67"/>
        <v/>
      </c>
      <c r="I115" s="44" t="str">
        <f t="shared" ca="1" si="67"/>
        <v/>
      </c>
      <c r="J115" s="44" t="str">
        <f t="shared" ca="1" si="67"/>
        <v/>
      </c>
      <c r="K115" s="44" t="str">
        <f t="shared" ca="1" si="67"/>
        <v/>
      </c>
      <c r="L115" s="135" t="str">
        <f t="shared" ca="1" si="67"/>
        <v/>
      </c>
      <c r="M115" s="136">
        <f t="shared" ca="1" si="66"/>
        <v>0</v>
      </c>
      <c r="N115" s="146"/>
    </row>
    <row r="116" spans="1:14" x14ac:dyDescent="0.35">
      <c r="A116" t="str">
        <f t="shared" si="63"/>
        <v xml:space="preserve">    Nevada</v>
      </c>
      <c r="B116" s="1"/>
      <c r="C116" s="44">
        <f t="shared" ref="C116:L116" ca="1" si="68">IF(OR(C$28="",$A116=""),"",OFFSET(C$64,8*(ROW(B116)-ROW(B$113)),0))</f>
        <v>0</v>
      </c>
      <c r="D116" s="44" t="str">
        <f t="shared" ca="1" si="68"/>
        <v/>
      </c>
      <c r="E116" s="44" t="str">
        <f t="shared" ca="1" si="68"/>
        <v/>
      </c>
      <c r="F116" s="44" t="str">
        <f t="shared" ca="1" si="68"/>
        <v/>
      </c>
      <c r="G116" s="44" t="str">
        <f t="shared" ca="1" si="68"/>
        <v/>
      </c>
      <c r="H116" s="44" t="str">
        <f t="shared" ca="1" si="68"/>
        <v/>
      </c>
      <c r="I116" s="44" t="str">
        <f t="shared" ca="1" si="68"/>
        <v/>
      </c>
      <c r="J116" s="44" t="str">
        <f t="shared" ca="1" si="68"/>
        <v/>
      </c>
      <c r="K116" s="44" t="str">
        <f t="shared" ca="1" si="68"/>
        <v/>
      </c>
      <c r="L116" s="135" t="str">
        <f t="shared" ca="1" si="68"/>
        <v/>
      </c>
      <c r="M116" s="136">
        <f t="shared" ca="1" si="66"/>
        <v>0</v>
      </c>
      <c r="N116" s="146"/>
    </row>
    <row r="117" spans="1:14" x14ac:dyDescent="0.35">
      <c r="A117" t="str">
        <f t="shared" si="63"/>
        <v xml:space="preserve">    Mexico</v>
      </c>
      <c r="B117" s="1"/>
      <c r="C117" s="44">
        <f t="shared" ref="C117:L117" ca="1" si="69">IF(OR(C$28="",$A117=""),"",OFFSET(C$64,8*(ROW(B117)-ROW(B$113)),0))</f>
        <v>0</v>
      </c>
      <c r="D117" s="44" t="str">
        <f t="shared" ca="1" si="69"/>
        <v/>
      </c>
      <c r="E117" s="44" t="str">
        <f t="shared" ca="1" si="69"/>
        <v/>
      </c>
      <c r="F117" s="44" t="str">
        <f t="shared" ca="1" si="69"/>
        <v/>
      </c>
      <c r="G117" s="44" t="str">
        <f t="shared" ca="1" si="69"/>
        <v/>
      </c>
      <c r="H117" s="44" t="str">
        <f t="shared" ca="1" si="69"/>
        <v/>
      </c>
      <c r="I117" s="44" t="str">
        <f t="shared" ca="1" si="69"/>
        <v/>
      </c>
      <c r="J117" s="44" t="str">
        <f t="shared" ca="1" si="69"/>
        <v/>
      </c>
      <c r="K117" s="44" t="str">
        <f t="shared" ca="1" si="69"/>
        <v/>
      </c>
      <c r="L117" s="135" t="str">
        <f t="shared" ca="1" si="69"/>
        <v/>
      </c>
      <c r="M117" s="136">
        <f t="shared" ca="1" si="66"/>
        <v>0</v>
      </c>
      <c r="N117" s="146"/>
    </row>
    <row r="118" spans="1:14" x14ac:dyDescent="0.35">
      <c r="A118" t="str">
        <f t="shared" si="63"/>
        <v xml:space="preserve">    Tribal Nations of the Lower Basin</v>
      </c>
      <c r="B118" s="1"/>
      <c r="C118" s="44">
        <f t="shared" ref="C118:L118" ca="1" si="70">IF(OR(C$28="",$A118=""),"",OFFSET(C$64,8*(ROW(B118)-ROW(B$113)),0))</f>
        <v>0</v>
      </c>
      <c r="D118" s="44" t="str">
        <f t="shared" ca="1" si="70"/>
        <v/>
      </c>
      <c r="E118" s="44" t="str">
        <f t="shared" ca="1" si="70"/>
        <v/>
      </c>
      <c r="F118" s="44" t="str">
        <f t="shared" ca="1" si="70"/>
        <v/>
      </c>
      <c r="G118" s="44" t="str">
        <f t="shared" ca="1" si="70"/>
        <v/>
      </c>
      <c r="H118" s="44" t="str">
        <f t="shared" ca="1" si="70"/>
        <v/>
      </c>
      <c r="I118" s="44" t="str">
        <f t="shared" ca="1" si="70"/>
        <v/>
      </c>
      <c r="J118" s="44" t="str">
        <f t="shared" ca="1" si="70"/>
        <v/>
      </c>
      <c r="K118" s="44" t="str">
        <f t="shared" ca="1" si="70"/>
        <v/>
      </c>
      <c r="L118" s="135" t="str">
        <f t="shared" ca="1" si="70"/>
        <v/>
      </c>
      <c r="M118" s="136">
        <f t="shared" ca="1" si="66"/>
        <v>0</v>
      </c>
      <c r="N118" s="146"/>
    </row>
    <row r="119" spans="1:14" x14ac:dyDescent="0.35">
      <c r="A119" t="s">
        <v>77</v>
      </c>
      <c r="B119" s="1"/>
      <c r="C119" s="12">
        <f ca="1">IF(C$28&lt;&gt;"",SUM(C113:C118),"")</f>
        <v>0</v>
      </c>
      <c r="D119" s="12" t="str">
        <f t="shared" ref="D119:L119" si="71">IF(D$28&lt;&gt;"",SUM(D113:D118),"")</f>
        <v/>
      </c>
      <c r="E119" s="12" t="str">
        <f t="shared" si="71"/>
        <v/>
      </c>
      <c r="F119" s="12" t="str">
        <f t="shared" si="71"/>
        <v/>
      </c>
      <c r="G119" s="12" t="str">
        <f t="shared" si="71"/>
        <v/>
      </c>
      <c r="H119" s="32" t="str">
        <f t="shared" si="71"/>
        <v/>
      </c>
      <c r="I119" s="32" t="str">
        <f t="shared" si="71"/>
        <v/>
      </c>
      <c r="J119" s="32" t="str">
        <f t="shared" si="71"/>
        <v/>
      </c>
      <c r="K119" s="32" t="str">
        <f t="shared" si="71"/>
        <v/>
      </c>
      <c r="L119" s="32" t="str">
        <f t="shared" si="71"/>
        <v/>
      </c>
      <c r="M119" s="20"/>
      <c r="N119" s="147"/>
    </row>
    <row r="120" spans="1:14" x14ac:dyDescent="0.35">
      <c r="A120" s="1" t="s">
        <v>143</v>
      </c>
      <c r="B120" s="1"/>
      <c r="C120" s="34"/>
      <c r="D120" s="2"/>
      <c r="E120" s="34"/>
      <c r="F120" s="2"/>
      <c r="G120" s="2"/>
      <c r="H120" s="2"/>
      <c r="I120" s="2"/>
      <c r="J120" s="2"/>
      <c r="K120" s="2"/>
      <c r="L120" s="2"/>
      <c r="N120" s="142"/>
    </row>
    <row r="121" spans="1:14" x14ac:dyDescent="0.35">
      <c r="A121" t="str">
        <f>IF(A5="","","    "&amp;A5&amp;" - Consumptive Use and Headwaters Losses")</f>
        <v xml:space="preserve">    Reclamation - Protect Zone - Consumptive Use and Headwaters Losses</v>
      </c>
      <c r="C121" s="44">
        <f t="shared" ref="C121:L121" ca="1" si="72">IF(OR(C$28="",$A121=""),"",OFFSET(C$68,8*(ROW(B121)-ROW(B$121)),0))</f>
        <v>0</v>
      </c>
      <c r="D121" s="44" t="str">
        <f t="shared" ca="1" si="72"/>
        <v/>
      </c>
      <c r="E121" s="44" t="str">
        <f t="shared" ca="1" si="72"/>
        <v/>
      </c>
      <c r="F121" s="44" t="str">
        <f t="shared" ca="1" si="72"/>
        <v/>
      </c>
      <c r="G121" s="44" t="str">
        <f t="shared" ca="1" si="72"/>
        <v/>
      </c>
      <c r="H121" s="44" t="str">
        <f t="shared" ca="1" si="72"/>
        <v/>
      </c>
      <c r="I121" s="44" t="str">
        <f t="shared" ca="1" si="72"/>
        <v/>
      </c>
      <c r="J121" s="44" t="str">
        <f t="shared" ca="1" si="72"/>
        <v/>
      </c>
      <c r="K121" s="44" t="str">
        <f t="shared" ca="1" si="72"/>
        <v/>
      </c>
      <c r="L121" s="44" t="str">
        <f t="shared" ca="1" si="72"/>
        <v/>
      </c>
      <c r="N121" s="142"/>
    </row>
    <row r="122" spans="1:14" x14ac:dyDescent="0.35">
      <c r="A122" t="str">
        <f>IF(A6="","","    "&amp;A6&amp;" - Release from Mead")</f>
        <v xml:space="preserve">    California - Release from Mead</v>
      </c>
      <c r="C122" s="44">
        <f t="shared" ref="C122:L122" ca="1" si="73">IF(OR(C$28="",$A122=""),"",OFFSET(C$68,8*(ROW(B122)-ROW(B$121)),0))</f>
        <v>0</v>
      </c>
      <c r="D122" s="44" t="str">
        <f t="shared" ca="1" si="73"/>
        <v/>
      </c>
      <c r="E122" s="44" t="str">
        <f t="shared" ca="1" si="73"/>
        <v/>
      </c>
      <c r="F122" s="44" t="str">
        <f t="shared" ca="1" si="73"/>
        <v/>
      </c>
      <c r="G122" s="44" t="str">
        <f t="shared" ca="1" si="73"/>
        <v/>
      </c>
      <c r="H122" s="44" t="str">
        <f t="shared" ca="1" si="73"/>
        <v/>
      </c>
      <c r="I122" s="44" t="str">
        <f t="shared" ca="1" si="73"/>
        <v/>
      </c>
      <c r="J122" s="44" t="str">
        <f t="shared" ca="1" si="73"/>
        <v/>
      </c>
      <c r="K122" s="44" t="str">
        <f t="shared" ca="1" si="73"/>
        <v/>
      </c>
      <c r="L122" s="44" t="str">
        <f t="shared" ca="1" si="73"/>
        <v/>
      </c>
      <c r="N122" s="142"/>
    </row>
    <row r="123" spans="1:14" x14ac:dyDescent="0.35">
      <c r="A123" t="str">
        <f>IF(A7="","","    "&amp;A7&amp;" - Release from Mead")</f>
        <v xml:space="preserve">    Arizona - Release from Mead</v>
      </c>
      <c r="C123" s="44">
        <f t="shared" ref="C123:L123" ca="1" si="74">IF(OR(C$28="",$A123=""),"",OFFSET(C$68,8*(ROW(B123)-ROW(B$121)),0))</f>
        <v>0</v>
      </c>
      <c r="D123" s="44" t="str">
        <f t="shared" ca="1" si="74"/>
        <v/>
      </c>
      <c r="E123" s="44" t="str">
        <f t="shared" ca="1" si="74"/>
        <v/>
      </c>
      <c r="F123" s="44" t="str">
        <f t="shared" ca="1" si="74"/>
        <v/>
      </c>
      <c r="G123" s="44" t="str">
        <f t="shared" ca="1" si="74"/>
        <v/>
      </c>
      <c r="H123" s="44" t="str">
        <f t="shared" ca="1" si="74"/>
        <v/>
      </c>
      <c r="I123" s="44" t="str">
        <f t="shared" ca="1" si="74"/>
        <v/>
      </c>
      <c r="J123" s="44" t="str">
        <f t="shared" ca="1" si="74"/>
        <v/>
      </c>
      <c r="K123" s="44" t="str">
        <f t="shared" ca="1" si="74"/>
        <v/>
      </c>
      <c r="L123" s="44" t="str">
        <f t="shared" ca="1" si="74"/>
        <v/>
      </c>
      <c r="N123" s="142"/>
    </row>
    <row r="124" spans="1:14" x14ac:dyDescent="0.35">
      <c r="A124" t="str">
        <f>IF(A8="","","    "&amp;A8&amp;" - Release from Mead")</f>
        <v xml:space="preserve">    Nevada - Release from Mead</v>
      </c>
      <c r="C124" s="44">
        <f t="shared" ref="C124:L124" ca="1" si="75">IF(OR(C$28="",$A124=""),"",OFFSET(C$68,8*(ROW(B124)-ROW(B$121)),0))</f>
        <v>0</v>
      </c>
      <c r="D124" s="44" t="str">
        <f t="shared" ca="1" si="75"/>
        <v/>
      </c>
      <c r="E124" s="44" t="str">
        <f t="shared" ca="1" si="75"/>
        <v/>
      </c>
      <c r="F124" s="44" t="str">
        <f t="shared" ca="1" si="75"/>
        <v/>
      </c>
      <c r="G124" s="44" t="str">
        <f t="shared" ca="1" si="75"/>
        <v/>
      </c>
      <c r="H124" s="44" t="str">
        <f t="shared" ca="1" si="75"/>
        <v/>
      </c>
      <c r="I124" s="44" t="str">
        <f t="shared" ca="1" si="75"/>
        <v/>
      </c>
      <c r="J124" s="44" t="str">
        <f t="shared" ca="1" si="75"/>
        <v/>
      </c>
      <c r="K124" s="44" t="str">
        <f t="shared" ca="1" si="75"/>
        <v/>
      </c>
      <c r="L124" s="44" t="str">
        <f t="shared" ca="1" si="75"/>
        <v/>
      </c>
      <c r="N124" s="142"/>
    </row>
    <row r="125" spans="1:14" x14ac:dyDescent="0.35">
      <c r="A125" t="str">
        <f>IF(A9="","","    "&amp;A9&amp;" - Release from Mead")</f>
        <v xml:space="preserve">    Mexico - Release from Mead</v>
      </c>
      <c r="C125" s="44">
        <f t="shared" ref="C125:L125" ca="1" si="76">IF(OR(C$28="",$A125=""),"",OFFSET(C$68,8*(ROW(B125)-ROW(B$121)),0))</f>
        <v>0</v>
      </c>
      <c r="D125" s="44" t="str">
        <f t="shared" ca="1" si="76"/>
        <v/>
      </c>
      <c r="E125" s="44" t="str">
        <f t="shared" ca="1" si="76"/>
        <v/>
      </c>
      <c r="F125" s="44" t="str">
        <f t="shared" ca="1" si="76"/>
        <v/>
      </c>
      <c r="G125" s="44" t="str">
        <f t="shared" ca="1" si="76"/>
        <v/>
      </c>
      <c r="H125" s="44" t="str">
        <f t="shared" ca="1" si="76"/>
        <v/>
      </c>
      <c r="I125" s="44" t="str">
        <f t="shared" ca="1" si="76"/>
        <v/>
      </c>
      <c r="J125" s="44" t="str">
        <f t="shared" ca="1" si="76"/>
        <v/>
      </c>
      <c r="K125" s="44" t="str">
        <f t="shared" ca="1" si="76"/>
        <v/>
      </c>
      <c r="L125" s="44" t="str">
        <f t="shared" ca="1" si="76"/>
        <v/>
      </c>
      <c r="N125" s="142"/>
    </row>
    <row r="126" spans="1:14" x14ac:dyDescent="0.35">
      <c r="A126" t="str">
        <f>IF(A10="","","    "&amp;A10&amp;" - Release from Mead")</f>
        <v xml:space="preserve">    Tribal Nations of the Lower Basin - Release from Mead</v>
      </c>
      <c r="C126" s="44">
        <f t="shared" ref="C126:L126" ca="1" si="77">IF(OR(C$28="",$A126=""),"",OFFSET(C$68,8*(ROW(B126)-ROW(B$121)),0))</f>
        <v>0</v>
      </c>
      <c r="D126" s="44" t="str">
        <f t="shared" ca="1" si="77"/>
        <v/>
      </c>
      <c r="E126" s="44" t="str">
        <f t="shared" ca="1" si="77"/>
        <v/>
      </c>
      <c r="F126" s="44" t="str">
        <f t="shared" ca="1" si="77"/>
        <v/>
      </c>
      <c r="G126" s="44" t="str">
        <f t="shared" ca="1" si="77"/>
        <v/>
      </c>
      <c r="H126" s="44" t="str">
        <f t="shared" ca="1" si="77"/>
        <v/>
      </c>
      <c r="I126" s="44" t="str">
        <f t="shared" ca="1" si="77"/>
        <v/>
      </c>
      <c r="J126" s="44" t="str">
        <f t="shared" ca="1" si="77"/>
        <v/>
      </c>
      <c r="K126" s="44" t="str">
        <f t="shared" ca="1" si="77"/>
        <v/>
      </c>
      <c r="L126" s="44" t="str">
        <f t="shared" ca="1" si="77"/>
        <v/>
      </c>
      <c r="N126" s="142"/>
    </row>
    <row r="127" spans="1:14" x14ac:dyDescent="0.35">
      <c r="A127" s="1" t="s">
        <v>297</v>
      </c>
      <c r="B127" s="1"/>
      <c r="D127" s="2"/>
      <c r="E127" s="2"/>
      <c r="F127" s="2"/>
      <c r="G127" s="2"/>
      <c r="H127" s="2"/>
      <c r="I127" s="2"/>
      <c r="J127" s="2"/>
      <c r="K127" s="2"/>
      <c r="L127" s="2"/>
      <c r="N127" s="142"/>
    </row>
    <row r="128" spans="1:14" x14ac:dyDescent="0.35">
      <c r="A128" t="str">
        <f t="shared" ref="A128:A133" si="78">IF(A5="","","    "&amp;A5)</f>
        <v xml:space="preserve">    Reclamation - Protect Zone</v>
      </c>
      <c r="C128" s="44">
        <f t="shared" ref="C128:L128" ca="1" si="79">IF(OR(C$28="",$A128=""),"",OFFSET(C$69,8*(ROW(B128)-ROW(B$128)),0))</f>
        <v>0</v>
      </c>
      <c r="D128" s="44" t="str">
        <f t="shared" ca="1" si="79"/>
        <v/>
      </c>
      <c r="E128" s="44" t="str">
        <f t="shared" ca="1" si="79"/>
        <v/>
      </c>
      <c r="F128" s="44" t="str">
        <f t="shared" ca="1" si="79"/>
        <v/>
      </c>
      <c r="G128" s="44" t="str">
        <f t="shared" ca="1" si="79"/>
        <v/>
      </c>
      <c r="H128" s="44" t="str">
        <f t="shared" ca="1" si="79"/>
        <v/>
      </c>
      <c r="I128" s="44" t="str">
        <f t="shared" ca="1" si="79"/>
        <v/>
      </c>
      <c r="J128" s="44" t="str">
        <f t="shared" ca="1" si="79"/>
        <v/>
      </c>
      <c r="K128" s="44" t="str">
        <f t="shared" ca="1" si="79"/>
        <v/>
      </c>
      <c r="L128" s="44" t="str">
        <f t="shared" ca="1" si="79"/>
        <v/>
      </c>
      <c r="N128" s="142"/>
    </row>
    <row r="129" spans="1:14" x14ac:dyDescent="0.35">
      <c r="A129" t="str">
        <f t="shared" si="78"/>
        <v xml:space="preserve">    California</v>
      </c>
      <c r="C129" s="44">
        <f t="shared" ref="C129:L129" ca="1" si="80">IF(OR(C$28="",$A129=""),"",OFFSET(C$69,8*(ROW(B129)-ROW(B$128)),0))</f>
        <v>5.9072463479917463</v>
      </c>
      <c r="D129" s="44" t="str">
        <f t="shared" ca="1" si="80"/>
        <v/>
      </c>
      <c r="E129" s="44" t="str">
        <f t="shared" ca="1" si="80"/>
        <v/>
      </c>
      <c r="F129" s="44" t="str">
        <f t="shared" ca="1" si="80"/>
        <v/>
      </c>
      <c r="G129" s="44" t="str">
        <f t="shared" ca="1" si="80"/>
        <v/>
      </c>
      <c r="H129" s="44" t="str">
        <f t="shared" ca="1" si="80"/>
        <v/>
      </c>
      <c r="I129" s="44" t="str">
        <f t="shared" ca="1" si="80"/>
        <v/>
      </c>
      <c r="J129" s="44" t="str">
        <f t="shared" ca="1" si="80"/>
        <v/>
      </c>
      <c r="K129" s="44" t="str">
        <f t="shared" ca="1" si="80"/>
        <v/>
      </c>
      <c r="L129" s="44" t="str">
        <f t="shared" ca="1" si="80"/>
        <v/>
      </c>
      <c r="N129" s="142"/>
    </row>
    <row r="130" spans="1:14" x14ac:dyDescent="0.35">
      <c r="A130" t="str">
        <f t="shared" si="78"/>
        <v xml:space="preserve">    Arizona</v>
      </c>
      <c r="C130" s="44">
        <f t="shared" ref="C130:L130" ca="1" si="81">IF(OR(C$28="",$A130=""),"",OFFSET(C$69,8*(ROW(B130)-ROW(B$128)),0))</f>
        <v>2.5717755241130322</v>
      </c>
      <c r="D130" s="44" t="str">
        <f t="shared" ca="1" si="81"/>
        <v/>
      </c>
      <c r="E130" s="44" t="str">
        <f t="shared" ca="1" si="81"/>
        <v/>
      </c>
      <c r="F130" s="44" t="str">
        <f t="shared" ca="1" si="81"/>
        <v/>
      </c>
      <c r="G130" s="44" t="str">
        <f t="shared" ca="1" si="81"/>
        <v/>
      </c>
      <c r="H130" s="44" t="str">
        <f t="shared" ca="1" si="81"/>
        <v/>
      </c>
      <c r="I130" s="44" t="str">
        <f t="shared" ca="1" si="81"/>
        <v/>
      </c>
      <c r="J130" s="44" t="str">
        <f t="shared" ca="1" si="81"/>
        <v/>
      </c>
      <c r="K130" s="44" t="str">
        <f t="shared" ca="1" si="81"/>
        <v/>
      </c>
      <c r="L130" s="44" t="str">
        <f t="shared" ca="1" si="81"/>
        <v/>
      </c>
      <c r="N130" s="142"/>
    </row>
    <row r="131" spans="1:14" x14ac:dyDescent="0.35">
      <c r="A131" t="str">
        <f t="shared" si="78"/>
        <v xml:space="preserve">    Nevada</v>
      </c>
      <c r="C131" s="44">
        <f t="shared" ref="C131:L131" ca="1" si="82">IF(OR(C$28="",$A131=""),"",OFFSET(C$69,8*(ROW(B131)-ROW(B$128)),0))</f>
        <v>1.2132951071428544</v>
      </c>
      <c r="D131" s="44" t="str">
        <f t="shared" ca="1" si="82"/>
        <v/>
      </c>
      <c r="E131" s="44" t="str">
        <f t="shared" ca="1" si="82"/>
        <v/>
      </c>
      <c r="F131" s="44" t="str">
        <f t="shared" ca="1" si="82"/>
        <v/>
      </c>
      <c r="G131" s="44" t="str">
        <f t="shared" ca="1" si="82"/>
        <v/>
      </c>
      <c r="H131" s="44" t="str">
        <f t="shared" ca="1" si="82"/>
        <v/>
      </c>
      <c r="I131" s="44" t="str">
        <f t="shared" ca="1" si="82"/>
        <v/>
      </c>
      <c r="J131" s="44" t="str">
        <f t="shared" ca="1" si="82"/>
        <v/>
      </c>
      <c r="K131" s="44" t="str">
        <f t="shared" ca="1" si="82"/>
        <v/>
      </c>
      <c r="L131" s="44" t="str">
        <f t="shared" ca="1" si="82"/>
        <v/>
      </c>
      <c r="N131" s="142"/>
    </row>
    <row r="132" spans="1:14" x14ac:dyDescent="0.35">
      <c r="A132" t="str">
        <f t="shared" si="78"/>
        <v xml:space="preserve">    Mexico</v>
      </c>
      <c r="C132" s="44">
        <f t="shared" ref="C132:L132" ca="1" si="83">IF(OR(C$28="",$A132=""),"",OFFSET(C$69,8*(ROW(B132)-ROW(B$128)),0))</f>
        <v>1.7430786252342076</v>
      </c>
      <c r="D132" s="44" t="str">
        <f t="shared" ca="1" si="83"/>
        <v/>
      </c>
      <c r="E132" s="44" t="str">
        <f t="shared" ca="1" si="83"/>
        <v/>
      </c>
      <c r="F132" s="44" t="str">
        <f t="shared" ca="1" si="83"/>
        <v/>
      </c>
      <c r="G132" s="44" t="str">
        <f t="shared" ca="1" si="83"/>
        <v/>
      </c>
      <c r="H132" s="44" t="str">
        <f t="shared" ca="1" si="83"/>
        <v/>
      </c>
      <c r="I132" s="44" t="str">
        <f t="shared" ca="1" si="83"/>
        <v/>
      </c>
      <c r="J132" s="44" t="str">
        <f t="shared" ca="1" si="83"/>
        <v/>
      </c>
      <c r="K132" s="44" t="str">
        <f t="shared" ca="1" si="83"/>
        <v/>
      </c>
      <c r="L132" s="44" t="str">
        <f t="shared" ca="1" si="83"/>
        <v/>
      </c>
      <c r="N132" s="142"/>
    </row>
    <row r="133" spans="1:14" x14ac:dyDescent="0.35">
      <c r="A133" t="str">
        <f t="shared" si="78"/>
        <v xml:space="preserve">    Tribal Nations of the Lower Basin</v>
      </c>
      <c r="C133" s="44">
        <f t="shared" ref="C133:L133" ca="1" si="84">IF(OR(C$28="",$A133=""),"",OFFSET(C$69,8*(ROW(B133)-ROW(B$128)),0))</f>
        <v>6.0206156923648164</v>
      </c>
      <c r="D133" s="44" t="str">
        <f t="shared" ca="1" si="84"/>
        <v/>
      </c>
      <c r="E133" s="44" t="str">
        <f t="shared" ca="1" si="84"/>
        <v/>
      </c>
      <c r="F133" s="44" t="str">
        <f t="shared" ca="1" si="84"/>
        <v/>
      </c>
      <c r="G133" s="44" t="str">
        <f t="shared" ca="1" si="84"/>
        <v/>
      </c>
      <c r="H133" s="44" t="str">
        <f t="shared" ca="1" si="84"/>
        <v/>
      </c>
      <c r="I133" s="44" t="str">
        <f t="shared" ca="1" si="84"/>
        <v/>
      </c>
      <c r="J133" s="44" t="str">
        <f t="shared" ca="1" si="84"/>
        <v/>
      </c>
      <c r="K133" s="44" t="str">
        <f t="shared" ca="1" si="84"/>
        <v/>
      </c>
      <c r="L133" s="44" t="str">
        <f t="shared" ca="1" si="84"/>
        <v/>
      </c>
      <c r="N133" s="142"/>
    </row>
    <row r="134" spans="1:14" x14ac:dyDescent="0.35">
      <c r="A134" s="1" t="s">
        <v>292</v>
      </c>
      <c r="H134" s="12" t="str">
        <f t="shared" ref="H134:L134" si="85">IF(H$28&lt;&gt;"",SUM(H128:H133),"")</f>
        <v/>
      </c>
      <c r="I134" s="12" t="str">
        <f t="shared" si="85"/>
        <v/>
      </c>
      <c r="J134" s="12" t="str">
        <f t="shared" si="85"/>
        <v/>
      </c>
      <c r="K134" s="12" t="str">
        <f t="shared" si="85"/>
        <v/>
      </c>
      <c r="L134" s="12" t="str">
        <f t="shared" si="85"/>
        <v/>
      </c>
      <c r="N134" s="141" t="s">
        <v>349</v>
      </c>
    </row>
    <row r="135" spans="1:14" x14ac:dyDescent="0.35">
      <c r="A135" t="s">
        <v>293</v>
      </c>
      <c r="B135" s="1"/>
      <c r="C135" s="12">
        <f ca="1">IF(C$28&lt;&gt;"",SUM(C128:C133),"")</f>
        <v>17.456011296846658</v>
      </c>
      <c r="D135" s="12" t="str">
        <f>IF(D$28&lt;&gt;"",SUM(D128:D133),"")</f>
        <v/>
      </c>
      <c r="E135" s="12" t="str">
        <f>IF(E$28&lt;&gt;"",SUM(E128:E133),"")</f>
        <v/>
      </c>
      <c r="F135" s="12" t="str">
        <f>IF(F$28&lt;&gt;"",SUM(F128:F133),"")</f>
        <v/>
      </c>
      <c r="G135" s="12" t="str">
        <f>IF(G$28&lt;&gt;"",SUM(G128:G133),"")</f>
        <v/>
      </c>
      <c r="H135" s="12"/>
      <c r="I135" s="12"/>
      <c r="J135" s="12"/>
      <c r="K135" s="12"/>
      <c r="L135" s="12"/>
      <c r="N135" s="141"/>
    </row>
    <row r="136" spans="1:14" x14ac:dyDescent="0.35">
      <c r="A136" t="s">
        <v>294</v>
      </c>
      <c r="B136" s="1"/>
      <c r="C136" s="219">
        <f ca="1">IF(C$28&lt;&gt;"",VLOOKUP(C135*1000000,'Mead-Elevation-Area'!$B$5:$H$689,7),"")</f>
        <v>1156</v>
      </c>
      <c r="D136" s="219" t="str">
        <f>IF(D$28&lt;&gt;"",VLOOKUP(D135*1000000,'Mead-Elevation-Area'!$B$5:$H$689,7),"")</f>
        <v/>
      </c>
      <c r="E136" s="216" t="str">
        <f>IF(E$28&lt;&gt;"",VLOOKUP(E135*1000000,'Mead-Elevation-Area'!$B$5:$H$689,7),"")</f>
        <v/>
      </c>
      <c r="F136" s="216" t="str">
        <f>IF(F$28&lt;&gt;"",VLOOKUP(F135*1000000,'Mead-Elevation-Area'!$B$5:$H$689,7),"")</f>
        <v/>
      </c>
      <c r="G136" s="216" t="str">
        <f>IF(G$28&lt;&gt;"",VLOOKUP(G135*1000000,'Mead-Elevation-Area'!$B$5:$H$689,7),"")</f>
        <v/>
      </c>
      <c r="H136" s="12"/>
      <c r="I136" s="12"/>
      <c r="J136" s="12"/>
      <c r="K136" s="12"/>
      <c r="L136" s="12"/>
      <c r="N136" s="141"/>
    </row>
    <row r="137" spans="1:14" x14ac:dyDescent="0.35">
      <c r="A137" s="125" t="s">
        <v>295</v>
      </c>
      <c r="C137" s="18"/>
      <c r="N137" s="141" t="s">
        <v>193</v>
      </c>
    </row>
    <row r="139" spans="1:14" x14ac:dyDescent="0.35">
      <c r="D139"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8">
    <cfRule type="cellIs" dxfId="54" priority="18" operator="greaterThan">
      <formula>$C$67</formula>
    </cfRule>
  </conditionalFormatting>
  <conditionalFormatting sqref="C76">
    <cfRule type="cellIs" dxfId="53" priority="10" operator="greaterThan">
      <formula>$C$75</formula>
    </cfRule>
  </conditionalFormatting>
  <conditionalFormatting sqref="C84">
    <cfRule type="cellIs" dxfId="52" priority="5" operator="greaterThan">
      <formula>$C$83</formula>
    </cfRule>
  </conditionalFormatting>
  <conditionalFormatting sqref="C100">
    <cfRule type="cellIs" dxfId="51" priority="52" operator="greaterThan">
      <formula>$C$99</formula>
    </cfRule>
  </conditionalFormatting>
  <conditionalFormatting sqref="C108">
    <cfRule type="cellIs" dxfId="50" priority="42" operator="greaterThan">
      <formula>$C$107</formula>
    </cfRule>
  </conditionalFormatting>
  <conditionalFormatting sqref="C92:L92">
    <cfRule type="cellIs" dxfId="49" priority="53" operator="greaterThan">
      <formula>$C$91</formula>
    </cfRule>
  </conditionalFormatting>
  <conditionalFormatting sqref="D68">
    <cfRule type="cellIs" dxfId="48" priority="20" operator="greaterThan">
      <formula>$D$67</formula>
    </cfRule>
  </conditionalFormatting>
  <conditionalFormatting sqref="D76">
    <cfRule type="cellIs" dxfId="47" priority="9" operator="greaterThan">
      <formula>$D$75</formula>
    </cfRule>
  </conditionalFormatting>
  <conditionalFormatting sqref="D84">
    <cfRule type="cellIs" dxfId="46" priority="4" operator="greaterThan">
      <formula>$D$83</formula>
    </cfRule>
  </conditionalFormatting>
  <conditionalFormatting sqref="D100">
    <cfRule type="cellIs" dxfId="45" priority="51" operator="greaterThan">
      <formula>$D$99</formula>
    </cfRule>
  </conditionalFormatting>
  <conditionalFormatting sqref="D108">
    <cfRule type="cellIs" dxfId="44" priority="41" operator="greaterThan">
      <formula>$D$107</formula>
    </cfRule>
  </conditionalFormatting>
  <conditionalFormatting sqref="E68">
    <cfRule type="cellIs" dxfId="43" priority="16" operator="greaterThan">
      <formula>$E$67</formula>
    </cfRule>
  </conditionalFormatting>
  <conditionalFormatting sqref="E76">
    <cfRule type="cellIs" dxfId="42" priority="8" operator="greaterThan">
      <formula>$E$75</formula>
    </cfRule>
  </conditionalFormatting>
  <conditionalFormatting sqref="E84">
    <cfRule type="cellIs" dxfId="41" priority="3" operator="greaterThan">
      <formula>$E$83</formula>
    </cfRule>
  </conditionalFormatting>
  <conditionalFormatting sqref="E100">
    <cfRule type="cellIs" dxfId="40" priority="50" operator="greaterThan">
      <formula>$E$99</formula>
    </cfRule>
  </conditionalFormatting>
  <conditionalFormatting sqref="E108">
    <cfRule type="cellIs" dxfId="39" priority="40" operator="greaterThan">
      <formula>$E$107</formula>
    </cfRule>
  </conditionalFormatting>
  <conditionalFormatting sqref="F68">
    <cfRule type="cellIs" dxfId="38" priority="15" operator="greaterThan">
      <formula>$F$67</formula>
    </cfRule>
  </conditionalFormatting>
  <conditionalFormatting sqref="F76">
    <cfRule type="cellIs" dxfId="37" priority="7" operator="greaterThan">
      <formula>$F$75</formula>
    </cfRule>
  </conditionalFormatting>
  <conditionalFormatting sqref="F84">
    <cfRule type="cellIs" dxfId="36" priority="2" operator="greaterThan">
      <formula>$F$83</formula>
    </cfRule>
  </conditionalFormatting>
  <conditionalFormatting sqref="F100">
    <cfRule type="cellIs" dxfId="35" priority="49" operator="greaterThan">
      <formula>$F$99</formula>
    </cfRule>
  </conditionalFormatting>
  <conditionalFormatting sqref="F108">
    <cfRule type="cellIs" dxfId="34" priority="39" operator="greaterThan">
      <formula>$F$107</formula>
    </cfRule>
  </conditionalFormatting>
  <conditionalFormatting sqref="G68">
    <cfRule type="cellIs" dxfId="33" priority="14" operator="greaterThan">
      <formula>$G$67</formula>
    </cfRule>
  </conditionalFormatting>
  <conditionalFormatting sqref="G76">
    <cfRule type="cellIs" dxfId="32" priority="6" operator="greaterThan">
      <formula>$G$75</formula>
    </cfRule>
  </conditionalFormatting>
  <conditionalFormatting sqref="G84">
    <cfRule type="cellIs" dxfId="31" priority="1" operator="greaterThan">
      <formula>$G$83</formula>
    </cfRule>
  </conditionalFormatting>
  <conditionalFormatting sqref="G100">
    <cfRule type="cellIs" dxfId="30" priority="48" operator="greaterThan">
      <formula>$G$99</formula>
    </cfRule>
  </conditionalFormatting>
  <conditionalFormatting sqref="G108">
    <cfRule type="cellIs" dxfId="29" priority="38" operator="greaterThan">
      <formula>$G$107</formula>
    </cfRule>
  </conditionalFormatting>
  <conditionalFormatting sqref="H68">
    <cfRule type="cellIs" dxfId="28" priority="85" operator="greaterThan">
      <formula>$H$67</formula>
    </cfRule>
  </conditionalFormatting>
  <conditionalFormatting sqref="H76">
    <cfRule type="cellIs" dxfId="27" priority="68" operator="greaterThan">
      <formula>$H$75</formula>
    </cfRule>
  </conditionalFormatting>
  <conditionalFormatting sqref="H84">
    <cfRule type="cellIs" dxfId="26" priority="58" operator="greaterThan">
      <formula>$H$83</formula>
    </cfRule>
  </conditionalFormatting>
  <conditionalFormatting sqref="H100">
    <cfRule type="cellIs" dxfId="25" priority="47" operator="greaterThan">
      <formula>$H$99</formula>
    </cfRule>
  </conditionalFormatting>
  <conditionalFormatting sqref="H108">
    <cfRule type="cellIs" dxfId="24" priority="37" operator="greaterThan">
      <formula>$H$107</formula>
    </cfRule>
  </conditionalFormatting>
  <conditionalFormatting sqref="I68">
    <cfRule type="cellIs" dxfId="23" priority="84" operator="greaterThan">
      <formula>$I$67</formula>
    </cfRule>
  </conditionalFormatting>
  <conditionalFormatting sqref="I76">
    <cfRule type="cellIs" dxfId="22" priority="67" operator="greaterThan">
      <formula>$I$75</formula>
    </cfRule>
  </conditionalFormatting>
  <conditionalFormatting sqref="I84">
    <cfRule type="cellIs" dxfId="21" priority="57" operator="greaterThan">
      <formula>$I$83</formula>
    </cfRule>
  </conditionalFormatting>
  <conditionalFormatting sqref="I100">
    <cfRule type="cellIs" dxfId="20" priority="46" operator="greaterThan">
      <formula>$I$99</formula>
    </cfRule>
  </conditionalFormatting>
  <conditionalFormatting sqref="I108">
    <cfRule type="cellIs" dxfId="19" priority="36" operator="greaterThan">
      <formula>$I$107</formula>
    </cfRule>
  </conditionalFormatting>
  <conditionalFormatting sqref="J68">
    <cfRule type="cellIs" dxfId="18" priority="83" operator="greaterThan">
      <formula>$J$67</formula>
    </cfRule>
  </conditionalFormatting>
  <conditionalFormatting sqref="J76">
    <cfRule type="cellIs" dxfId="17" priority="66" operator="greaterThan">
      <formula>$J$75</formula>
    </cfRule>
  </conditionalFormatting>
  <conditionalFormatting sqref="J84">
    <cfRule type="cellIs" dxfId="16" priority="56" operator="greaterThan">
      <formula>$J$83</formula>
    </cfRule>
  </conditionalFormatting>
  <conditionalFormatting sqref="J100">
    <cfRule type="cellIs" dxfId="15" priority="45" operator="greaterThan">
      <formula>$J$99</formula>
    </cfRule>
  </conditionalFormatting>
  <conditionalFormatting sqref="J108">
    <cfRule type="cellIs" dxfId="14" priority="35" operator="greaterThan">
      <formula>$J$107</formula>
    </cfRule>
  </conditionalFormatting>
  <conditionalFormatting sqref="K68">
    <cfRule type="cellIs" dxfId="13" priority="82" operator="greaterThan">
      <formula>$K$67</formula>
    </cfRule>
  </conditionalFormatting>
  <conditionalFormatting sqref="K76">
    <cfRule type="cellIs" dxfId="12" priority="65" operator="greaterThan">
      <formula>$K$75</formula>
    </cfRule>
  </conditionalFormatting>
  <conditionalFormatting sqref="K84">
    <cfRule type="cellIs" dxfId="11" priority="55" operator="greaterThan">
      <formula>$K$83</formula>
    </cfRule>
  </conditionalFormatting>
  <conditionalFormatting sqref="K100">
    <cfRule type="cellIs" dxfId="10" priority="44" operator="greaterThan">
      <formula>$K$99</formula>
    </cfRule>
  </conditionalFormatting>
  <conditionalFormatting sqref="K108">
    <cfRule type="cellIs" dxfId="9" priority="34" operator="greaterThan">
      <formula>$K$107</formula>
    </cfRule>
  </conditionalFormatting>
  <conditionalFormatting sqref="L68">
    <cfRule type="cellIs" dxfId="8" priority="81" operator="greaterThan">
      <formula>$L$67</formula>
    </cfRule>
  </conditionalFormatting>
  <conditionalFormatting sqref="L76">
    <cfRule type="cellIs" dxfId="7" priority="64" operator="greaterThan">
      <formula>$L$75</formula>
    </cfRule>
  </conditionalFormatting>
  <conditionalFormatting sqref="L84">
    <cfRule type="cellIs" dxfId="6" priority="54" operator="greaterThan">
      <formula>$L$83</formula>
    </cfRule>
  </conditionalFormatting>
  <conditionalFormatting sqref="L100">
    <cfRule type="cellIs" dxfId="5" priority="43" operator="greaterThan">
      <formula>$L$99</formula>
    </cfRule>
  </conditionalFormatting>
  <conditionalFormatting sqref="L108">
    <cfRule type="cellIs" dxfId="4" priority="33" operator="greaterThan">
      <formula>$L$107</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6" r:id="rId19" location="iii-net-trade-volume-all-participants" xr:uid="{3E7AF6CA-1278-4129-B9E4-725FD18D820D}"/>
    <hyperlink ref="N67" r:id="rId20" location="iv-available-water" xr:uid="{4566CC8F-1D0F-43BA-BAD8-C66179151606}"/>
    <hyperlink ref="N68" r:id="rId21" location="v-enter-withdraw-within-available-water" xr:uid="{FA435611-F017-4A4C-84C0-3BC240C90BC3}"/>
    <hyperlink ref="N69" r:id="rId22" location="vi-end-of-year-balance" xr:uid="{43A45EF2-1AE7-497D-9090-A6710371091B}"/>
    <hyperlink ref="N111" r:id="rId23" location="step-6-summary-of-participant-actions" xr:uid="{39E9E91B-EE9B-4603-9A19-992E43688C4C}"/>
    <hyperlink ref="N134" r:id="rId24" location="lake-mead--end-of-year" xr:uid="{18709FDC-6FB8-4FF1-82C7-3E0140C4C207}"/>
    <hyperlink ref="N137"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1" r:id="rId31" location="step-5-participant-dashboards--conserve-consume-and-trade" xr:uid="{397FD8F0-2E30-496A-BE44-5B257A0157EE}"/>
    <hyperlink ref="N73" r:id="rId32" location="ii-compensation" xr:uid="{F57B98BC-FD8A-4B97-9BA7-72787CDB74DE}"/>
    <hyperlink ref="N74" r:id="rId33" location="iii-net-trade-volume-all-participants" xr:uid="{1B926EB5-4EDA-4705-B3ED-7A6C02210193}"/>
    <hyperlink ref="N75" r:id="rId34" location="iv-available-water" xr:uid="{4AA187F2-EAF6-461B-9CFE-0AE554B5221C}"/>
    <hyperlink ref="N76" r:id="rId35" location="v-enter-withdraw-within-available-water" xr:uid="{34772F54-52B5-496C-94CA-EC810414913E}"/>
    <hyperlink ref="N77" r:id="rId36" location="vi-end-of-year-balance" xr:uid="{7E6C6019-B9DB-4F73-8888-9D49C202C8D4}"/>
    <hyperlink ref="N72" r:id="rId37" location="i-buy-or-sell-water-from-other-participantss" xr:uid="{E7375CF2-EC0F-401A-8AFE-0454313662AF}"/>
    <hyperlink ref="N79" r:id="rId38" location="step-5-participant-dashboards--conserve-consume-and-trade" xr:uid="{A70DB134-907F-477F-AB0B-5659C9C11813}"/>
    <hyperlink ref="N81" r:id="rId39" location="ii-compensation" xr:uid="{684D57EC-6721-4F25-AF68-0018C1E34745}"/>
    <hyperlink ref="N82" r:id="rId40" location="iii-net-trade-volume-all-participants" xr:uid="{37DA7529-DE0A-4A6F-8E12-612AF82A188A}"/>
    <hyperlink ref="N83" r:id="rId41" location="iv-available-water" xr:uid="{96EA80FC-ACDC-444F-82AF-0E44E2936515}"/>
    <hyperlink ref="N84" r:id="rId42" location="v-enter-withdraw-within-available-water" xr:uid="{089A3863-E8AF-452C-8335-69D9F1C56707}"/>
    <hyperlink ref="N85" r:id="rId43" location="vi-end-of-year-balance" xr:uid="{475FD103-8EBA-4CD9-ACE9-66204501082E}"/>
    <hyperlink ref="N80" r:id="rId44" location="i-buy-or-sell-water-from-other-participantss" xr:uid="{BA50878C-D141-4CB0-B547-DD4E0AB28999}"/>
    <hyperlink ref="N87" r:id="rId45" location="step-5-participant-dashboards--conserve-consume-and-trade" xr:uid="{39EC330A-C201-45C3-99B6-B424E8A32D15}"/>
    <hyperlink ref="N89" r:id="rId46" location="ii-compensation" xr:uid="{83B18F55-633C-453C-814E-1C950087B924}"/>
    <hyperlink ref="N90" r:id="rId47" location="iii-net-trade-volume-all-participants" xr:uid="{428C6409-0DD6-4EB4-9EB1-0D06FB68C519}"/>
    <hyperlink ref="N91" r:id="rId48" location="iv-available-water" xr:uid="{D2F44442-7A66-450B-97C3-DB62319C8041}"/>
    <hyperlink ref="N92" r:id="rId49" location="v-enter-withdraw-within-available-water" xr:uid="{8511206C-7A63-4135-A4AC-03ED1A7FF5BA}"/>
    <hyperlink ref="N93" r:id="rId50" location="vi-end-of-year-balance" xr:uid="{B922D973-A534-4E90-B9F3-EF812FD44F7A}"/>
    <hyperlink ref="N88" r:id="rId51" location="i-buy-or-sell-water-from-other-participantss" xr:uid="{A5C5B388-17B6-437D-A672-71973A49D5E7}"/>
    <hyperlink ref="N95" r:id="rId52" location="step-5-participant-dashboards--conserve-consume-and-trade" xr:uid="{9D4E2F1A-09BE-48C9-9068-C731FDB7E63B}"/>
    <hyperlink ref="N97" r:id="rId53" location="ii-compensation" xr:uid="{7A619A05-DF2E-44B2-B251-8B6219653520}"/>
    <hyperlink ref="N98" r:id="rId54" location="iii-net-trade-volume-all-participants" xr:uid="{32C1A2E5-D297-4111-B6D0-5CF58DD1D352}"/>
    <hyperlink ref="N99" r:id="rId55" location="iv-available-water" xr:uid="{CB765DE1-3875-46F1-8FBF-E0A429B0AF7C}"/>
    <hyperlink ref="N100" r:id="rId56" location="v-enter-withdraw-within-available-water" xr:uid="{4A2CF82E-D869-4A43-8DDC-871D0CC63292}"/>
    <hyperlink ref="N101" r:id="rId57" location="vi-end-of-year-balance" xr:uid="{25EBA77D-5DF6-49B3-AA19-FB1D17E5F9F4}"/>
    <hyperlink ref="N96" r:id="rId58" location="i-buy-or-sell-water-from-other-participantss" xr:uid="{FAB9FF44-F4B9-4203-BBC6-8852F3D9A20B}"/>
    <hyperlink ref="N103" r:id="rId59" location="step-5-participant-dashboards--conserve-consume-and-trade" xr:uid="{E770BD7B-95C0-4128-95DC-F80C83C66E2B}"/>
    <hyperlink ref="N105" r:id="rId60" location="ii-compensation" xr:uid="{33C35802-FAB0-4790-B941-1A3E7257395B}"/>
    <hyperlink ref="N106" r:id="rId61" location="iii-net-trade-volume-all-participants" xr:uid="{836F4C5D-BBF9-4976-9ADE-859356E14210}"/>
    <hyperlink ref="N107" r:id="rId62" location="iv-available-water" xr:uid="{06AED8BC-115A-4B9E-8553-F960DEF913FF}"/>
    <hyperlink ref="N108" r:id="rId63" location="v-enter-withdraw-within-available-water" xr:uid="{28B406B7-C3AF-4DAD-90AB-E74B9A16207B}"/>
    <hyperlink ref="N109" r:id="rId64" location="vi-end-of-year-balance" xr:uid="{9FD845D0-38C3-41FD-ABEC-D3B2368EEF38}"/>
    <hyperlink ref="N104"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7" id="{A49F793D-89F9-4751-816D-E6C8A7C4D226}">
            <x14:iconSet iconSet="3Symbols" custom="1">
              <x14:cfvo type="percent">
                <xm:f>0</xm:f>
              </x14:cfvo>
              <x14:cfvo type="num">
                <xm:f>$C$67</xm:f>
              </x14:cfvo>
              <x14:cfvo type="num">
                <xm:f>$C$67</xm:f>
              </x14:cfvo>
              <x14:cfIcon iconSet="NoIcons" iconId="0"/>
              <x14:cfIcon iconSet="3Symbols2" iconId="0"/>
              <x14:cfIcon iconSet="3Symbols2" iconId="0"/>
            </x14:iconSet>
          </x14:cfRule>
          <xm:sqref>C68</xm:sqref>
        </x14:conditionalFormatting>
        <x14:conditionalFormatting xmlns:xm="http://schemas.microsoft.com/office/excel/2006/main">
          <x14:cfRule type="iconSet" priority="19" id="{D023A550-7298-4CB9-9C70-171741894826}">
            <x14:iconSet iconSet="3Symbols" custom="1">
              <x14:cfvo type="percent">
                <xm:f>0</xm:f>
              </x14:cfvo>
              <x14:cfvo type="num" gte="0">
                <xm:f>$D$67</xm:f>
              </x14:cfvo>
              <x14:cfvo type="num">
                <xm:f>$D$67</xm:f>
              </x14:cfvo>
              <x14:cfIcon iconSet="NoIcons" iconId="0"/>
              <x14:cfIcon iconSet="3Symbols2" iconId="0"/>
              <x14:cfIcon iconSet="3Symbols2" iconId="0"/>
            </x14:iconSet>
          </x14:cfRule>
          <xm:sqref>D68</xm:sqref>
        </x14:conditionalFormatting>
        <x14:conditionalFormatting xmlns:xm="http://schemas.microsoft.com/office/excel/2006/main">
          <x14:cfRule type="iconSet" priority="13" id="{91D34829-7FBE-4C9A-B9B4-360BA60B5E71}">
            <x14:iconSet iconSet="3Symbols" custom="1">
              <x14:cfvo type="percent">
                <xm:f>0</xm:f>
              </x14:cfvo>
              <x14:cfvo type="num">
                <xm:f>$E$67</xm:f>
              </x14:cfvo>
              <x14:cfvo type="num">
                <xm:f>$E$67</xm:f>
              </x14:cfvo>
              <x14:cfIcon iconSet="NoIcons" iconId="0"/>
              <x14:cfIcon iconSet="3Symbols2" iconId="0"/>
              <x14:cfIcon iconSet="3Symbols2" iconId="0"/>
            </x14:iconSet>
          </x14:cfRule>
          <xm:sqref>E68</xm:sqref>
        </x14:conditionalFormatting>
        <x14:conditionalFormatting xmlns:xm="http://schemas.microsoft.com/office/excel/2006/main">
          <x14:cfRule type="iconSet" priority="12" id="{1F49413C-E272-489B-81FE-B258D7135BA3}">
            <x14:iconSet iconSet="3Symbols" custom="1">
              <x14:cfvo type="percent">
                <xm:f>0</xm:f>
              </x14:cfvo>
              <x14:cfvo type="num">
                <xm:f>$F$67</xm:f>
              </x14:cfvo>
              <x14:cfvo type="num">
                <xm:f>$F$67</xm:f>
              </x14:cfvo>
              <x14:cfIcon iconSet="NoIcons" iconId="0"/>
              <x14:cfIcon iconSet="3Symbols2" iconId="0"/>
              <x14:cfIcon iconSet="3Symbols2" iconId="0"/>
            </x14:iconSet>
          </x14:cfRule>
          <xm:sqref>F68</xm:sqref>
        </x14:conditionalFormatting>
        <x14:conditionalFormatting xmlns:xm="http://schemas.microsoft.com/office/excel/2006/main">
          <x14:cfRule type="iconSet" priority="11" id="{25EBF820-63FF-42B7-94A2-28CA1F543417}">
            <x14:iconSet iconSet="3Symbols" custom="1">
              <x14:cfvo type="percent">
                <xm:f>0</xm:f>
              </x14:cfvo>
              <x14:cfvo type="num">
                <xm:f>$G$67</xm:f>
              </x14:cfvo>
              <x14:cfvo type="num">
                <xm:f>$G$67</xm:f>
              </x14:cfvo>
              <x14:cfIcon iconSet="NoIcons" iconId="0"/>
              <x14:cfIcon iconSet="3Symbols2" iconId="0"/>
              <x14:cfIcon iconSet="3Symbols2" iconId="0"/>
            </x14:iconSet>
          </x14:cfRule>
          <xm:sqref>G68</xm:sqref>
        </x14:conditionalFormatting>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H68</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I68</xm:sqref>
        </x14:conditionalFormatting>
        <x14:conditionalFormatting xmlns:xm="http://schemas.microsoft.com/office/excel/2006/main">
          <x14:cfRule type="iconSet" priority="75" id="{FC9241E0-399F-4612-9178-0FDDFFF0E42A}">
            <x14:iconSet iconSet="3Symbols2" custom="1">
              <x14:cfvo type="percent">
                <xm:f>0</xm:f>
              </x14:cfvo>
              <x14:cfvo type="num">
                <xm:f>$J$67</xm:f>
              </x14:cfvo>
              <x14:cfvo type="num">
                <xm:f>$J$67</xm:f>
              </x14:cfvo>
              <x14:cfIcon iconSet="NoIcons" iconId="0"/>
              <x14:cfIcon iconSet="3Symbols2" iconId="0"/>
              <x14:cfIcon iconSet="3Symbols2" iconId="0"/>
            </x14:iconSet>
          </x14:cfRule>
          <xm:sqref>J68</xm:sqref>
        </x14:conditionalFormatting>
        <x14:conditionalFormatting xmlns:xm="http://schemas.microsoft.com/office/excel/2006/main">
          <x14:cfRule type="iconSet" priority="74" id="{DD71F70E-9732-4C09-96AD-AC28A6D96762}">
            <x14:iconSet iconSet="3Symbols2" custom="1">
              <x14:cfvo type="percent">
                <xm:f>0</xm:f>
              </x14:cfvo>
              <x14:cfvo type="formula">
                <xm:f>$K$67</xm:f>
              </x14:cfvo>
              <x14:cfvo type="formula">
                <xm:f>$K$67</xm:f>
              </x14:cfvo>
              <x14:cfIcon iconSet="NoIcons" iconId="0"/>
              <x14:cfIcon iconSet="3Symbols2" iconId="0"/>
              <x14:cfIcon iconSet="3Symbols2" iconId="0"/>
            </x14:iconSet>
          </x14:cfRule>
          <xm:sqref>K68</xm:sqref>
        </x14:conditionalFormatting>
        <x14:conditionalFormatting xmlns:xm="http://schemas.microsoft.com/office/excel/2006/main">
          <x14:cfRule type="iconSet" priority="32" id="{C970D36A-412D-482A-B900-0C93FEFDE178}">
            <x14:iconSet iconSet="3Symbols" custom="1">
              <x14:cfvo type="percent">
                <xm:f>0</xm:f>
              </x14:cfvo>
              <x14:cfvo type="formula">
                <xm:f>$L$67</xm:f>
              </x14:cfvo>
              <x14:cfvo type="formula">
                <xm:f>$L$67</xm:f>
              </x14:cfvo>
              <x14:cfIcon iconSet="NoIcons" iconId="0"/>
              <x14:cfIcon iconSet="3Symbols2" iconId="0"/>
              <x14:cfIcon iconSet="3Symbols2" iconId="0"/>
            </x14:iconSet>
          </x14:cfRule>
          <xm:sqref>L68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U32"/>
  <sheetViews>
    <sheetView zoomScale="170" zoomScaleNormal="170" workbookViewId="0">
      <selection activeCell="A2" sqref="A2"/>
    </sheetView>
  </sheetViews>
  <sheetFormatPr defaultRowHeight="14.5" x14ac:dyDescent="0.35"/>
  <cols>
    <col min="1" max="1" width="5.36328125" customWidth="1"/>
    <col min="2" max="2" width="14.453125" customWidth="1"/>
    <col min="3" max="3" width="8.1796875" customWidth="1"/>
    <col min="4" max="4" width="7.90625" customWidth="1"/>
    <col min="5" max="5" width="10.6328125" customWidth="1"/>
    <col min="6" max="6" width="7.7265625" customWidth="1"/>
    <col min="7" max="7" width="7.1796875" customWidth="1"/>
    <col min="8" max="8" width="8" customWidth="1"/>
    <col min="9" max="9" width="6.1796875" customWidth="1"/>
    <col min="10" max="10" width="13.453125" customWidth="1"/>
    <col min="11" max="11" width="12.08984375" customWidth="1"/>
    <col min="12" max="12" width="7.7265625" customWidth="1"/>
    <col min="13" max="13" width="7.81640625" customWidth="1"/>
    <col min="14" max="14" width="10.08984375" customWidth="1"/>
    <col min="16" max="16" width="6.81640625" customWidth="1"/>
    <col min="19" max="19" width="9.26953125" customWidth="1"/>
    <col min="21" max="21" width="7.26953125" style="2" customWidth="1"/>
  </cols>
  <sheetData>
    <row r="1" spans="1:21" x14ac:dyDescent="0.35">
      <c r="A1" s="1" t="s">
        <v>310</v>
      </c>
    </row>
    <row r="2" spans="1:21" x14ac:dyDescent="0.35">
      <c r="A2" t="s">
        <v>311</v>
      </c>
    </row>
    <row r="3" spans="1:21" x14ac:dyDescent="0.35">
      <c r="A3" t="s">
        <v>252</v>
      </c>
    </row>
    <row r="4" spans="1:21" ht="21" customHeight="1" x14ac:dyDescent="0.35"/>
    <row r="5" spans="1:21" ht="16.5" customHeight="1" x14ac:dyDescent="0.35">
      <c r="I5" s="337" t="s">
        <v>13</v>
      </c>
      <c r="J5" s="337" t="s">
        <v>253</v>
      </c>
      <c r="K5" s="337" t="s">
        <v>254</v>
      </c>
      <c r="L5" s="334" t="s">
        <v>255</v>
      </c>
      <c r="M5" s="335"/>
      <c r="N5" s="335"/>
      <c r="O5" s="335"/>
      <c r="P5" s="336"/>
      <c r="Q5" s="326" t="s">
        <v>256</v>
      </c>
      <c r="R5" s="327"/>
      <c r="S5" s="327"/>
      <c r="T5" s="327"/>
      <c r="U5" s="328"/>
    </row>
    <row r="6" spans="1:21" s="188" customFormat="1" ht="27.5" customHeight="1" x14ac:dyDescent="0.3">
      <c r="B6" s="189" t="s">
        <v>257</v>
      </c>
      <c r="C6" s="189" t="s">
        <v>243</v>
      </c>
      <c r="D6" s="189" t="s">
        <v>244</v>
      </c>
      <c r="E6" s="189" t="s">
        <v>242</v>
      </c>
      <c r="F6" s="189" t="s">
        <v>18</v>
      </c>
      <c r="G6" s="189" t="s">
        <v>64</v>
      </c>
      <c r="I6" s="338"/>
      <c r="J6" s="338"/>
      <c r="K6" s="338"/>
      <c r="L6" s="190" t="s">
        <v>258</v>
      </c>
      <c r="M6" s="190" t="s">
        <v>259</v>
      </c>
      <c r="N6" s="190" t="s">
        <v>260</v>
      </c>
      <c r="O6" s="190" t="s">
        <v>261</v>
      </c>
      <c r="P6" s="190" t="s">
        <v>262</v>
      </c>
      <c r="Q6" s="191" t="s">
        <v>263</v>
      </c>
      <c r="R6" s="191" t="s">
        <v>264</v>
      </c>
      <c r="S6" s="191" t="s">
        <v>265</v>
      </c>
      <c r="T6" s="191" t="s">
        <v>266</v>
      </c>
      <c r="U6" s="191" t="s">
        <v>267</v>
      </c>
    </row>
    <row r="7" spans="1:21" s="188" customFormat="1" ht="13" customHeight="1" x14ac:dyDescent="0.3">
      <c r="B7" s="334" t="s">
        <v>268</v>
      </c>
      <c r="C7" s="335"/>
      <c r="D7" s="335"/>
      <c r="E7" s="335"/>
      <c r="F7" s="335"/>
      <c r="G7" s="336"/>
      <c r="I7" s="192" t="s">
        <v>269</v>
      </c>
      <c r="J7" s="192">
        <f>B13</f>
        <v>0</v>
      </c>
      <c r="K7" s="193">
        <v>9</v>
      </c>
      <c r="L7" s="194">
        <v>2.8</v>
      </c>
      <c r="M7" s="194">
        <v>0.3</v>
      </c>
      <c r="N7" s="194">
        <v>4.4000000000000004</v>
      </c>
      <c r="O7" s="194">
        <v>1.5</v>
      </c>
      <c r="P7" s="194">
        <f>SUM(L7:O7)</f>
        <v>9</v>
      </c>
      <c r="Q7" s="195">
        <f t="shared" ref="Q7:T11" si="0">L7/$K7</f>
        <v>0.31111111111111112</v>
      </c>
      <c r="R7" s="195">
        <f t="shared" si="0"/>
        <v>3.3333333333333333E-2</v>
      </c>
      <c r="S7" s="195">
        <f t="shared" si="0"/>
        <v>0.48888888888888893</v>
      </c>
      <c r="T7" s="195">
        <f t="shared" si="0"/>
        <v>0.16666666666666666</v>
      </c>
      <c r="U7" s="196">
        <f>SUM(Q7:T7)</f>
        <v>1</v>
      </c>
    </row>
    <row r="8" spans="1:21" s="197" customFormat="1" ht="14" x14ac:dyDescent="0.3">
      <c r="B8" s="198">
        <v>0</v>
      </c>
      <c r="C8" s="199">
        <v>0</v>
      </c>
      <c r="D8" s="199">
        <v>0</v>
      </c>
      <c r="E8" s="199">
        <v>0</v>
      </c>
      <c r="F8" s="199">
        <v>0</v>
      </c>
      <c r="G8" s="199">
        <f>SUM(C8:F8)</f>
        <v>0</v>
      </c>
      <c r="I8" s="192" t="s">
        <v>270</v>
      </c>
      <c r="J8" s="192">
        <f>B14</f>
        <v>0.3</v>
      </c>
      <c r="K8" s="200">
        <f>K$7-J8</f>
        <v>8.6999999999999993</v>
      </c>
      <c r="L8" s="201">
        <f t="shared" ref="L8:O11" si="1">L$7-C14</f>
        <v>2.5599999999999996</v>
      </c>
      <c r="M8" s="201">
        <f t="shared" si="1"/>
        <v>0.29000999999999999</v>
      </c>
      <c r="N8" s="201">
        <f t="shared" si="1"/>
        <v>4.4000000000000004</v>
      </c>
      <c r="O8" s="201">
        <f t="shared" si="1"/>
        <v>1.4499900000000001</v>
      </c>
      <c r="P8" s="194">
        <f t="shared" ref="P8:P11" si="2">SUM(L8:O8)</f>
        <v>8.6999999999999993</v>
      </c>
      <c r="Q8" s="195">
        <f t="shared" si="0"/>
        <v>0.29425287356321839</v>
      </c>
      <c r="R8" s="195">
        <f t="shared" si="0"/>
        <v>3.3334482758620693E-2</v>
      </c>
      <c r="S8" s="195">
        <f t="shared" si="0"/>
        <v>0.50574712643678166</v>
      </c>
      <c r="T8" s="195">
        <f t="shared" si="0"/>
        <v>0.16666551724137935</v>
      </c>
      <c r="U8" s="196">
        <f t="shared" ref="U8:U13" si="3">SUM(Q8:T8)</f>
        <v>1</v>
      </c>
    </row>
    <row r="9" spans="1:21" s="197" customFormat="1" ht="14" x14ac:dyDescent="0.3">
      <c r="B9" s="198" t="s">
        <v>271</v>
      </c>
      <c r="C9" s="202">
        <v>0.8</v>
      </c>
      <c r="D9" s="202">
        <v>3.3300000000000003E-2</v>
      </c>
      <c r="E9" s="202">
        <v>0</v>
      </c>
      <c r="F9" s="202">
        <v>0.16669999999999999</v>
      </c>
      <c r="G9" s="202">
        <f t="shared" ref="G9:G10" si="4">SUM(C9:F9)</f>
        <v>1</v>
      </c>
      <c r="I9" s="192" t="s">
        <v>272</v>
      </c>
      <c r="J9" s="192">
        <f>B15</f>
        <v>0.4</v>
      </c>
      <c r="K9" s="200">
        <f>K$7-J9</f>
        <v>8.6</v>
      </c>
      <c r="L9" s="201">
        <f t="shared" si="1"/>
        <v>2.51667</v>
      </c>
      <c r="M9" s="201">
        <f t="shared" si="1"/>
        <v>0.28667999999999999</v>
      </c>
      <c r="N9" s="201">
        <f t="shared" si="1"/>
        <v>4.3633300000000004</v>
      </c>
      <c r="O9" s="201">
        <f t="shared" si="1"/>
        <v>1.4333199999999999</v>
      </c>
      <c r="P9" s="194">
        <f t="shared" si="2"/>
        <v>8.6</v>
      </c>
      <c r="Q9" s="195">
        <f t="shared" si="0"/>
        <v>0.29263604651162789</v>
      </c>
      <c r="R9" s="195">
        <f t="shared" si="0"/>
        <v>3.3334883720930235E-2</v>
      </c>
      <c r="S9" s="195">
        <f t="shared" si="0"/>
        <v>0.50736395348837215</v>
      </c>
      <c r="T9" s="195">
        <f t="shared" si="0"/>
        <v>0.16666511627906977</v>
      </c>
      <c r="U9" s="196">
        <f t="shared" si="3"/>
        <v>1</v>
      </c>
    </row>
    <row r="10" spans="1:21" s="197" customFormat="1" ht="14" x14ac:dyDescent="0.3">
      <c r="B10" s="198" t="s">
        <v>273</v>
      </c>
      <c r="C10" s="202">
        <v>0.43330000000000002</v>
      </c>
      <c r="D10" s="202">
        <v>3.3300000000000003E-2</v>
      </c>
      <c r="E10" s="202">
        <v>0.36670000000000003</v>
      </c>
      <c r="F10" s="202">
        <v>0.16669999999999999</v>
      </c>
      <c r="G10" s="202">
        <f t="shared" si="4"/>
        <v>1</v>
      </c>
      <c r="I10" s="192" t="s">
        <v>274</v>
      </c>
      <c r="J10" s="192">
        <f>B16</f>
        <v>1</v>
      </c>
      <c r="K10" s="200">
        <f>K$7-J10</f>
        <v>8</v>
      </c>
      <c r="L10" s="201">
        <f t="shared" si="1"/>
        <v>2.2566899999999999</v>
      </c>
      <c r="M10" s="201">
        <f t="shared" si="1"/>
        <v>0.26669999999999999</v>
      </c>
      <c r="N10" s="201">
        <f t="shared" si="1"/>
        <v>4.1433100000000005</v>
      </c>
      <c r="O10" s="201">
        <f t="shared" si="1"/>
        <v>1.3332999999999999</v>
      </c>
      <c r="P10" s="194">
        <f t="shared" si="2"/>
        <v>8</v>
      </c>
      <c r="Q10" s="195">
        <f t="shared" si="0"/>
        <v>0.28208624999999998</v>
      </c>
      <c r="R10" s="195">
        <f t="shared" si="0"/>
        <v>3.3337499999999999E-2</v>
      </c>
      <c r="S10" s="195">
        <f t="shared" si="0"/>
        <v>0.51791375000000006</v>
      </c>
      <c r="T10" s="195">
        <f t="shared" si="0"/>
        <v>0.16666249999999999</v>
      </c>
      <c r="U10" s="196">
        <f t="shared" si="3"/>
        <v>1</v>
      </c>
    </row>
    <row r="11" spans="1:21" s="197" customFormat="1" ht="14" x14ac:dyDescent="0.3">
      <c r="B11" s="198" t="s">
        <v>275</v>
      </c>
      <c r="C11" s="325" t="s">
        <v>276</v>
      </c>
      <c r="D11" s="325"/>
      <c r="E11" s="325"/>
      <c r="F11" s="325"/>
      <c r="G11" s="325"/>
      <c r="I11" s="192" t="s">
        <v>277</v>
      </c>
      <c r="J11" s="192">
        <f>B17</f>
        <v>1.5</v>
      </c>
      <c r="K11" s="200">
        <f>K$7-J11</f>
        <v>7.5</v>
      </c>
      <c r="L11" s="201">
        <f t="shared" si="1"/>
        <v>2.0400399999999999</v>
      </c>
      <c r="M11" s="201">
        <f t="shared" si="1"/>
        <v>0.25004999999999999</v>
      </c>
      <c r="N11" s="201">
        <f t="shared" si="1"/>
        <v>3.9599600000000001</v>
      </c>
      <c r="O11" s="201">
        <f t="shared" si="1"/>
        <v>1.2499500000000001</v>
      </c>
      <c r="P11" s="194">
        <f t="shared" si="2"/>
        <v>7.5</v>
      </c>
      <c r="Q11" s="195">
        <f t="shared" si="0"/>
        <v>0.27200533333333332</v>
      </c>
      <c r="R11" s="195">
        <f t="shared" si="0"/>
        <v>3.3340000000000002E-2</v>
      </c>
      <c r="S11" s="195">
        <f t="shared" si="0"/>
        <v>0.52799466666666672</v>
      </c>
      <c r="T11" s="195">
        <f t="shared" si="0"/>
        <v>0.16666</v>
      </c>
      <c r="U11" s="196">
        <f t="shared" si="3"/>
        <v>1</v>
      </c>
    </row>
    <row r="12" spans="1:21" s="197" customFormat="1" ht="14" x14ac:dyDescent="0.3">
      <c r="B12" s="329" t="s">
        <v>278</v>
      </c>
      <c r="C12" s="330"/>
      <c r="D12" s="330"/>
      <c r="E12" s="330"/>
      <c r="F12" s="330"/>
      <c r="G12" s="330"/>
      <c r="I12" s="192" t="s">
        <v>279</v>
      </c>
      <c r="J12" s="192" t="s">
        <v>275</v>
      </c>
      <c r="K12" s="200" t="s">
        <v>280</v>
      </c>
      <c r="L12" s="331" t="s">
        <v>276</v>
      </c>
      <c r="M12" s="332"/>
      <c r="N12" s="332"/>
      <c r="O12" s="332"/>
      <c r="P12" s="333"/>
      <c r="Q12" s="331" t="s">
        <v>276</v>
      </c>
      <c r="R12" s="332"/>
      <c r="S12" s="332"/>
      <c r="T12" s="332"/>
      <c r="U12" s="333"/>
    </row>
    <row r="13" spans="1:21" s="197" customFormat="1" ht="14" x14ac:dyDescent="0.3">
      <c r="B13" s="198">
        <v>0</v>
      </c>
      <c r="C13" s="203">
        <v>0</v>
      </c>
      <c r="D13" s="203">
        <v>0</v>
      </c>
      <c r="E13" s="203">
        <v>0</v>
      </c>
      <c r="F13" s="203">
        <v>0</v>
      </c>
      <c r="G13" s="203">
        <f>SUM(C13:F13)</f>
        <v>0</v>
      </c>
      <c r="I13" s="192" t="s">
        <v>281</v>
      </c>
      <c r="J13" s="192">
        <v>2.7</v>
      </c>
      <c r="K13" s="200">
        <f>K$7-J13</f>
        <v>6.3</v>
      </c>
      <c r="L13" s="201">
        <f>L11-C10*($K11-$K13)</f>
        <v>1.5200799999999997</v>
      </c>
      <c r="M13" s="201">
        <f>M11-D10*($K11-$K13)</f>
        <v>0.21009</v>
      </c>
      <c r="N13" s="201">
        <f>N11-E10*($K11-$K13)</f>
        <v>3.5199199999999999</v>
      </c>
      <c r="O13" s="201">
        <f>O11-F10*($K11-$K13)</f>
        <v>1.0499100000000001</v>
      </c>
      <c r="P13" s="201">
        <f>P11-G10*($K11-$K13)</f>
        <v>6.3</v>
      </c>
      <c r="Q13" s="195">
        <f>L13/$K13</f>
        <v>0.24128253968253963</v>
      </c>
      <c r="R13" s="195">
        <f>M13/$K13</f>
        <v>3.334761904761905E-2</v>
      </c>
      <c r="S13" s="195">
        <f>N13/$K13</f>
        <v>0.55871746031746028</v>
      </c>
      <c r="T13" s="195">
        <f>O13/$K13</f>
        <v>0.16665238095238097</v>
      </c>
      <c r="U13" s="196">
        <f t="shared" si="3"/>
        <v>1</v>
      </c>
    </row>
    <row r="14" spans="1:21" s="197" customFormat="1" ht="14" x14ac:dyDescent="0.3">
      <c r="B14" s="198">
        <v>0.3</v>
      </c>
      <c r="C14" s="201">
        <f>$B14*C9</f>
        <v>0.24</v>
      </c>
      <c r="D14" s="201">
        <f>$B14*D9</f>
        <v>9.9900000000000006E-3</v>
      </c>
      <c r="E14" s="201">
        <f>$B14*E9</f>
        <v>0</v>
      </c>
      <c r="F14" s="201">
        <f>$B14*F9</f>
        <v>5.0009999999999992E-2</v>
      </c>
      <c r="G14" s="201">
        <f>SUM(C14:F14)</f>
        <v>0.3</v>
      </c>
      <c r="I14" s="192" t="s">
        <v>305</v>
      </c>
      <c r="J14" s="192">
        <v>8</v>
      </c>
      <c r="K14" s="200">
        <f>K$7-J14</f>
        <v>1</v>
      </c>
      <c r="L14" s="201">
        <f>$K14*Q14</f>
        <v>0.24128253968253963</v>
      </c>
      <c r="M14" s="201">
        <f t="shared" ref="M14:P14" si="5">$K14*R14</f>
        <v>3.334761904761905E-2</v>
      </c>
      <c r="N14" s="201">
        <f t="shared" si="5"/>
        <v>0.55871746031746028</v>
      </c>
      <c r="O14" s="201">
        <f t="shared" si="5"/>
        <v>0.16665238095238097</v>
      </c>
      <c r="P14" s="201">
        <f t="shared" si="5"/>
        <v>1</v>
      </c>
      <c r="Q14" s="195">
        <f>Q13</f>
        <v>0.24128253968253963</v>
      </c>
      <c r="R14" s="195">
        <f t="shared" ref="R14:U14" si="6">R13</f>
        <v>3.334761904761905E-2</v>
      </c>
      <c r="S14" s="195">
        <f t="shared" si="6"/>
        <v>0.55871746031746028</v>
      </c>
      <c r="T14" s="195">
        <f t="shared" si="6"/>
        <v>0.16665238095238097</v>
      </c>
      <c r="U14" s="224">
        <f t="shared" si="6"/>
        <v>1</v>
      </c>
    </row>
    <row r="15" spans="1:21" s="197" customFormat="1" ht="14" x14ac:dyDescent="0.3">
      <c r="B15" s="198">
        <v>0.4</v>
      </c>
      <c r="C15" s="201">
        <f t="shared" ref="C15:F17" si="7">C$14+C$10*($B15-$B$14)</f>
        <v>0.28333000000000003</v>
      </c>
      <c r="D15" s="201">
        <f t="shared" si="7"/>
        <v>1.3320000000000002E-2</v>
      </c>
      <c r="E15" s="201">
        <f t="shared" si="7"/>
        <v>3.6670000000000015E-2</v>
      </c>
      <c r="F15" s="201">
        <f t="shared" si="7"/>
        <v>6.6679999999999989E-2</v>
      </c>
      <c r="G15" s="201">
        <f>SUM(C15:F15)</f>
        <v>0.4</v>
      </c>
      <c r="I15" s="204" t="s">
        <v>282</v>
      </c>
      <c r="J15" s="205"/>
      <c r="K15" s="206"/>
      <c r="L15" s="207"/>
      <c r="M15" s="207"/>
      <c r="N15" s="207"/>
      <c r="O15" s="207"/>
      <c r="P15" s="207"/>
      <c r="Q15" s="208"/>
      <c r="R15" s="208"/>
      <c r="S15" s="208"/>
      <c r="T15" s="208"/>
      <c r="U15" s="209"/>
    </row>
    <row r="16" spans="1:21" s="197" customFormat="1" ht="14" x14ac:dyDescent="0.3">
      <c r="B16" s="198">
        <v>1</v>
      </c>
      <c r="C16" s="201">
        <f t="shared" si="7"/>
        <v>0.54330999999999996</v>
      </c>
      <c r="D16" s="201">
        <f t="shared" si="7"/>
        <v>3.3300000000000003E-2</v>
      </c>
      <c r="E16" s="201">
        <f t="shared" si="7"/>
        <v>0.25669000000000003</v>
      </c>
      <c r="F16" s="201">
        <f t="shared" si="7"/>
        <v>0.16669999999999999</v>
      </c>
      <c r="G16" s="201">
        <f t="shared" ref="G16:G17" si="8">SUM(C16:F16)</f>
        <v>0.99999999999999989</v>
      </c>
      <c r="I16" s="205" t="s">
        <v>306</v>
      </c>
      <c r="J16" s="205"/>
      <c r="U16" s="210"/>
    </row>
    <row r="17" spans="2:21" s="197" customFormat="1" ht="14" x14ac:dyDescent="0.3">
      <c r="B17" s="198">
        <v>1.5</v>
      </c>
      <c r="C17" s="201">
        <f t="shared" si="7"/>
        <v>0.75995999999999997</v>
      </c>
      <c r="D17" s="201">
        <f t="shared" si="7"/>
        <v>4.9950000000000001E-2</v>
      </c>
      <c r="E17" s="201">
        <f t="shared" si="7"/>
        <v>0.44004000000000004</v>
      </c>
      <c r="F17" s="201">
        <f t="shared" si="7"/>
        <v>0.25004999999999994</v>
      </c>
      <c r="G17" s="201">
        <f t="shared" si="8"/>
        <v>1.5</v>
      </c>
      <c r="I17" s="205" t="s">
        <v>307</v>
      </c>
      <c r="U17" s="210"/>
    </row>
    <row r="18" spans="2:21" s="197" customFormat="1" ht="14" x14ac:dyDescent="0.3">
      <c r="B18" s="198" t="s">
        <v>275</v>
      </c>
      <c r="C18" s="325" t="s">
        <v>276</v>
      </c>
      <c r="D18" s="325"/>
      <c r="E18" s="325"/>
      <c r="F18" s="325"/>
      <c r="G18" s="325"/>
    </row>
    <row r="19" spans="2:21" s="197" customFormat="1" ht="14" x14ac:dyDescent="0.3">
      <c r="I19" s="197" t="s">
        <v>305</v>
      </c>
      <c r="J19" s="206">
        <f t="shared" ref="J19:U19" si="9">J14</f>
        <v>8</v>
      </c>
      <c r="K19" s="206">
        <f t="shared" si="9"/>
        <v>1</v>
      </c>
      <c r="L19" s="207">
        <f t="shared" si="9"/>
        <v>0.24128253968253963</v>
      </c>
      <c r="M19" s="207">
        <f t="shared" si="9"/>
        <v>3.334761904761905E-2</v>
      </c>
      <c r="N19" s="207">
        <f t="shared" si="9"/>
        <v>0.55871746031746028</v>
      </c>
      <c r="O19" s="207">
        <f t="shared" si="9"/>
        <v>0.16665238095238097</v>
      </c>
      <c r="P19" s="207">
        <f t="shared" si="9"/>
        <v>1</v>
      </c>
      <c r="Q19" s="212">
        <f t="shared" si="9"/>
        <v>0.24128253968253963</v>
      </c>
      <c r="R19" s="212">
        <f t="shared" si="9"/>
        <v>3.334761904761905E-2</v>
      </c>
      <c r="S19" s="212">
        <f t="shared" si="9"/>
        <v>0.55871746031746028</v>
      </c>
      <c r="T19" s="212">
        <f t="shared" si="9"/>
        <v>0.16665238095238097</v>
      </c>
      <c r="U19" s="212">
        <f t="shared" si="9"/>
        <v>1</v>
      </c>
    </row>
    <row r="20" spans="2:21" s="197" customFormat="1" ht="14" x14ac:dyDescent="0.3">
      <c r="I20" s="197" t="str">
        <f t="shared" ref="I20:U20" si="10">I13</f>
        <v>[7]**</v>
      </c>
      <c r="J20" s="206">
        <f t="shared" si="10"/>
        <v>2.7</v>
      </c>
      <c r="K20" s="206">
        <f t="shared" si="10"/>
        <v>6.3</v>
      </c>
      <c r="L20" s="207">
        <f t="shared" si="10"/>
        <v>1.5200799999999997</v>
      </c>
      <c r="M20" s="207">
        <f t="shared" si="10"/>
        <v>0.21009</v>
      </c>
      <c r="N20" s="207">
        <f t="shared" si="10"/>
        <v>3.5199199999999999</v>
      </c>
      <c r="O20" s="207">
        <f t="shared" si="10"/>
        <v>1.0499100000000001</v>
      </c>
      <c r="P20" s="207">
        <f t="shared" si="10"/>
        <v>6.3</v>
      </c>
      <c r="Q20" s="212">
        <f t="shared" si="10"/>
        <v>0.24128253968253963</v>
      </c>
      <c r="R20" s="212">
        <f t="shared" si="10"/>
        <v>3.334761904761905E-2</v>
      </c>
      <c r="S20" s="212">
        <f t="shared" si="10"/>
        <v>0.55871746031746028</v>
      </c>
      <c r="T20" s="212">
        <f t="shared" si="10"/>
        <v>0.16665238095238097</v>
      </c>
      <c r="U20" s="212">
        <f t="shared" si="10"/>
        <v>1</v>
      </c>
    </row>
    <row r="21" spans="2:21" s="197" customFormat="1" ht="14" x14ac:dyDescent="0.3">
      <c r="I21" s="197" t="str">
        <f t="shared" ref="I21:U21" si="11">I11</f>
        <v>[5]</v>
      </c>
      <c r="J21" s="206">
        <f t="shared" si="11"/>
        <v>1.5</v>
      </c>
      <c r="K21" s="206">
        <f t="shared" si="11"/>
        <v>7.5</v>
      </c>
      <c r="L21" s="207">
        <f t="shared" si="11"/>
        <v>2.0400399999999999</v>
      </c>
      <c r="M21" s="207">
        <f t="shared" si="11"/>
        <v>0.25004999999999999</v>
      </c>
      <c r="N21" s="207">
        <f t="shared" si="11"/>
        <v>3.9599600000000001</v>
      </c>
      <c r="O21" s="207">
        <f t="shared" si="11"/>
        <v>1.2499500000000001</v>
      </c>
      <c r="P21" s="207">
        <f t="shared" si="11"/>
        <v>7.5</v>
      </c>
      <c r="Q21" s="212">
        <f t="shared" si="11"/>
        <v>0.27200533333333332</v>
      </c>
      <c r="R21" s="212">
        <f t="shared" si="11"/>
        <v>3.3340000000000002E-2</v>
      </c>
      <c r="S21" s="212">
        <f t="shared" si="11"/>
        <v>0.52799466666666672</v>
      </c>
      <c r="T21" s="212">
        <f t="shared" si="11"/>
        <v>0.16666</v>
      </c>
      <c r="U21" s="213">
        <f t="shared" si="11"/>
        <v>1</v>
      </c>
    </row>
    <row r="22" spans="2:21" s="197" customFormat="1" ht="17.5" customHeight="1" x14ac:dyDescent="0.3">
      <c r="I22" s="197" t="str">
        <f t="shared" ref="I22:U22" si="12">I10</f>
        <v>[4]</v>
      </c>
      <c r="J22" s="206">
        <f t="shared" si="12"/>
        <v>1</v>
      </c>
      <c r="K22" s="206">
        <f t="shared" si="12"/>
        <v>8</v>
      </c>
      <c r="L22" s="207">
        <f t="shared" si="12"/>
        <v>2.2566899999999999</v>
      </c>
      <c r="M22" s="207">
        <f t="shared" si="12"/>
        <v>0.26669999999999999</v>
      </c>
      <c r="N22" s="207">
        <f t="shared" si="12"/>
        <v>4.1433100000000005</v>
      </c>
      <c r="O22" s="207">
        <f t="shared" si="12"/>
        <v>1.3332999999999999</v>
      </c>
      <c r="P22" s="207">
        <f t="shared" si="12"/>
        <v>8</v>
      </c>
      <c r="Q22" s="212">
        <f t="shared" si="12"/>
        <v>0.28208624999999998</v>
      </c>
      <c r="R22" s="212">
        <f t="shared" si="12"/>
        <v>3.3337499999999999E-2</v>
      </c>
      <c r="S22" s="212">
        <f t="shared" si="12"/>
        <v>0.51791375000000006</v>
      </c>
      <c r="T22" s="212">
        <f t="shared" si="12"/>
        <v>0.16666249999999999</v>
      </c>
      <c r="U22" s="213">
        <f t="shared" si="12"/>
        <v>1</v>
      </c>
    </row>
    <row r="23" spans="2:21" s="197" customFormat="1" ht="27.5" customHeight="1" x14ac:dyDescent="0.3">
      <c r="I23" s="197" t="str">
        <f t="shared" ref="I23:U23" si="13">I9</f>
        <v>[3]</v>
      </c>
      <c r="J23" s="206">
        <f t="shared" si="13"/>
        <v>0.4</v>
      </c>
      <c r="K23" s="206">
        <f t="shared" si="13"/>
        <v>8.6</v>
      </c>
      <c r="L23" s="207">
        <f t="shared" si="13"/>
        <v>2.51667</v>
      </c>
      <c r="M23" s="207">
        <f t="shared" si="13"/>
        <v>0.28667999999999999</v>
      </c>
      <c r="N23" s="207">
        <f t="shared" si="13"/>
        <v>4.3633300000000004</v>
      </c>
      <c r="O23" s="207">
        <f t="shared" si="13"/>
        <v>1.4333199999999999</v>
      </c>
      <c r="P23" s="207">
        <f t="shared" si="13"/>
        <v>8.6</v>
      </c>
      <c r="Q23" s="212">
        <f t="shared" si="13"/>
        <v>0.29263604651162789</v>
      </c>
      <c r="R23" s="212">
        <f t="shared" si="13"/>
        <v>3.3334883720930235E-2</v>
      </c>
      <c r="S23" s="212">
        <f t="shared" si="13"/>
        <v>0.50736395348837215</v>
      </c>
      <c r="T23" s="212">
        <f t="shared" si="13"/>
        <v>0.16666511627906977</v>
      </c>
      <c r="U23" s="213">
        <f t="shared" si="13"/>
        <v>1</v>
      </c>
    </row>
    <row r="24" spans="2:21" s="197" customFormat="1" ht="14" x14ac:dyDescent="0.3">
      <c r="I24" s="197" t="str">
        <f t="shared" ref="I24:U24" si="14">I8</f>
        <v>[2]</v>
      </c>
      <c r="J24" s="206">
        <f t="shared" si="14"/>
        <v>0.3</v>
      </c>
      <c r="K24" s="206">
        <f t="shared" si="14"/>
        <v>8.6999999999999993</v>
      </c>
      <c r="L24" s="207">
        <f t="shared" si="14"/>
        <v>2.5599999999999996</v>
      </c>
      <c r="M24" s="207">
        <f t="shared" si="14"/>
        <v>0.29000999999999999</v>
      </c>
      <c r="N24" s="207">
        <f t="shared" si="14"/>
        <v>4.4000000000000004</v>
      </c>
      <c r="O24" s="207">
        <f t="shared" si="14"/>
        <v>1.4499900000000001</v>
      </c>
      <c r="P24" s="207">
        <f t="shared" si="14"/>
        <v>8.6999999999999993</v>
      </c>
      <c r="Q24" s="212">
        <f t="shared" si="14"/>
        <v>0.29425287356321839</v>
      </c>
      <c r="R24" s="212">
        <f t="shared" si="14"/>
        <v>3.3334482758620693E-2</v>
      </c>
      <c r="S24" s="212">
        <f t="shared" si="14"/>
        <v>0.50574712643678166</v>
      </c>
      <c r="T24" s="212">
        <f t="shared" si="14"/>
        <v>0.16666551724137935</v>
      </c>
      <c r="U24" s="213">
        <f t="shared" si="14"/>
        <v>1</v>
      </c>
    </row>
    <row r="25" spans="2:21" s="197" customFormat="1" ht="14" x14ac:dyDescent="0.3">
      <c r="I25" s="197" t="str">
        <f t="shared" ref="I25:U25" si="15">I7</f>
        <v>[1]*</v>
      </c>
      <c r="J25" s="206">
        <f t="shared" si="15"/>
        <v>0</v>
      </c>
      <c r="K25" s="206">
        <f t="shared" si="15"/>
        <v>9</v>
      </c>
      <c r="L25" s="207">
        <f t="shared" si="15"/>
        <v>2.8</v>
      </c>
      <c r="M25" s="207">
        <f t="shared" si="15"/>
        <v>0.3</v>
      </c>
      <c r="N25" s="207">
        <f t="shared" si="15"/>
        <v>4.4000000000000004</v>
      </c>
      <c r="O25" s="207">
        <f t="shared" si="15"/>
        <v>1.5</v>
      </c>
      <c r="P25" s="207">
        <f t="shared" si="15"/>
        <v>9</v>
      </c>
      <c r="Q25" s="212">
        <f t="shared" si="15"/>
        <v>0.31111111111111112</v>
      </c>
      <c r="R25" s="212">
        <f t="shared" si="15"/>
        <v>3.3333333333333333E-2</v>
      </c>
      <c r="S25" s="212">
        <f t="shared" si="15"/>
        <v>0.48888888888888893</v>
      </c>
      <c r="T25" s="212">
        <f t="shared" si="15"/>
        <v>0.16666666666666666</v>
      </c>
      <c r="U25" s="213">
        <f t="shared" si="15"/>
        <v>1</v>
      </c>
    </row>
    <row r="26" spans="2:21" s="197" customFormat="1" ht="14" x14ac:dyDescent="0.3">
      <c r="U26" s="210"/>
    </row>
    <row r="27" spans="2:21" s="197" customFormat="1" ht="14" x14ac:dyDescent="0.3">
      <c r="U27" s="210"/>
    </row>
    <row r="28" spans="2:21" s="197" customFormat="1" ht="14" x14ac:dyDescent="0.3">
      <c r="U28" s="210"/>
    </row>
    <row r="29" spans="2:21" s="197" customFormat="1" ht="14" x14ac:dyDescent="0.3">
      <c r="U29" s="210"/>
    </row>
    <row r="30" spans="2:21" s="197" customFormat="1" ht="14" x14ac:dyDescent="0.3">
      <c r="U30" s="210"/>
    </row>
    <row r="31" spans="2:21" s="197" customFormat="1" ht="14" x14ac:dyDescent="0.3">
      <c r="U31" s="210"/>
    </row>
    <row r="32" spans="2:21" s="197" customFormat="1" ht="14" x14ac:dyDescent="0.3">
      <c r="U32" s="210"/>
    </row>
  </sheetData>
  <mergeCells count="11">
    <mergeCell ref="C18:G18"/>
    <mergeCell ref="Q5:U5"/>
    <mergeCell ref="C11:G11"/>
    <mergeCell ref="B12:G12"/>
    <mergeCell ref="L12:P12"/>
    <mergeCell ref="Q12:U12"/>
    <mergeCell ref="B7:G7"/>
    <mergeCell ref="I5:I6"/>
    <mergeCell ref="J5:J6"/>
    <mergeCell ref="K5:K6"/>
    <mergeCell ref="L5:P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H23"/>
  <sheetViews>
    <sheetView topLeftCell="A4" zoomScale="160" zoomScaleNormal="160" workbookViewId="0">
      <selection activeCell="A18" sqref="A18:C23"/>
    </sheetView>
  </sheetViews>
  <sheetFormatPr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8" x14ac:dyDescent="0.35">
      <c r="A1" s="1" t="s">
        <v>361</v>
      </c>
    </row>
    <row r="3" spans="1:8" x14ac:dyDescent="0.35">
      <c r="A3" s="1" t="s">
        <v>367</v>
      </c>
    </row>
    <row r="4" spans="1:8" ht="29" customHeight="1" x14ac:dyDescent="0.35">
      <c r="A4" s="236" t="s">
        <v>362</v>
      </c>
      <c r="B4" s="236" t="s">
        <v>363</v>
      </c>
      <c r="C4" s="237" t="s">
        <v>364</v>
      </c>
      <c r="D4" s="237" t="s">
        <v>365</v>
      </c>
      <c r="F4" s="237" t="s">
        <v>363</v>
      </c>
      <c r="G4" s="237" t="s">
        <v>372</v>
      </c>
      <c r="H4" s="237" t="s">
        <v>373</v>
      </c>
    </row>
    <row r="5" spans="1:8" x14ac:dyDescent="0.35">
      <c r="A5" s="23" t="s">
        <v>366</v>
      </c>
      <c r="B5" s="23" t="s">
        <v>244</v>
      </c>
      <c r="C5" s="24">
        <v>12534</v>
      </c>
      <c r="D5" s="24"/>
      <c r="F5" s="22" t="s">
        <v>244</v>
      </c>
      <c r="G5" s="31">
        <f>SUMIFS($C$5:$C$13,$B$5:$B$13,F5)</f>
        <v>12534</v>
      </c>
      <c r="H5" s="240">
        <f>G5/G$8</f>
        <v>1.3163339249519528E-2</v>
      </c>
    </row>
    <row r="6" spans="1:8" x14ac:dyDescent="0.35">
      <c r="A6" s="23" t="s">
        <v>366</v>
      </c>
      <c r="B6" s="23" t="s">
        <v>243</v>
      </c>
      <c r="C6" s="24">
        <v>103535</v>
      </c>
      <c r="D6" s="24"/>
      <c r="F6" s="22" t="s">
        <v>243</v>
      </c>
      <c r="G6" s="31">
        <f t="shared" ref="G6:G7" si="0">SUMIFS($C$5:$C$13,$B$5:$B$13,F6)</f>
        <v>783134</v>
      </c>
      <c r="H6" s="240">
        <f t="shared" ref="H6:H8" si="1">G6/G$8</f>
        <v>0.82245560234827086</v>
      </c>
    </row>
    <row r="7" spans="1:8" x14ac:dyDescent="0.35">
      <c r="A7" s="23" t="s">
        <v>366</v>
      </c>
      <c r="B7" s="23" t="s">
        <v>242</v>
      </c>
      <c r="C7" s="24">
        <v>16720</v>
      </c>
      <c r="D7" s="24"/>
      <c r="F7" s="22" t="s">
        <v>242</v>
      </c>
      <c r="G7" s="31">
        <f t="shared" si="0"/>
        <v>156522</v>
      </c>
      <c r="H7" s="240">
        <f t="shared" si="1"/>
        <v>0.16438105840220965</v>
      </c>
    </row>
    <row r="8" spans="1:8" x14ac:dyDescent="0.35">
      <c r="A8" s="23" t="s">
        <v>368</v>
      </c>
      <c r="B8" s="23" t="s">
        <v>242</v>
      </c>
      <c r="C8" s="24">
        <v>11340</v>
      </c>
      <c r="D8" s="24"/>
      <c r="F8" s="243" t="s">
        <v>64</v>
      </c>
      <c r="G8" s="241">
        <f>SUM(G5:G7)</f>
        <v>952190</v>
      </c>
      <c r="H8" s="242">
        <f t="shared" si="1"/>
        <v>1</v>
      </c>
    </row>
    <row r="9" spans="1:8" x14ac:dyDescent="0.35">
      <c r="A9" s="23" t="s">
        <v>369</v>
      </c>
      <c r="B9" s="23" t="s">
        <v>243</v>
      </c>
      <c r="C9" s="24">
        <v>662402</v>
      </c>
      <c r="D9" s="24"/>
    </row>
    <row r="10" spans="1:8" x14ac:dyDescent="0.35">
      <c r="A10" s="23" t="s">
        <v>369</v>
      </c>
      <c r="B10" s="23" t="s">
        <v>242</v>
      </c>
      <c r="C10" s="24">
        <v>56846</v>
      </c>
      <c r="D10" s="24"/>
    </row>
    <row r="11" spans="1:8" x14ac:dyDescent="0.35">
      <c r="A11" s="23" t="s">
        <v>370</v>
      </c>
      <c r="B11" s="23" t="s">
        <v>243</v>
      </c>
      <c r="C11" s="24">
        <v>6350</v>
      </c>
      <c r="D11" s="24"/>
    </row>
    <row r="12" spans="1:8" x14ac:dyDescent="0.35">
      <c r="A12" s="23" t="s">
        <v>370</v>
      </c>
      <c r="B12" s="23" t="s">
        <v>242</v>
      </c>
      <c r="C12" s="24">
        <v>71616</v>
      </c>
      <c r="D12" s="24"/>
    </row>
    <row r="13" spans="1:8" x14ac:dyDescent="0.35">
      <c r="A13" s="23" t="s">
        <v>371</v>
      </c>
      <c r="B13" s="23" t="s">
        <v>243</v>
      </c>
      <c r="C13" s="24">
        <v>10847</v>
      </c>
      <c r="D13" s="24">
        <v>22928</v>
      </c>
    </row>
    <row r="14" spans="1:8" s="1" customFormat="1" x14ac:dyDescent="0.35">
      <c r="A14" s="238" t="s">
        <v>64</v>
      </c>
      <c r="B14" s="238"/>
      <c r="C14" s="239">
        <f>SUM(C5:C13)</f>
        <v>952190</v>
      </c>
      <c r="D14" s="239">
        <f>SUM(D5:D13)</f>
        <v>22928</v>
      </c>
    </row>
    <row r="17" spans="1:3" x14ac:dyDescent="0.35">
      <c r="A17" s="1" t="s">
        <v>374</v>
      </c>
    </row>
    <row r="18" spans="1:3" x14ac:dyDescent="0.35">
      <c r="A18" s="236" t="s">
        <v>375</v>
      </c>
      <c r="B18" s="244" t="s">
        <v>376</v>
      </c>
      <c r="C18" s="244" t="s">
        <v>377</v>
      </c>
    </row>
    <row r="19" spans="1:3" x14ac:dyDescent="0.35">
      <c r="A19" s="23" t="s">
        <v>378</v>
      </c>
      <c r="B19" s="24">
        <v>769208</v>
      </c>
      <c r="C19" s="24">
        <v>441381</v>
      </c>
    </row>
    <row r="20" spans="1:3" x14ac:dyDescent="0.35">
      <c r="A20" s="23" t="s">
        <v>379</v>
      </c>
      <c r="B20" s="24">
        <v>15340</v>
      </c>
      <c r="C20" s="24">
        <v>9017</v>
      </c>
    </row>
    <row r="21" spans="1:3" x14ac:dyDescent="0.35">
      <c r="A21" s="23" t="s">
        <v>380</v>
      </c>
      <c r="B21" s="24">
        <v>2844</v>
      </c>
      <c r="C21" s="24">
        <v>1698</v>
      </c>
    </row>
    <row r="22" spans="1:3" x14ac:dyDescent="0.35">
      <c r="A22" s="23" t="s">
        <v>381</v>
      </c>
      <c r="B22" s="24">
        <v>13000</v>
      </c>
      <c r="C22" s="24">
        <v>13000</v>
      </c>
    </row>
    <row r="23" spans="1:3" x14ac:dyDescent="0.35">
      <c r="A23" s="238" t="s">
        <v>64</v>
      </c>
      <c r="B23" s="239">
        <f>SUM(B19:B22)</f>
        <v>800392</v>
      </c>
      <c r="C23" s="239">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2"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340" t="e">
        <f>#REF!</f>
        <v>#REF!</v>
      </c>
      <c r="B1" s="340"/>
      <c r="C1" s="340"/>
      <c r="D1" s="340"/>
      <c r="E1" s="340"/>
      <c r="F1" s="340"/>
      <c r="G1" s="340"/>
    </row>
    <row r="2" spans="1:14" x14ac:dyDescent="0.35">
      <c r="A2" s="1" t="s">
        <v>221</v>
      </c>
      <c r="B2" s="1"/>
    </row>
    <row r="3" spans="1:14" ht="32.15" customHeight="1" x14ac:dyDescent="0.35">
      <c r="A3" s="313" t="s">
        <v>217</v>
      </c>
      <c r="B3" s="313"/>
      <c r="C3" s="313"/>
      <c r="D3" s="313"/>
      <c r="E3" s="313"/>
      <c r="F3" s="313"/>
      <c r="G3" s="313"/>
      <c r="H3" s="84"/>
      <c r="I3" s="84"/>
      <c r="J3" s="84"/>
      <c r="K3" s="84"/>
      <c r="N3" s="137" t="s">
        <v>196</v>
      </c>
    </row>
    <row r="4" spans="1:14" x14ac:dyDescent="0.35">
      <c r="A4" s="127" t="s">
        <v>149</v>
      </c>
      <c r="B4" s="127" t="s">
        <v>19</v>
      </c>
      <c r="C4" s="314" t="s">
        <v>20</v>
      </c>
      <c r="D4" s="315"/>
      <c r="E4" s="315"/>
      <c r="F4" s="315"/>
      <c r="G4" s="316"/>
      <c r="N4" s="139" t="s">
        <v>168</v>
      </c>
    </row>
    <row r="5" spans="1:14" x14ac:dyDescent="0.35">
      <c r="A5" s="90" t="s">
        <v>16</v>
      </c>
      <c r="B5" s="114"/>
      <c r="C5" s="317"/>
      <c r="D5" s="312"/>
      <c r="E5" s="312"/>
      <c r="F5" s="312"/>
      <c r="G5" s="312"/>
      <c r="N5" s="142"/>
    </row>
    <row r="6" spans="1:14" x14ac:dyDescent="0.35">
      <c r="A6" s="90" t="s">
        <v>17</v>
      </c>
      <c r="B6" s="114"/>
      <c r="C6" s="317"/>
      <c r="D6" s="312"/>
      <c r="E6" s="312"/>
      <c r="F6" s="312"/>
      <c r="G6" s="312"/>
      <c r="N6" s="142"/>
    </row>
    <row r="7" spans="1:14" x14ac:dyDescent="0.35">
      <c r="A7" s="90" t="s">
        <v>18</v>
      </c>
      <c r="B7" s="114"/>
      <c r="C7" s="317"/>
      <c r="D7" s="312"/>
      <c r="E7" s="312"/>
      <c r="F7" s="312"/>
      <c r="G7" s="312"/>
      <c r="N7" s="142"/>
    </row>
    <row r="8" spans="1:14" x14ac:dyDescent="0.35">
      <c r="A8" s="114" t="s">
        <v>78</v>
      </c>
      <c r="B8" s="90"/>
      <c r="C8" s="312"/>
      <c r="D8" s="312"/>
      <c r="E8" s="312"/>
      <c r="F8" s="312"/>
      <c r="G8" s="312"/>
      <c r="N8" s="142"/>
    </row>
    <row r="9" spans="1:14" x14ac:dyDescent="0.35">
      <c r="A9" s="114" t="s">
        <v>202</v>
      </c>
      <c r="B9" s="90"/>
      <c r="C9" s="318"/>
      <c r="D9" s="318"/>
      <c r="E9" s="318"/>
      <c r="F9" s="318"/>
      <c r="G9" s="318"/>
      <c r="N9" s="142"/>
    </row>
    <row r="10" spans="1:14" x14ac:dyDescent="0.35">
      <c r="A10" s="115" t="s">
        <v>80</v>
      </c>
      <c r="B10" s="115"/>
      <c r="C10" s="339"/>
      <c r="D10" s="339"/>
      <c r="E10" s="339"/>
      <c r="F10" s="339"/>
      <c r="G10" s="339"/>
      <c r="N10" s="142"/>
    </row>
    <row r="11" spans="1:14" x14ac:dyDescent="0.35">
      <c r="A11" s="13"/>
      <c r="B11" s="2"/>
      <c r="C11"/>
      <c r="N11" s="142"/>
    </row>
    <row r="12" spans="1:14" x14ac:dyDescent="0.35">
      <c r="A12" s="15" t="s">
        <v>150</v>
      </c>
      <c r="B12" s="319" t="s">
        <v>152</v>
      </c>
      <c r="C12" s="320"/>
      <c r="D12" s="321"/>
      <c r="N12" s="141" t="s">
        <v>169</v>
      </c>
    </row>
    <row r="13" spans="1:14" x14ac:dyDescent="0.35">
      <c r="B13" s="322" t="s">
        <v>153</v>
      </c>
      <c r="C13" s="323"/>
      <c r="D13" s="324"/>
      <c r="N13" s="142"/>
    </row>
    <row r="14" spans="1:14" x14ac:dyDescent="0.35">
      <c r="B14" s="306" t="s">
        <v>154</v>
      </c>
      <c r="C14" s="307"/>
      <c r="D14" s="308"/>
      <c r="N14" s="142"/>
    </row>
    <row r="15" spans="1:14" x14ac:dyDescent="0.35">
      <c r="B15" s="309" t="s">
        <v>21</v>
      </c>
      <c r="C15" s="310"/>
      <c r="D15" s="311"/>
      <c r="N15" s="142"/>
    </row>
    <row r="16" spans="1:14" x14ac:dyDescent="0.35">
      <c r="N16" s="142"/>
    </row>
    <row r="17" spans="1:14" x14ac:dyDescent="0.35">
      <c r="A17" s="1" t="s">
        <v>151</v>
      </c>
      <c r="B17" s="1" t="s">
        <v>66</v>
      </c>
      <c r="C17" s="11" t="s">
        <v>67</v>
      </c>
      <c r="N17" s="141" t="s">
        <v>170</v>
      </c>
    </row>
    <row r="18" spans="1:14" x14ac:dyDescent="0.35">
      <c r="A18" t="s">
        <v>65</v>
      </c>
      <c r="B18" s="110">
        <v>5.73</v>
      </c>
      <c r="C18" s="110">
        <v>6</v>
      </c>
      <c r="D18" s="16"/>
      <c r="N18" s="141" t="s">
        <v>172</v>
      </c>
    </row>
    <row r="19" spans="1:14" x14ac:dyDescent="0.35">
      <c r="A19" t="s">
        <v>167</v>
      </c>
      <c r="B19" s="110">
        <v>7.2</v>
      </c>
      <c r="C19" s="110">
        <v>9</v>
      </c>
      <c r="D19" s="129" t="s">
        <v>157</v>
      </c>
      <c r="F19" s="129"/>
      <c r="N19" s="141" t="s">
        <v>171</v>
      </c>
    </row>
    <row r="20" spans="1:14" x14ac:dyDescent="0.35">
      <c r="A20" t="s">
        <v>90</v>
      </c>
      <c r="B20" s="159">
        <v>3525</v>
      </c>
      <c r="C20" s="159">
        <v>1020</v>
      </c>
      <c r="D20" s="10"/>
      <c r="N20" s="141" t="s">
        <v>173</v>
      </c>
    </row>
    <row r="21" spans="1:14" x14ac:dyDescent="0.35">
      <c r="A21" t="s">
        <v>87</v>
      </c>
      <c r="B21" s="110" t="e">
        <f>VLOOKUP(B20,#REF!,2)/1000000</f>
        <v>#REF!</v>
      </c>
      <c r="C21" s="110">
        <f>VLOOKUP(C20,'Mead-Elevation-Area'!$A$5:$B$689,2)/1000000</f>
        <v>5.664593</v>
      </c>
      <c r="D21" s="10"/>
      <c r="E21" s="28"/>
      <c r="N21" s="141" t="s">
        <v>175</v>
      </c>
    </row>
    <row r="22" spans="1:14" x14ac:dyDescent="0.35">
      <c r="A22" t="s">
        <v>162</v>
      </c>
      <c r="B22" s="110">
        <f>78.1</f>
        <v>78.099999999999994</v>
      </c>
      <c r="C22"/>
      <c r="D22" s="111"/>
      <c r="E22" s="28"/>
      <c r="N22" s="141" t="s">
        <v>174</v>
      </c>
    </row>
    <row r="23" spans="1:14" x14ac:dyDescent="0.35">
      <c r="A23" t="s">
        <v>163</v>
      </c>
      <c r="B23" s="130">
        <v>0.17</v>
      </c>
      <c r="C23"/>
      <c r="D23" s="111"/>
      <c r="E23" s="28"/>
      <c r="N23" s="141" t="s">
        <v>176</v>
      </c>
    </row>
    <row r="24" spans="1:14" x14ac:dyDescent="0.35">
      <c r="A24" t="s">
        <v>161</v>
      </c>
      <c r="B24" s="110">
        <f>10*(7.5+1.5/2)-B22-B23</f>
        <v>4.2300000000000058</v>
      </c>
      <c r="C24"/>
      <c r="D24" s="111"/>
      <c r="E24" s="28"/>
      <c r="N24" s="141" t="s">
        <v>177</v>
      </c>
    </row>
    <row r="25" spans="1:14" x14ac:dyDescent="0.35">
      <c r="A25" t="s">
        <v>197</v>
      </c>
      <c r="B25" s="110">
        <f>2.3 - IF(A9&lt;&gt;"",1.06,0)</f>
        <v>1.2399999999999998</v>
      </c>
      <c r="C25"/>
      <c r="D25" s="111"/>
      <c r="E25" s="28"/>
      <c r="N25" s="141" t="s">
        <v>200</v>
      </c>
    </row>
    <row r="26" spans="1:14" x14ac:dyDescent="0.35">
      <c r="B26" s="28"/>
      <c r="N26" s="142"/>
    </row>
    <row r="27" spans="1:14" s="1" customFormat="1" hidden="1" x14ac:dyDescent="0.35">
      <c r="A27" s="102" t="s">
        <v>147</v>
      </c>
      <c r="B27" s="103" t="s">
        <v>22</v>
      </c>
      <c r="C27" s="103" t="s">
        <v>0</v>
      </c>
      <c r="D27" s="103" t="s">
        <v>1</v>
      </c>
      <c r="E27" s="103" t="s">
        <v>2</v>
      </c>
      <c r="F27" s="103" t="s">
        <v>3</v>
      </c>
      <c r="G27" s="103" t="s">
        <v>4</v>
      </c>
      <c r="H27" s="103" t="s">
        <v>5</v>
      </c>
      <c r="I27" s="103" t="s">
        <v>6</v>
      </c>
      <c r="J27" s="103" t="s">
        <v>7</v>
      </c>
      <c r="K27" s="103" t="s">
        <v>14</v>
      </c>
      <c r="L27" s="103" t="s">
        <v>15</v>
      </c>
      <c r="M27" s="103" t="s">
        <v>64</v>
      </c>
      <c r="N27" s="138" t="str">
        <f>N3</f>
        <v>HELP, CONTEXT, and SUGGESTIONS</v>
      </c>
    </row>
    <row r="28" spans="1:14" x14ac:dyDescent="0.35">
      <c r="A28" s="125" t="s">
        <v>144</v>
      </c>
      <c r="B28" s="1"/>
      <c r="C28" s="97">
        <v>0</v>
      </c>
      <c r="D28" s="97">
        <v>0</v>
      </c>
      <c r="E28" s="97">
        <v>0.2</v>
      </c>
      <c r="F28" s="97">
        <v>2.1</v>
      </c>
      <c r="G28" s="97">
        <v>3.5</v>
      </c>
      <c r="H28" s="97">
        <v>6</v>
      </c>
      <c r="I28" s="97">
        <v>8</v>
      </c>
      <c r="J28" s="97">
        <v>11.26</v>
      </c>
      <c r="K28" s="97">
        <v>12.5</v>
      </c>
      <c r="L28" s="97">
        <v>16</v>
      </c>
      <c r="N28" s="139" t="s">
        <v>178</v>
      </c>
    </row>
    <row r="29" spans="1:14" x14ac:dyDescent="0.35">
      <c r="A29" s="1" t="s">
        <v>71</v>
      </c>
      <c r="B29" s="1"/>
      <c r="C29" s="96">
        <v>0</v>
      </c>
      <c r="D29" s="96">
        <v>0.5</v>
      </c>
      <c r="E29" s="96">
        <f t="shared" ref="E29:L29" si="0">IF(E$28&lt;&gt;"",0.8,"")</f>
        <v>0.8</v>
      </c>
      <c r="F29" s="96">
        <f t="shared" si="0"/>
        <v>0.8</v>
      </c>
      <c r="G29" s="96">
        <f t="shared" si="0"/>
        <v>0.8</v>
      </c>
      <c r="H29" s="96">
        <f t="shared" si="0"/>
        <v>0.8</v>
      </c>
      <c r="I29" s="96">
        <f t="shared" si="0"/>
        <v>0.8</v>
      </c>
      <c r="J29" s="96">
        <f t="shared" si="0"/>
        <v>0.8</v>
      </c>
      <c r="K29" s="96">
        <f t="shared" si="0"/>
        <v>0.8</v>
      </c>
      <c r="L29" s="96">
        <f t="shared" si="0"/>
        <v>0.8</v>
      </c>
      <c r="N29" s="141" t="s">
        <v>179</v>
      </c>
    </row>
    <row r="30" spans="1:14" x14ac:dyDescent="0.35">
      <c r="A30" s="1" t="s">
        <v>137</v>
      </c>
      <c r="B30" s="1"/>
      <c r="C30" s="96">
        <v>0</v>
      </c>
      <c r="D30" s="96">
        <v>0.1</v>
      </c>
      <c r="E30" s="96">
        <f t="shared" ref="E30:L30" si="1">IF(E$28&lt;&gt;"",0.2,"")</f>
        <v>0.2</v>
      </c>
      <c r="F30" s="96">
        <f t="shared" si="1"/>
        <v>0.2</v>
      </c>
      <c r="G30" s="96">
        <f t="shared" si="1"/>
        <v>0.2</v>
      </c>
      <c r="H30" s="96">
        <f t="shared" si="1"/>
        <v>0.2</v>
      </c>
      <c r="I30" s="96">
        <f t="shared" si="1"/>
        <v>0.2</v>
      </c>
      <c r="J30" s="96">
        <f t="shared" si="1"/>
        <v>0.2</v>
      </c>
      <c r="K30" s="96">
        <f t="shared" si="1"/>
        <v>0.2</v>
      </c>
      <c r="L30" s="96">
        <f t="shared" si="1"/>
        <v>0.2</v>
      </c>
      <c r="N30" s="141" t="s">
        <v>180</v>
      </c>
    </row>
    <row r="31" spans="1:14" x14ac:dyDescent="0.35">
      <c r="A31" s="1" t="s">
        <v>126</v>
      </c>
      <c r="B31" s="1"/>
      <c r="C31" s="96">
        <f>IF(C$28&lt;&gt;"",0.6,"")</f>
        <v>0.6</v>
      </c>
      <c r="D31" s="96">
        <f t="shared" ref="D31:L31" si="2">IF(D$28&lt;&gt;"",0.6,"")</f>
        <v>0.6</v>
      </c>
      <c r="E31" s="96">
        <f t="shared" si="2"/>
        <v>0.6</v>
      </c>
      <c r="F31" s="96">
        <f t="shared" si="2"/>
        <v>0.6</v>
      </c>
      <c r="G31" s="96">
        <f t="shared" si="2"/>
        <v>0.6</v>
      </c>
      <c r="H31" s="96">
        <f t="shared" si="2"/>
        <v>0.6</v>
      </c>
      <c r="I31" s="96">
        <f t="shared" si="2"/>
        <v>0.6</v>
      </c>
      <c r="J31" s="96">
        <f t="shared" si="2"/>
        <v>0.6</v>
      </c>
      <c r="K31" s="96">
        <f t="shared" si="2"/>
        <v>0.6</v>
      </c>
      <c r="L31" s="96">
        <f t="shared" si="2"/>
        <v>0.6</v>
      </c>
      <c r="N31" s="141" t="s">
        <v>181</v>
      </c>
    </row>
    <row r="32" spans="1:14" x14ac:dyDescent="0.35">
      <c r="A32" s="1" t="s">
        <v>219</v>
      </c>
      <c r="C32"/>
      <c r="N32" s="141" t="s">
        <v>194</v>
      </c>
    </row>
    <row r="33" spans="1:16" x14ac:dyDescent="0.35">
      <c r="A33" t="s">
        <v>68</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42"/>
    </row>
    <row r="34" spans="1:16" x14ac:dyDescent="0.35">
      <c r="A34" t="s">
        <v>69</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42"/>
    </row>
    <row r="35" spans="1:16" x14ac:dyDescent="0.35">
      <c r="A35" s="1" t="s">
        <v>220</v>
      </c>
      <c r="B35" s="49"/>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42"/>
    </row>
    <row r="36" spans="1:16" x14ac:dyDescent="0.35">
      <c r="A36" s="1" t="s">
        <v>145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41" t="s">
        <v>183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42"/>
    </row>
    <row r="38" spans="1:16" x14ac:dyDescent="0.35">
      <c r="A38" s="1" t="s">
        <v>146</v>
      </c>
      <c r="B38" s="50"/>
      <c r="C38" s="30">
        <f>IF(C$28&lt;&gt;"",1.5-0.21/9/2-VLOOKUP(C34,MandatoryConservation!$C$5:$P$13,13)-C31*(1.5/8.7),"")</f>
        <v>1.3048850574712643</v>
      </c>
      <c r="D38" s="30">
        <f>IF(D$28&lt;&gt;"",1.5-0.21/9/2-VLOOKUP(D34,MandatoryConservation!$C$5:$P$13,13)-D31*(1.5/8.7),"")</f>
        <v>1.3048850574712643</v>
      </c>
      <c r="E38" s="30">
        <f>IF(E$28&lt;&gt;"",1.5-0.21/9/2-VLOOKUP(E34,MandatoryConservation!$C$5:$P$13,13)-E31*(1.5/8.7),"")</f>
        <v>1.3048850574712643</v>
      </c>
      <c r="F38" s="30">
        <f>IF(F$28&lt;&gt;"",1.5-0.21/9/2-VLOOKUP(F34,MandatoryConservation!$C$5:$P$13,13)-F31*(1.5/8.7),"")</f>
        <v>1.3048850574712643</v>
      </c>
      <c r="G38" s="30">
        <f>IF(G$28&lt;&gt;"",1.5-0.21/9/2-VLOOKUP(G34,MandatoryConservation!$C$5:$P$13,13)-G31*(1.5/8.7),"")</f>
        <v>1.3048850574712643</v>
      </c>
      <c r="H38" s="30">
        <f>IF(H$28&lt;&gt;"",1.5-0.21/9/2-VLOOKUP(H34,MandatoryConservation!$C$5:$P$13,13)-H31*(1.5/8.7),"")</f>
        <v>1.3048850574712643</v>
      </c>
      <c r="I38" s="30">
        <f>IF(I$28&lt;&gt;"",1.5-0.21/9/2-VLOOKUP(I34,MandatoryConservation!$C$5:$P$13,13)-I31*(1.5/8.7),"")</f>
        <v>1.3048850574712643</v>
      </c>
      <c r="J38" s="30">
        <f>IF(J$28&lt;&gt;"",1.5-0.21/9/2-VLOOKUP(J34,MandatoryConservation!$C$5:$P$13,13)-J31*(1.5/8.7),"")</f>
        <v>1.3048850574712643</v>
      </c>
      <c r="K38" s="30">
        <f>IF(K$28&lt;&gt;"",1.5-0.21/9/2-VLOOKUP(K34,MandatoryConservation!$C$5:$P$13,13)-K31*(1.5/8.7),"")</f>
        <v>1.3048850574712643</v>
      </c>
      <c r="L38" s="30">
        <f>IF(L$28&lt;&gt;"",1.5-0.21/9/2-VLOOKUP(L34,MandatoryConservation!$C$5:$P$13,13)-L31*(1.5/8.7),"")</f>
        <v>1.3048850574712643</v>
      </c>
      <c r="M38">
        <v>16</v>
      </c>
      <c r="N38" s="141" t="s">
        <v>184</v>
      </c>
    </row>
    <row r="39" spans="1:16" x14ac:dyDescent="0.35">
      <c r="A39" s="125" t="s">
        <v>164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8">
        <f>Master!C52</f>
        <v>9.26</v>
      </c>
      <c r="N39" s="140" t="s">
        <v>185</v>
      </c>
    </row>
    <row r="40" spans="1:16" x14ac:dyDescent="0.35">
      <c r="A40" t="str">
        <f t="shared" ref="A40:A45" si="6">IF(A5="","","    To "&amp;A5)</f>
        <v xml:space="preserve">    To Upper Basin</v>
      </c>
      <c r="B40" s="94" t="s">
        <v>198</v>
      </c>
      <c r="C40" s="81" t="e">
        <f>IF(OR(C$28="",$A41=""),"",MAX(0,C39-SUM(C41:C46)))</f>
        <v>#REF!</v>
      </c>
      <c r="D40" s="81" t="e">
        <f t="shared" ref="D40:L40" si="7">IF(OR(D$28="",$A41=""),"",MAX(0,D39-SUM(D41:D46)))</f>
        <v>#REF!</v>
      </c>
      <c r="E40" s="81" t="e">
        <f t="shared" si="7"/>
        <v>#REF!</v>
      </c>
      <c r="F40" s="81" t="e">
        <f t="shared" si="7"/>
        <v>#REF!</v>
      </c>
      <c r="G40" s="81" t="e">
        <f t="shared" si="7"/>
        <v>#REF!</v>
      </c>
      <c r="H40" s="81" t="e">
        <f t="shared" si="7"/>
        <v>#REF!</v>
      </c>
      <c r="I40" s="81" t="e">
        <f t="shared" si="7"/>
        <v>#REF!</v>
      </c>
      <c r="J40" s="81" t="e">
        <f t="shared" si="7"/>
        <v>#REF!</v>
      </c>
      <c r="K40" s="81" t="e">
        <f t="shared" si="7"/>
        <v>#REF!</v>
      </c>
      <c r="L40" s="81" t="e">
        <f t="shared" si="7"/>
        <v>#REF!</v>
      </c>
      <c r="M40" s="28">
        <f>Master!C53</f>
        <v>0</v>
      </c>
      <c r="N40" s="143"/>
      <c r="P40" s="81"/>
    </row>
    <row r="41" spans="1:16" x14ac:dyDescent="0.35">
      <c r="A41" t="str">
        <f t="shared" si="6"/>
        <v xml:space="preserve">    To Lower Basin</v>
      </c>
      <c r="B41" s="95">
        <f>7.5-IF($A$9="",0,0.95)-IF(C31="",0.6,C31)*IF($A$9="",(7.2/8.7),(7.2-0.95)/8.7)-B43/2</f>
        <v>6.1111877394636007</v>
      </c>
      <c r="C41" s="81" t="e">
        <f>IF(OR(C$28="",$A41=""),"",IF(C39&lt;=SUM(C42:C46),0,IF(C39&lt;=SUM(C42:C46)+2*$B$25,(C39-SUM(C42:C46))/2,IF(C39&lt;=SUM(C42:C46)+2*$B$25+$B$41-$B$25,C39-SUM(C42:C46)-$B$25,$B$41))))</f>
        <v>#REF!</v>
      </c>
      <c r="D41" s="81" t="e">
        <f t="shared" ref="D41:L41" si="8">IF(OR(D$28="",$A41=""),"",IF(D39&lt;=SUM(D42:D46),0,IF(D39&lt;=SUM(D42:D46)+2*$B$25,(D39-SUM(D42:D46))/2,IF(D39&lt;=SUM(D42:D46)+2*$B$25+$B$41-$B$25,D39-SUM(D42:D46)-$B$25,$B$41))))</f>
        <v>#REF!</v>
      </c>
      <c r="E41" s="81" t="e">
        <f t="shared" si="8"/>
        <v>#REF!</v>
      </c>
      <c r="F41" s="81" t="e">
        <f t="shared" si="8"/>
        <v>#REF!</v>
      </c>
      <c r="G41" s="81" t="e">
        <f t="shared" si="8"/>
        <v>#REF!</v>
      </c>
      <c r="H41" s="81" t="e">
        <f t="shared" si="8"/>
        <v>#REF!</v>
      </c>
      <c r="I41" s="81" t="e">
        <f>IF(OR(I$28="",$A41=""),"",IF(I39&lt;=SUM(I42:I46),0,IF(I39&lt;=SUM(I42:I46)+2*$B$25,(I39-SUM(I42:I46))/2,IF(I39&lt;=SUM(I42:I46)+2*$B$25+$B$41-$B$25,I39-SUM(I42:I46)-$B$25,$B$41))))</f>
        <v>#REF!</v>
      </c>
      <c r="J41" s="81" t="e">
        <f t="shared" si="8"/>
        <v>#REF!</v>
      </c>
      <c r="K41" s="81" t="e">
        <f t="shared" si="8"/>
        <v>#REF!</v>
      </c>
      <c r="L41" s="81" t="e">
        <f t="shared" si="8"/>
        <v>#REF!</v>
      </c>
      <c r="M41" s="28">
        <f>Master!C55</f>
        <v>4.3338971767156647</v>
      </c>
      <c r="N41" s="143"/>
      <c r="P41" s="81"/>
    </row>
    <row r="42" spans="1:16" x14ac:dyDescent="0.35">
      <c r="A42" t="str">
        <f t="shared" si="6"/>
        <v xml:space="preserve">    To Mexico</v>
      </c>
      <c r="B42" s="95" t="s">
        <v>237</v>
      </c>
      <c r="C42" s="82" t="e">
        <f>IF(OR(C$28="",$A42=""),"",MIN(C38,C$39-SUM(C43:C46)))</f>
        <v>#REF!</v>
      </c>
      <c r="D42" s="82" t="e">
        <f t="shared" ref="D42:L42" si="9">IF(OR(D$28="",$A42=""),"",MIN(D38,D$39-SUM(D43:D46)))</f>
        <v>#REF!</v>
      </c>
      <c r="E42" s="82" t="e">
        <f t="shared" si="9"/>
        <v>#REF!</v>
      </c>
      <c r="F42" s="82" t="e">
        <f t="shared" si="9"/>
        <v>#REF!</v>
      </c>
      <c r="G42" s="82" t="e">
        <f t="shared" si="9"/>
        <v>#REF!</v>
      </c>
      <c r="H42" s="82" t="e">
        <f t="shared" si="9"/>
        <v>#REF!</v>
      </c>
      <c r="I42" s="81" t="e">
        <f t="shared" si="9"/>
        <v>#REF!</v>
      </c>
      <c r="J42" s="81" t="e">
        <f t="shared" si="9"/>
        <v>#REF!</v>
      </c>
      <c r="K42" s="81" t="e">
        <f t="shared" si="9"/>
        <v>#REF!</v>
      </c>
      <c r="L42" s="81" t="e">
        <f t="shared" si="9"/>
        <v>#REF!</v>
      </c>
      <c r="M42" s="28">
        <f>Master!C56</f>
        <v>1.8987001566176687</v>
      </c>
      <c r="N42" s="143"/>
    </row>
    <row r="43" spans="1:16" x14ac:dyDescent="0.35">
      <c r="A43" t="str">
        <f t="shared" si="6"/>
        <v xml:space="preserve">    To Colorado River Delta</v>
      </c>
      <c r="B43" s="104">
        <f>0.21/9*(2/3)</f>
        <v>1.5555555555555553E-2</v>
      </c>
      <c r="C43" s="105" t="e">
        <f>IF(OR(C$28="",$A43=""),"",MIN($B43,C$39-SUM(C44:C46)))</f>
        <v>#REF!</v>
      </c>
      <c r="D43" s="105" t="e">
        <f t="shared" ref="D43:L43" si="10">IF(OR(D$28="",$A43=""),"",MIN($B43,D$39-SUM(D44:D46)))</f>
        <v>#REF!</v>
      </c>
      <c r="E43" s="105" t="e">
        <f t="shared" si="10"/>
        <v>#REF!</v>
      </c>
      <c r="F43" s="105" t="e">
        <f t="shared" si="10"/>
        <v>#REF!</v>
      </c>
      <c r="G43" s="105" t="e">
        <f t="shared" si="10"/>
        <v>#REF!</v>
      </c>
      <c r="H43" s="105" t="e">
        <f t="shared" si="10"/>
        <v>#REF!</v>
      </c>
      <c r="I43" s="105" t="e">
        <f t="shared" si="10"/>
        <v>#REF!</v>
      </c>
      <c r="J43" s="105" t="e">
        <f t="shared" si="10"/>
        <v>#REF!</v>
      </c>
      <c r="K43" s="105" t="e">
        <f t="shared" si="10"/>
        <v>#REF!</v>
      </c>
      <c r="L43" s="105" t="e">
        <f t="shared" si="10"/>
        <v>#REF!</v>
      </c>
      <c r="M43" s="179">
        <f>Master!C57</f>
        <v>0.30866666666666664</v>
      </c>
      <c r="N43" s="143"/>
    </row>
    <row r="44" spans="1:16" x14ac:dyDescent="0.35">
      <c r="A44" t="str">
        <f t="shared" si="6"/>
        <v xml:space="preserve">    To First Nations</v>
      </c>
      <c r="B44" s="95">
        <f>IF($A$9&lt;&gt;"",2.01-C31*0.95/8.7,"")</f>
        <v>1.9444827586206894</v>
      </c>
      <c r="C44" s="81" t="e">
        <f>IF(OR(C$28="",$A44=""),"",MIN($B44,C$39-SUM(C45:C46)))</f>
        <v>#REF!</v>
      </c>
      <c r="D44" s="81" t="e">
        <f t="shared" ref="D44:F44" si="11">IF(OR(D$28="",$A44=""),"",MIN($B44,D$39-SUM(D45:D46)))</f>
        <v>#REF!</v>
      </c>
      <c r="E44" s="81" t="e">
        <f>IF(OR(E$28="",$A44=""),"",MIN($B44,E$39-SUM(E45:E46)))</f>
        <v>#REF!</v>
      </c>
      <c r="F44" s="81" t="e">
        <f t="shared" si="11"/>
        <v>#REF!</v>
      </c>
      <c r="G44" s="81" t="e">
        <f>IF(OR(G$28="",$A44=""),"",MIN($B44,G$39-SUM(G45:G46)))</f>
        <v>#REF!</v>
      </c>
      <c r="H44" s="81" t="e">
        <f t="shared" ref="H44:L44" si="12">IF(OR(H$28="",$A44=""),"",MIN($B44,H$39-SUM(H45:H46)))</f>
        <v>#REF!</v>
      </c>
      <c r="I44" s="81" t="e">
        <f t="shared" si="12"/>
        <v>#REF!</v>
      </c>
      <c r="J44" s="81" t="e">
        <f t="shared" si="12"/>
        <v>#REF!</v>
      </c>
      <c r="K44" s="81" t="e">
        <f t="shared" si="12"/>
        <v>#REF!</v>
      </c>
      <c r="L44" s="81" t="e">
        <f t="shared" si="12"/>
        <v>#REF!</v>
      </c>
      <c r="M44" s="28">
        <f>Master!C58</f>
        <v>1.5433333333333332</v>
      </c>
      <c r="N44" s="143"/>
    </row>
    <row r="45" spans="1:16" x14ac:dyDescent="0.35">
      <c r="A45" t="str">
        <f t="shared" si="6"/>
        <v xml:space="preserve">    To Shared, Reserve</v>
      </c>
      <c r="B45" s="95" t="s">
        <v>140</v>
      </c>
      <c r="C45" s="180" t="e">
        <f>IF(OR(C$28="",$A45=""),"",IF(C$39&gt;C37,C37,C39))</f>
        <v>#REF!</v>
      </c>
      <c r="D45" s="152" t="e">
        <f t="shared" ref="D45:L45" si="13">IF(OR(D$28="",$A45=""),"",IF(D$39&gt;D37,D37,D39))</f>
        <v>#REF!</v>
      </c>
      <c r="E45" s="152" t="e">
        <f t="shared" si="13"/>
        <v>#REF!</v>
      </c>
      <c r="F45" s="152" t="e">
        <f t="shared" si="13"/>
        <v>#REF!</v>
      </c>
      <c r="G45" s="152" t="e">
        <f t="shared" si="13"/>
        <v>#REF!</v>
      </c>
      <c r="H45" s="152" t="e">
        <f t="shared" si="13"/>
        <v>#REF!</v>
      </c>
      <c r="I45" s="152" t="e">
        <f t="shared" si="13"/>
        <v>#REF!</v>
      </c>
      <c r="J45" s="152" t="e">
        <f t="shared" si="13"/>
        <v>#REF!</v>
      </c>
      <c r="K45" s="152" t="e">
        <f t="shared" si="13"/>
        <v>#REF!</v>
      </c>
      <c r="L45" s="152" t="e">
        <f t="shared" si="13"/>
        <v>#REF!</v>
      </c>
      <c r="M45" s="28">
        <f>Master!C59</f>
        <v>1.1754026666666664</v>
      </c>
      <c r="N45" s="143"/>
    </row>
    <row r="46" spans="1:16" x14ac:dyDescent="0.35">
      <c r="A46" t="str">
        <f>IF(A31="","","    To "&amp;A31)</f>
        <v xml:space="preserve">    To Havasu / Parker evaporation and ET</v>
      </c>
      <c r="B46" s="151" t="s">
        <v>199</v>
      </c>
      <c r="C46" s="181" t="e">
        <f>IF(OR(C$28="",$A46=""),"",MIN(C31,C39-C45))</f>
        <v>#REF!</v>
      </c>
      <c r="D46" s="153" t="e">
        <f>IF(OR(D$28="",$A46=""),"",MIN(D31,D39-D45))</f>
        <v>#REF!</v>
      </c>
      <c r="E46" s="153" t="e">
        <f t="shared" ref="E46:L46" si="14">IF(OR(E$28="",$A46=""),"",MIN(E31,E39-E45))</f>
        <v>#REF!</v>
      </c>
      <c r="F46" s="153" t="e">
        <f t="shared" si="14"/>
        <v>#REF!</v>
      </c>
      <c r="G46" s="153" t="e">
        <f t="shared" si="14"/>
        <v>#REF!</v>
      </c>
      <c r="H46" s="153" t="e">
        <f t="shared" si="14"/>
        <v>#REF!</v>
      </c>
      <c r="I46" s="153" t="e">
        <f t="shared" si="14"/>
        <v>#REF!</v>
      </c>
      <c r="J46" s="153" t="e">
        <f t="shared" si="14"/>
        <v>#REF!</v>
      </c>
      <c r="K46" s="153" t="e">
        <f t="shared" si="14"/>
        <v>#REF!</v>
      </c>
      <c r="L46" s="153" t="e">
        <f t="shared" si="14"/>
        <v>#REF!</v>
      </c>
      <c r="M46" s="28">
        <f>Master!C60</f>
        <v>0.6</v>
      </c>
      <c r="N46" s="143"/>
    </row>
    <row r="47" spans="1:16" x14ac:dyDescent="0.35">
      <c r="B47" s="19"/>
      <c r="C47" s="18"/>
      <c r="D47" s="18"/>
      <c r="E47" s="18"/>
      <c r="F47" s="116"/>
      <c r="G47" s="28"/>
      <c r="N47" s="142"/>
    </row>
    <row r="48" spans="1:16" x14ac:dyDescent="0.35">
      <c r="B48" t="s">
        <v>231</v>
      </c>
      <c r="C48" s="179" t="e">
        <f>SUM(C40:C46)</f>
        <v>#REF!</v>
      </c>
      <c r="D48" s="179" t="e">
        <f>SUM(D40:D46)</f>
        <v>#REF!</v>
      </c>
      <c r="E48" s="179" t="e">
        <f t="shared" ref="E48:L48" si="15">SUM(E40:E46)</f>
        <v>#REF!</v>
      </c>
      <c r="F48" s="179" t="e">
        <f t="shared" si="15"/>
        <v>#REF!</v>
      </c>
      <c r="G48" s="179" t="e">
        <f t="shared" si="15"/>
        <v>#REF!</v>
      </c>
      <c r="H48" s="179" t="e">
        <f t="shared" si="15"/>
        <v>#REF!</v>
      </c>
      <c r="I48" s="179" t="e">
        <f t="shared" si="15"/>
        <v>#REF!</v>
      </c>
      <c r="J48" s="179" t="e">
        <f t="shared" si="15"/>
        <v>#REF!</v>
      </c>
      <c r="K48" s="179" t="e">
        <f t="shared" si="15"/>
        <v>#REF!</v>
      </c>
      <c r="L48" s="179" t="e">
        <f t="shared" si="15"/>
        <v>#REF!</v>
      </c>
    </row>
    <row r="49" spans="1:8" x14ac:dyDescent="0.35">
      <c r="D49" s="14"/>
    </row>
    <row r="50" spans="1:8" x14ac:dyDescent="0.35">
      <c r="B50" s="2"/>
      <c r="H50" s="116" t="e">
        <f>SUM(I42:I46)</f>
        <v>#REF!</v>
      </c>
    </row>
    <row r="53" spans="1:8" x14ac:dyDescent="0.35">
      <c r="A53" t="s">
        <v>232</v>
      </c>
      <c r="B53">
        <v>8.1999999999999993</v>
      </c>
    </row>
    <row r="54" spans="1:8" x14ac:dyDescent="0.35">
      <c r="A54" t="s">
        <v>233</v>
      </c>
      <c r="B54">
        <v>1.2</v>
      </c>
    </row>
    <row r="55" spans="1:8" x14ac:dyDescent="0.35">
      <c r="A55" t="s">
        <v>234</v>
      </c>
      <c r="B55">
        <v>0.95</v>
      </c>
    </row>
    <row r="56" spans="1:8" x14ac:dyDescent="0.35">
      <c r="A56" t="s">
        <v>235</v>
      </c>
      <c r="B56">
        <f>1.5/2</f>
        <v>0.75</v>
      </c>
    </row>
    <row r="57" spans="1:8" x14ac:dyDescent="0.35">
      <c r="A57" t="s">
        <v>236</v>
      </c>
      <c r="B57">
        <f>B53-SUM(B54:B56)</f>
        <v>5.2999999999999989</v>
      </c>
    </row>
    <row r="58" spans="1:8" x14ac:dyDescent="0.35">
      <c r="B58" s="182"/>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98</v>
      </c>
    </row>
    <row r="3" spans="1:16" s="1" customFormat="1" x14ac:dyDescent="0.35">
      <c r="D3" s="341" t="s">
        <v>99</v>
      </c>
      <c r="E3" s="341"/>
      <c r="F3" s="341" t="s">
        <v>100</v>
      </c>
      <c r="G3" s="341"/>
      <c r="H3" s="341"/>
      <c r="I3" s="341" t="s">
        <v>101</v>
      </c>
      <c r="J3" s="341"/>
      <c r="K3" s="341"/>
      <c r="L3" s="134"/>
      <c r="M3" s="341" t="s">
        <v>18</v>
      </c>
      <c r="N3" s="341"/>
      <c r="O3" s="341"/>
    </row>
    <row r="4" spans="1:16" s="47" customFormat="1" ht="42.65" customHeight="1" x14ac:dyDescent="0.35">
      <c r="A4" s="46" t="s">
        <v>72</v>
      </c>
      <c r="B4" s="46" t="s">
        <v>73</v>
      </c>
      <c r="C4" s="46" t="s">
        <v>110</v>
      </c>
      <c r="D4" s="46" t="s">
        <v>102</v>
      </c>
      <c r="E4" s="46" t="s">
        <v>103</v>
      </c>
      <c r="F4" s="46" t="s">
        <v>102</v>
      </c>
      <c r="G4" s="46" t="s">
        <v>103</v>
      </c>
      <c r="H4" s="46" t="s">
        <v>104</v>
      </c>
      <c r="I4" s="46" t="s">
        <v>102</v>
      </c>
      <c r="J4" s="46" t="s">
        <v>103</v>
      </c>
      <c r="K4" s="46" t="s">
        <v>104</v>
      </c>
      <c r="L4" s="46" t="s">
        <v>108</v>
      </c>
      <c r="M4" s="46" t="s">
        <v>106</v>
      </c>
      <c r="N4" s="46" t="s">
        <v>107</v>
      </c>
      <c r="O4" s="46" t="s">
        <v>105</v>
      </c>
      <c r="P4" s="46" t="s">
        <v>74</v>
      </c>
    </row>
    <row r="5" spans="1:16" x14ac:dyDescent="0.35">
      <c r="A5" s="24">
        <v>1025</v>
      </c>
      <c r="B5" s="25">
        <v>5.981122</v>
      </c>
      <c r="C5" s="26">
        <v>0</v>
      </c>
      <c r="D5" s="22">
        <v>480</v>
      </c>
      <c r="E5" s="22">
        <v>20</v>
      </c>
      <c r="F5" s="22">
        <v>240</v>
      </c>
      <c r="G5" s="22">
        <v>10</v>
      </c>
      <c r="H5" s="22">
        <v>350</v>
      </c>
      <c r="I5" s="132">
        <f t="shared" ref="I5:I13" si="0">SUM(D5,F5)</f>
        <v>720</v>
      </c>
      <c r="J5" s="22">
        <f t="shared" ref="J5:J13" si="1">SUM(E5,G5)</f>
        <v>30</v>
      </c>
      <c r="K5" s="22">
        <f t="shared" ref="K5:K13" si="2">H5</f>
        <v>350</v>
      </c>
      <c r="L5" s="29">
        <f t="shared" ref="L5:L13" si="3">SUM(I5:K5)/1000</f>
        <v>1.1000000000000001</v>
      </c>
      <c r="M5" s="22">
        <v>125</v>
      </c>
      <c r="N5" s="22">
        <v>150</v>
      </c>
      <c r="O5" s="22">
        <f t="shared" ref="O5:O13" si="4">SUM(M5:N5)/1000</f>
        <v>0.27500000000000002</v>
      </c>
      <c r="P5" s="133">
        <f t="shared" ref="P5:P13" si="5">SUM(L5,O5)</f>
        <v>1.375</v>
      </c>
    </row>
    <row r="6" spans="1:16" x14ac:dyDescent="0.35">
      <c r="A6" s="24">
        <v>1030</v>
      </c>
      <c r="B6" s="25">
        <v>6.305377</v>
      </c>
      <c r="C6" s="26">
        <f t="shared" ref="C6:C12" si="6">B5</f>
        <v>5.981122</v>
      </c>
      <c r="D6" s="22">
        <v>400</v>
      </c>
      <c r="E6" s="22">
        <v>17</v>
      </c>
      <c r="F6" s="22">
        <v>240</v>
      </c>
      <c r="G6" s="22">
        <v>10</v>
      </c>
      <c r="H6" s="22">
        <v>350</v>
      </c>
      <c r="I6" s="132">
        <f t="shared" si="0"/>
        <v>640</v>
      </c>
      <c r="J6" s="22">
        <f t="shared" si="1"/>
        <v>27</v>
      </c>
      <c r="K6" s="22">
        <f t="shared" si="2"/>
        <v>350</v>
      </c>
      <c r="L6" s="29">
        <f t="shared" si="3"/>
        <v>1.0169999999999999</v>
      </c>
      <c r="M6" s="22">
        <v>70</v>
      </c>
      <c r="N6" s="22">
        <v>101</v>
      </c>
      <c r="O6" s="22">
        <f t="shared" si="4"/>
        <v>0.17100000000000001</v>
      </c>
      <c r="P6" s="133">
        <f t="shared" si="5"/>
        <v>1.1879999999999999</v>
      </c>
    </row>
    <row r="7" spans="1:16" x14ac:dyDescent="0.35">
      <c r="A7" s="24">
        <v>1035</v>
      </c>
      <c r="B7" s="25">
        <v>6.6375080000000004</v>
      </c>
      <c r="C7" s="26">
        <f t="shared" si="6"/>
        <v>6.305377</v>
      </c>
      <c r="D7" s="22">
        <v>400</v>
      </c>
      <c r="E7" s="22">
        <v>17</v>
      </c>
      <c r="F7" s="22">
        <v>240</v>
      </c>
      <c r="G7" s="22">
        <v>10</v>
      </c>
      <c r="H7" s="22">
        <v>300</v>
      </c>
      <c r="I7" s="132">
        <f t="shared" si="0"/>
        <v>640</v>
      </c>
      <c r="J7" s="22">
        <f t="shared" si="1"/>
        <v>27</v>
      </c>
      <c r="K7" s="22">
        <f t="shared" si="2"/>
        <v>300</v>
      </c>
      <c r="L7" s="29">
        <f t="shared" si="3"/>
        <v>0.96699999999999997</v>
      </c>
      <c r="M7" s="22">
        <v>70</v>
      </c>
      <c r="N7" s="22">
        <v>92</v>
      </c>
      <c r="O7" s="22">
        <f t="shared" si="4"/>
        <v>0.16200000000000001</v>
      </c>
      <c r="P7" s="133">
        <f t="shared" si="5"/>
        <v>1.129</v>
      </c>
    </row>
    <row r="8" spans="1:16" x14ac:dyDescent="0.35">
      <c r="A8" s="24">
        <v>1040</v>
      </c>
      <c r="B8" s="25">
        <v>6.977665</v>
      </c>
      <c r="C8" s="26">
        <f t="shared" si="6"/>
        <v>6.6375080000000004</v>
      </c>
      <c r="D8" s="22">
        <v>400</v>
      </c>
      <c r="E8" s="22">
        <v>17</v>
      </c>
      <c r="F8" s="22">
        <v>240</v>
      </c>
      <c r="G8" s="22">
        <v>10</v>
      </c>
      <c r="H8" s="22">
        <v>250</v>
      </c>
      <c r="I8" s="132">
        <f t="shared" si="0"/>
        <v>640</v>
      </c>
      <c r="J8" s="22">
        <f t="shared" si="1"/>
        <v>27</v>
      </c>
      <c r="K8" s="22">
        <f t="shared" si="2"/>
        <v>250</v>
      </c>
      <c r="L8" s="29">
        <f t="shared" si="3"/>
        <v>0.91700000000000004</v>
      </c>
      <c r="M8" s="22">
        <v>70</v>
      </c>
      <c r="N8" s="22">
        <v>84</v>
      </c>
      <c r="O8" s="22">
        <f t="shared" si="4"/>
        <v>0.154</v>
      </c>
      <c r="P8" s="133">
        <f t="shared" si="5"/>
        <v>1.071</v>
      </c>
    </row>
    <row r="9" spans="1:16" x14ac:dyDescent="0.35">
      <c r="A9" s="24">
        <v>1045</v>
      </c>
      <c r="B9" s="25">
        <v>7.3260519999999998</v>
      </c>
      <c r="C9" s="26">
        <f t="shared" si="6"/>
        <v>6.977665</v>
      </c>
      <c r="D9" s="22">
        <v>400</v>
      </c>
      <c r="E9" s="22">
        <v>17</v>
      </c>
      <c r="F9" s="22">
        <v>240</v>
      </c>
      <c r="G9" s="22">
        <v>10</v>
      </c>
      <c r="H9" s="22">
        <v>200</v>
      </c>
      <c r="I9" s="132">
        <f t="shared" si="0"/>
        <v>640</v>
      </c>
      <c r="J9" s="22">
        <f t="shared" si="1"/>
        <v>27</v>
      </c>
      <c r="K9" s="22">
        <f t="shared" si="2"/>
        <v>200</v>
      </c>
      <c r="L9" s="29">
        <f t="shared" si="3"/>
        <v>0.86699999999999999</v>
      </c>
      <c r="M9" s="22">
        <v>70</v>
      </c>
      <c r="N9" s="22">
        <v>76</v>
      </c>
      <c r="O9" s="22">
        <f t="shared" si="4"/>
        <v>0.14599999999999999</v>
      </c>
      <c r="P9" s="133">
        <f t="shared" si="5"/>
        <v>1.0129999999999999</v>
      </c>
    </row>
    <row r="10" spans="1:16" x14ac:dyDescent="0.35">
      <c r="A10" s="24">
        <v>1050</v>
      </c>
      <c r="B10" s="25">
        <v>7.6828779999999997</v>
      </c>
      <c r="C10" s="26">
        <f t="shared" si="6"/>
        <v>7.3260519999999998</v>
      </c>
      <c r="D10" s="22">
        <v>400</v>
      </c>
      <c r="E10" s="22">
        <v>17</v>
      </c>
      <c r="F10" s="22">
        <v>192</v>
      </c>
      <c r="G10" s="22">
        <v>8</v>
      </c>
      <c r="H10" s="22">
        <v>0</v>
      </c>
      <c r="I10" s="132">
        <f t="shared" si="0"/>
        <v>592</v>
      </c>
      <c r="J10" s="22">
        <f t="shared" si="1"/>
        <v>25</v>
      </c>
      <c r="K10" s="22">
        <f t="shared" si="2"/>
        <v>0</v>
      </c>
      <c r="L10" s="29">
        <f t="shared" si="3"/>
        <v>0.61699999999999999</v>
      </c>
      <c r="M10" s="22">
        <v>70</v>
      </c>
      <c r="N10" s="22">
        <v>34</v>
      </c>
      <c r="O10" s="22">
        <f t="shared" si="4"/>
        <v>0.104</v>
      </c>
      <c r="P10" s="133">
        <f t="shared" si="5"/>
        <v>0.72099999999999997</v>
      </c>
    </row>
    <row r="11" spans="1:16" x14ac:dyDescent="0.35">
      <c r="A11" s="24">
        <v>1075</v>
      </c>
      <c r="B11" s="25">
        <v>9.6009879999900001</v>
      </c>
      <c r="C11" s="26">
        <f t="shared" si="6"/>
        <v>7.6828779999999997</v>
      </c>
      <c r="D11" s="22">
        <v>320</v>
      </c>
      <c r="E11" s="22">
        <v>13</v>
      </c>
      <c r="F11" s="22">
        <v>192</v>
      </c>
      <c r="G11" s="22">
        <v>8</v>
      </c>
      <c r="H11" s="22">
        <v>0</v>
      </c>
      <c r="I11" s="132">
        <f t="shared" si="0"/>
        <v>512</v>
      </c>
      <c r="J11" s="22">
        <f t="shared" si="1"/>
        <v>21</v>
      </c>
      <c r="K11" s="22">
        <f t="shared" si="2"/>
        <v>0</v>
      </c>
      <c r="L11" s="29">
        <f t="shared" si="3"/>
        <v>0.53300000000000003</v>
      </c>
      <c r="M11" s="22">
        <v>50</v>
      </c>
      <c r="N11" s="22">
        <v>30</v>
      </c>
      <c r="O11" s="133">
        <f t="shared" si="4"/>
        <v>0.08</v>
      </c>
      <c r="P11" s="133">
        <f t="shared" si="5"/>
        <v>0.61299999999999999</v>
      </c>
    </row>
    <row r="12" spans="1:16" x14ac:dyDescent="0.35">
      <c r="A12" s="24">
        <v>1090</v>
      </c>
      <c r="B12" s="25">
        <v>10.857008</v>
      </c>
      <c r="C12" s="26">
        <f t="shared" si="6"/>
        <v>9.6009879999900001</v>
      </c>
      <c r="D12" s="22">
        <v>0</v>
      </c>
      <c r="E12" s="22">
        <v>0</v>
      </c>
      <c r="F12" s="22">
        <v>192</v>
      </c>
      <c r="G12" s="22">
        <v>8</v>
      </c>
      <c r="H12" s="22">
        <v>0</v>
      </c>
      <c r="I12" s="132">
        <f t="shared" si="0"/>
        <v>192</v>
      </c>
      <c r="J12" s="22">
        <f t="shared" si="1"/>
        <v>8</v>
      </c>
      <c r="K12" s="22">
        <f t="shared" si="2"/>
        <v>0</v>
      </c>
      <c r="L12" s="29">
        <f t="shared" si="3"/>
        <v>0.2</v>
      </c>
      <c r="M12" s="22">
        <v>0</v>
      </c>
      <c r="N12" s="22">
        <v>41</v>
      </c>
      <c r="O12" s="22">
        <f t="shared" si="4"/>
        <v>4.1000000000000002E-2</v>
      </c>
      <c r="P12" s="133">
        <f t="shared" si="5"/>
        <v>0.24100000000000002</v>
      </c>
    </row>
    <row r="13" spans="1:16" x14ac:dyDescent="0.35">
      <c r="A13" s="24">
        <v>1090.0999999999999</v>
      </c>
      <c r="B13" s="25">
        <v>10.9</v>
      </c>
      <c r="C13" s="26">
        <f>B12</f>
        <v>10.857008</v>
      </c>
      <c r="D13" s="25">
        <v>0</v>
      </c>
      <c r="E13" s="25">
        <v>0</v>
      </c>
      <c r="F13" s="25">
        <v>0</v>
      </c>
      <c r="G13" s="25">
        <v>0</v>
      </c>
      <c r="H13" s="25">
        <v>0</v>
      </c>
      <c r="I13" s="25">
        <f t="shared" si="0"/>
        <v>0</v>
      </c>
      <c r="J13" s="25">
        <f t="shared" si="1"/>
        <v>0</v>
      </c>
      <c r="K13" s="25">
        <f t="shared" si="2"/>
        <v>0</v>
      </c>
      <c r="L13" s="26">
        <f t="shared" si="3"/>
        <v>0</v>
      </c>
      <c r="M13" s="22">
        <v>0</v>
      </c>
      <c r="N13" s="29">
        <v>0</v>
      </c>
      <c r="O13" s="22">
        <f t="shared" si="4"/>
        <v>0</v>
      </c>
      <c r="P13" s="31">
        <f t="shared" si="5"/>
        <v>0</v>
      </c>
    </row>
    <row r="14" spans="1:16" x14ac:dyDescent="0.35">
      <c r="B14" s="52"/>
    </row>
    <row r="15" spans="1:16" x14ac:dyDescent="0.35">
      <c r="B15" s="51"/>
      <c r="C15" s="49"/>
    </row>
    <row r="16" spans="1:16" x14ac:dyDescent="0.35">
      <c r="A16" t="s">
        <v>109</v>
      </c>
    </row>
    <row r="17" spans="1:16" x14ac:dyDescent="0.35">
      <c r="A17" s="48">
        <v>1091</v>
      </c>
    </row>
    <row r="18" spans="1:16" x14ac:dyDescent="0.35">
      <c r="A18" s="24">
        <v>1090</v>
      </c>
      <c r="D18" s="2">
        <v>0</v>
      </c>
      <c r="E18" s="2">
        <v>0</v>
      </c>
      <c r="F18" s="2">
        <v>192</v>
      </c>
      <c r="G18" s="2">
        <v>8</v>
      </c>
      <c r="H18" s="2">
        <v>0</v>
      </c>
      <c r="I18" s="9">
        <f>SUM(D18,F18)</f>
        <v>192</v>
      </c>
      <c r="J18" s="2">
        <f>SUM(E18,G18)</f>
        <v>8</v>
      </c>
      <c r="K18" s="2">
        <f>H18</f>
        <v>0</v>
      </c>
      <c r="L18" s="19">
        <f>SUM(I18:K18)/1000</f>
        <v>0.2</v>
      </c>
      <c r="M18" s="2">
        <v>0</v>
      </c>
      <c r="N18" s="2">
        <v>41</v>
      </c>
      <c r="O18" s="2">
        <f>SUM(M18:N18)/1000</f>
        <v>4.1000000000000002E-2</v>
      </c>
      <c r="P18" s="49">
        <f>SUM(L18,O18)</f>
        <v>0.24100000000000002</v>
      </c>
    </row>
    <row r="19" spans="1:16" x14ac:dyDescent="0.35">
      <c r="A19" s="24">
        <v>1075</v>
      </c>
      <c r="D19" s="2">
        <v>320</v>
      </c>
      <c r="E19" s="2">
        <v>13</v>
      </c>
      <c r="F19" s="2">
        <v>192</v>
      </c>
      <c r="G19" s="2">
        <v>8</v>
      </c>
      <c r="H19" s="2">
        <v>0</v>
      </c>
      <c r="I19" s="9">
        <f t="shared" ref="I19:I25" si="7">SUM(D19,F19)</f>
        <v>512</v>
      </c>
      <c r="J19" s="2">
        <f t="shared" ref="J19:J25" si="8">SUM(E19,G19)</f>
        <v>21</v>
      </c>
      <c r="K19" s="2">
        <f t="shared" ref="K19:K25" si="9">H19</f>
        <v>0</v>
      </c>
      <c r="L19" s="19">
        <f t="shared" ref="L19:L25" si="10">SUM(I19:K19)/1000</f>
        <v>0.53300000000000003</v>
      </c>
      <c r="M19" s="2">
        <v>50</v>
      </c>
      <c r="N19" s="2">
        <v>30</v>
      </c>
      <c r="O19" s="2">
        <f t="shared" ref="O19:O25" si="11">SUM(M19:N19)/1000</f>
        <v>0.08</v>
      </c>
      <c r="P19" s="49">
        <f t="shared" ref="P19:P25" si="12">SUM(L19,O19)</f>
        <v>0.61299999999999999</v>
      </c>
    </row>
    <row r="20" spans="1:16" x14ac:dyDescent="0.35">
      <c r="A20" s="24">
        <v>1050</v>
      </c>
      <c r="D20" s="2">
        <v>400</v>
      </c>
      <c r="E20" s="2">
        <v>17</v>
      </c>
      <c r="F20" s="2">
        <v>192</v>
      </c>
      <c r="G20" s="2">
        <v>8</v>
      </c>
      <c r="H20" s="2">
        <v>0</v>
      </c>
      <c r="I20" s="9">
        <f t="shared" si="7"/>
        <v>592</v>
      </c>
      <c r="J20" s="2">
        <f t="shared" si="8"/>
        <v>25</v>
      </c>
      <c r="K20" s="2">
        <f t="shared" si="9"/>
        <v>0</v>
      </c>
      <c r="L20" s="19">
        <f t="shared" si="10"/>
        <v>0.61699999999999999</v>
      </c>
      <c r="M20" s="2">
        <v>70</v>
      </c>
      <c r="N20" s="2">
        <v>34</v>
      </c>
      <c r="O20" s="2">
        <f t="shared" si="11"/>
        <v>0.104</v>
      </c>
      <c r="P20" s="49">
        <f t="shared" si="12"/>
        <v>0.72099999999999997</v>
      </c>
    </row>
    <row r="21" spans="1:16" x14ac:dyDescent="0.35">
      <c r="A21" s="24">
        <v>1045</v>
      </c>
      <c r="D21" s="2">
        <v>400</v>
      </c>
      <c r="E21" s="2">
        <v>17</v>
      </c>
      <c r="F21" s="2">
        <v>240</v>
      </c>
      <c r="G21" s="2">
        <v>10</v>
      </c>
      <c r="H21" s="2">
        <v>200</v>
      </c>
      <c r="I21" s="9">
        <f t="shared" si="7"/>
        <v>640</v>
      </c>
      <c r="J21" s="2">
        <f t="shared" si="8"/>
        <v>27</v>
      </c>
      <c r="K21" s="2">
        <f t="shared" si="9"/>
        <v>200</v>
      </c>
      <c r="L21" s="19">
        <f t="shared" si="10"/>
        <v>0.86699999999999999</v>
      </c>
      <c r="M21" s="2">
        <v>70</v>
      </c>
      <c r="N21" s="2">
        <v>76</v>
      </c>
      <c r="O21" s="2">
        <f t="shared" si="11"/>
        <v>0.14599999999999999</v>
      </c>
      <c r="P21" s="49">
        <f t="shared" si="12"/>
        <v>1.0129999999999999</v>
      </c>
    </row>
    <row r="22" spans="1:16" x14ac:dyDescent="0.35">
      <c r="A22" s="24">
        <v>1040</v>
      </c>
      <c r="D22" s="2">
        <v>400</v>
      </c>
      <c r="E22" s="2">
        <v>17</v>
      </c>
      <c r="F22" s="2">
        <v>240</v>
      </c>
      <c r="G22" s="2">
        <v>10</v>
      </c>
      <c r="H22" s="2">
        <v>250</v>
      </c>
      <c r="I22" s="9">
        <f t="shared" si="7"/>
        <v>640</v>
      </c>
      <c r="J22" s="2">
        <f t="shared" si="8"/>
        <v>27</v>
      </c>
      <c r="K22" s="2">
        <f t="shared" si="9"/>
        <v>250</v>
      </c>
      <c r="L22" s="19">
        <f t="shared" si="10"/>
        <v>0.91700000000000004</v>
      </c>
      <c r="M22" s="2">
        <v>70</v>
      </c>
      <c r="N22" s="2">
        <v>84</v>
      </c>
      <c r="O22" s="2">
        <f t="shared" si="11"/>
        <v>0.154</v>
      </c>
      <c r="P22" s="49">
        <f t="shared" si="12"/>
        <v>1.071</v>
      </c>
    </row>
    <row r="23" spans="1:16" x14ac:dyDescent="0.35">
      <c r="A23" s="24">
        <v>1035</v>
      </c>
      <c r="D23" s="2">
        <v>400</v>
      </c>
      <c r="E23" s="2">
        <v>17</v>
      </c>
      <c r="F23" s="2">
        <v>240</v>
      </c>
      <c r="G23" s="2">
        <v>10</v>
      </c>
      <c r="H23" s="2">
        <v>300</v>
      </c>
      <c r="I23" s="9">
        <f t="shared" si="7"/>
        <v>640</v>
      </c>
      <c r="J23" s="2">
        <f t="shared" si="8"/>
        <v>27</v>
      </c>
      <c r="K23" s="2">
        <f t="shared" si="9"/>
        <v>300</v>
      </c>
      <c r="L23" s="19">
        <f t="shared" si="10"/>
        <v>0.96699999999999997</v>
      </c>
      <c r="M23" s="2">
        <v>70</v>
      </c>
      <c r="N23" s="2">
        <v>92</v>
      </c>
      <c r="O23" s="2">
        <f t="shared" si="11"/>
        <v>0.16200000000000001</v>
      </c>
      <c r="P23" s="49">
        <f t="shared" si="12"/>
        <v>1.129</v>
      </c>
    </row>
    <row r="24" spans="1:16" x14ac:dyDescent="0.35">
      <c r="A24" s="24">
        <v>1030</v>
      </c>
      <c r="D24" s="2">
        <v>400</v>
      </c>
      <c r="E24" s="2">
        <v>17</v>
      </c>
      <c r="F24" s="2">
        <v>240</v>
      </c>
      <c r="G24" s="2">
        <v>10</v>
      </c>
      <c r="H24" s="2">
        <v>350</v>
      </c>
      <c r="I24" s="9">
        <f t="shared" si="7"/>
        <v>640</v>
      </c>
      <c r="J24" s="2">
        <f t="shared" si="8"/>
        <v>27</v>
      </c>
      <c r="K24" s="2">
        <f t="shared" si="9"/>
        <v>350</v>
      </c>
      <c r="L24" s="19">
        <f t="shared" si="10"/>
        <v>1.0169999999999999</v>
      </c>
      <c r="M24" s="2">
        <v>70</v>
      </c>
      <c r="N24" s="2">
        <v>101</v>
      </c>
      <c r="O24" s="2">
        <f t="shared" si="11"/>
        <v>0.17100000000000001</v>
      </c>
      <c r="P24" s="49">
        <f t="shared" si="12"/>
        <v>1.1879999999999999</v>
      </c>
    </row>
    <row r="25" spans="1:16" x14ac:dyDescent="0.35">
      <c r="A25" s="24">
        <v>1025</v>
      </c>
      <c r="D25" s="2">
        <v>480</v>
      </c>
      <c r="E25" s="2">
        <v>20</v>
      </c>
      <c r="F25" s="2">
        <v>240</v>
      </c>
      <c r="G25" s="2">
        <v>10</v>
      </c>
      <c r="H25" s="2">
        <v>350</v>
      </c>
      <c r="I25" s="9">
        <f t="shared" si="7"/>
        <v>720</v>
      </c>
      <c r="J25" s="2">
        <f t="shared" si="8"/>
        <v>30</v>
      </c>
      <c r="K25" s="2">
        <f t="shared" si="9"/>
        <v>350</v>
      </c>
      <c r="L25" s="19">
        <f t="shared" si="10"/>
        <v>1.1000000000000001</v>
      </c>
      <c r="M25" s="2">
        <v>125</v>
      </c>
      <c r="N25" s="2">
        <v>150</v>
      </c>
      <c r="O25" s="2">
        <f t="shared" si="11"/>
        <v>0.27500000000000002</v>
      </c>
      <c r="P25" s="49">
        <f t="shared" si="12"/>
        <v>1.375</v>
      </c>
    </row>
    <row r="26" spans="1:16" x14ac:dyDescent="0.35">
      <c r="A26" s="23">
        <v>955</v>
      </c>
    </row>
    <row r="29" spans="1:16" x14ac:dyDescent="0.35">
      <c r="A29" s="24"/>
      <c r="I29" s="9"/>
      <c r="L29" s="19"/>
      <c r="O29" s="2"/>
      <c r="P29" s="49"/>
    </row>
    <row r="30" spans="1:16" x14ac:dyDescent="0.35">
      <c r="A30" s="24"/>
      <c r="I30" s="9"/>
      <c r="L30" s="19"/>
      <c r="O30" s="2"/>
      <c r="P30" s="49"/>
    </row>
    <row r="31" spans="1:16" x14ac:dyDescent="0.35">
      <c r="A31" s="24"/>
      <c r="I31" s="9"/>
      <c r="L31" s="19"/>
      <c r="O31" s="2"/>
      <c r="P31" s="49"/>
    </row>
    <row r="32" spans="1:16" x14ac:dyDescent="0.35">
      <c r="A32" s="24"/>
      <c r="I32" s="9"/>
      <c r="L32" s="19"/>
      <c r="O32" s="2"/>
      <c r="P32" s="49"/>
    </row>
    <row r="33" spans="1:16" x14ac:dyDescent="0.35">
      <c r="A33" s="24"/>
      <c r="I33" s="9"/>
      <c r="L33" s="19"/>
      <c r="O33" s="2"/>
      <c r="P33" s="49"/>
    </row>
    <row r="34" spans="1:16" x14ac:dyDescent="0.35">
      <c r="A34" s="24"/>
      <c r="I34" s="9"/>
      <c r="L34" s="19"/>
      <c r="O34" s="2"/>
      <c r="P34" s="49"/>
    </row>
    <row r="35" spans="1:16" x14ac:dyDescent="0.35">
      <c r="A35" s="24"/>
      <c r="I35" s="9"/>
      <c r="L35" s="19"/>
      <c r="O35" s="2"/>
      <c r="P35" s="49"/>
    </row>
    <row r="36" spans="1:16" x14ac:dyDescent="0.35">
      <c r="A36" s="24"/>
      <c r="I36" s="9"/>
      <c r="L36" s="19"/>
      <c r="O36" s="2"/>
      <c r="P36" s="49"/>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24</v>
      </c>
    </row>
    <row r="3" spans="1:24" x14ac:dyDescent="0.35">
      <c r="A3" t="s">
        <v>46</v>
      </c>
    </row>
    <row r="5" spans="1:24" s="1" customFormat="1" x14ac:dyDescent="0.35">
      <c r="A5" s="1" t="s">
        <v>26</v>
      </c>
      <c r="B5" s="1" t="s">
        <v>25</v>
      </c>
      <c r="C5" s="11" t="s">
        <v>0</v>
      </c>
      <c r="D5" s="11" t="s">
        <v>1</v>
      </c>
      <c r="E5" s="11" t="s">
        <v>2</v>
      </c>
      <c r="F5" s="11" t="s">
        <v>3</v>
      </c>
      <c r="G5" s="11" t="s">
        <v>4</v>
      </c>
      <c r="H5" s="11" t="s">
        <v>5</v>
      </c>
      <c r="I5" s="11" t="s">
        <v>6</v>
      </c>
      <c r="J5" s="11" t="s">
        <v>7</v>
      </c>
      <c r="K5" s="11" t="s">
        <v>14</v>
      </c>
      <c r="L5" s="11" t="s">
        <v>15</v>
      </c>
      <c r="M5" s="11" t="s">
        <v>29</v>
      </c>
      <c r="N5" s="11" t="s">
        <v>30</v>
      </c>
      <c r="O5" s="11" t="s">
        <v>31</v>
      </c>
      <c r="P5" s="11" t="s">
        <v>32</v>
      </c>
      <c r="Q5" s="11" t="s">
        <v>33</v>
      </c>
      <c r="R5" s="11" t="s">
        <v>34</v>
      </c>
      <c r="S5" s="11" t="s">
        <v>35</v>
      </c>
      <c r="T5" s="11" t="s">
        <v>36</v>
      </c>
      <c r="U5" s="11" t="s">
        <v>37</v>
      </c>
      <c r="V5" s="1" t="s">
        <v>53</v>
      </c>
      <c r="W5" s="1" t="s">
        <v>54</v>
      </c>
      <c r="X5" s="1" t="s">
        <v>27</v>
      </c>
    </row>
    <row r="6" spans="1:24" x14ac:dyDescent="0.35">
      <c r="A6" t="s">
        <v>56</v>
      </c>
      <c r="B6" t="s">
        <v>57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8">
        <f>AVERAGE(C6:L6)</f>
        <v>12.400000000000002</v>
      </c>
      <c r="W6" s="18">
        <f>AVERAGE(C6:U6)</f>
        <v>12.400000000000004</v>
      </c>
      <c r="X6" t="s">
        <v>41</v>
      </c>
    </row>
    <row r="7" spans="1:24" x14ac:dyDescent="0.35">
      <c r="A7" t="s">
        <v>58</v>
      </c>
      <c r="B7" t="s">
        <v>28</v>
      </c>
      <c r="C7" s="18">
        <v>10.541308000000001</v>
      </c>
      <c r="D7" s="18">
        <v>11.023149</v>
      </c>
      <c r="E7" s="18">
        <v>5.870736</v>
      </c>
      <c r="F7" s="18">
        <v>10.455249</v>
      </c>
      <c r="G7" s="18">
        <v>9.4432220000000004</v>
      </c>
      <c r="H7" s="18">
        <v>17.117932</v>
      </c>
      <c r="I7" s="18">
        <v>12.627808</v>
      </c>
      <c r="J7" s="18">
        <v>12.567529</v>
      </c>
      <c r="K7" s="18">
        <v>16.3156</v>
      </c>
      <c r="L7" s="18">
        <v>14.306982</v>
      </c>
      <c r="M7" s="18">
        <v>12.326231999999999</v>
      </c>
      <c r="N7" s="18">
        <v>20.207163000000001</v>
      </c>
      <c r="O7" s="18">
        <v>8.4420540000000006</v>
      </c>
      <c r="P7" s="18">
        <v>8.9732859999999999</v>
      </c>
      <c r="Q7" s="18">
        <v>14.100669999999999</v>
      </c>
      <c r="R7" s="18">
        <v>13.433123999999999</v>
      </c>
      <c r="S7" s="18">
        <v>13.477814</v>
      </c>
      <c r="T7" s="18">
        <v>16.476396999999999</v>
      </c>
      <c r="U7" s="18">
        <v>8.6142029999999998</v>
      </c>
      <c r="V7" s="18">
        <f t="shared" ref="V7:V13" si="1">AVERAGE(C7:L7)</f>
        <v>12.026951499999999</v>
      </c>
      <c r="W7" s="18">
        <f t="shared" ref="W7:W13" si="2">AVERAGE(C7:U7)</f>
        <v>12.437918842105264</v>
      </c>
      <c r="X7" t="s">
        <v>41</v>
      </c>
    </row>
    <row r="8" spans="1:24" x14ac:dyDescent="0.35">
      <c r="A8" t="s">
        <v>59</v>
      </c>
      <c r="B8" t="s">
        <v>43</v>
      </c>
      <c r="C8" s="18">
        <f>INDEX($C$7:$U$7, _xlfn.RANK.EQ(C19, $C19:$U19) + COUNTIF($C19:C19, C19) - 1)</f>
        <v>12.627808</v>
      </c>
      <c r="D8" s="18">
        <f>INDEX($C$7:$U$7, _xlfn.RANK.EQ(D19, $C19:$U19) + COUNTIF($C19:D19, D19) - 1)</f>
        <v>12.326231999999999</v>
      </c>
      <c r="E8" s="18">
        <f>INDEX($C$7:$U$7, _xlfn.RANK.EQ(E19, $C19:$U19) + COUNTIF($C19:E19, E19) - 1)</f>
        <v>10.455249</v>
      </c>
      <c r="F8" s="18">
        <f>INDEX($C$7:$U$7, _xlfn.RANK.EQ(F19, $C19:$U19) + COUNTIF($C19:F19, F19) - 1)</f>
        <v>5.870736</v>
      </c>
      <c r="G8" s="18">
        <f>INDEX($C$7:$U$7, _xlfn.RANK.EQ(G19, $C19:$U19) + COUNTIF($C19:G19, G19) - 1)</f>
        <v>14.100669999999999</v>
      </c>
      <c r="H8" s="18">
        <f>INDEX($C$7:$U$7, _xlfn.RANK.EQ(H19, $C19:$U19) + COUNTIF($C19:H19, H19) - 1)</f>
        <v>10.541308000000001</v>
      </c>
      <c r="I8" s="18">
        <f>INDEX($C$7:$U$7, _xlfn.RANK.EQ(I19, $C19:$U19) + COUNTIF($C19:I19, I19) - 1)</f>
        <v>17.117932</v>
      </c>
      <c r="J8" s="18">
        <f>INDEX($C$7:$U$7, _xlfn.RANK.EQ(J19, $C19:$U19) + COUNTIF($C19:J19, J19) - 1)</f>
        <v>9.4432220000000004</v>
      </c>
      <c r="K8" s="18">
        <f>INDEX($C$7:$U$7, _xlfn.RANK.EQ(K19, $C19:$U19) + COUNTIF($C19:K19, K19) - 1)</f>
        <v>20.207163000000001</v>
      </c>
      <c r="L8" s="18">
        <f>INDEX($C$7:$U$7, _xlfn.RANK.EQ(L19, $C19:$U19) + COUNTIF($C19:L19, L19) - 1)</f>
        <v>12.567529</v>
      </c>
      <c r="M8" s="18">
        <f>INDEX($C$7:$U$7, _xlfn.RANK.EQ(M19, $C19:$U19) + COUNTIF($C19:M19, M19) - 1)</f>
        <v>14.306982</v>
      </c>
      <c r="N8" s="18">
        <f>INDEX($C$7:$U$7, _xlfn.RANK.EQ(N19, $C19:$U19) + COUNTIF($C19:N19, N19) - 1)</f>
        <v>11.023149</v>
      </c>
      <c r="O8" s="18">
        <f>INDEX($C$7:$U$7, _xlfn.RANK.EQ(O19, $C19:$U19) + COUNTIF($C19:O19, O19) - 1)</f>
        <v>8.4420540000000006</v>
      </c>
      <c r="P8" s="18">
        <f>INDEX($C$7:$U$7, _xlfn.RANK.EQ(P19, $C19:$U19) + COUNTIF($C19:P19, P19) - 1)</f>
        <v>8.9732859999999999</v>
      </c>
      <c r="Q8" s="18">
        <f>INDEX($C$7:$U$7, _xlfn.RANK.EQ(Q19, $C19:$U19) + COUNTIF($C19:Q19, Q19) - 1)</f>
        <v>16.476396999999999</v>
      </c>
      <c r="R8" s="18">
        <f>INDEX($C$7:$U$7, _xlfn.RANK.EQ(R19, $C19:$U19) + COUNTIF($C19:R19, R19) - 1)</f>
        <v>16.3156</v>
      </c>
      <c r="S8" s="18">
        <f>INDEX($C$7:$U$7, _xlfn.RANK.EQ(S19, $C19:$U19) + COUNTIF($C19:S19, S19) - 1)</f>
        <v>13.477814</v>
      </c>
      <c r="T8" s="18">
        <f>INDEX($C$7:$U$7, _xlfn.RANK.EQ(T19, $C19:$U19) + COUNTIF($C19:T19, T19) - 1)</f>
        <v>13.433123999999999</v>
      </c>
      <c r="U8" s="18">
        <f>INDEX($C$7:$U$7, _xlfn.RANK.EQ(U19, $C19:$U19) + COUNTIF($C19:U19, U19) - 1)</f>
        <v>8.6142029999999998</v>
      </c>
      <c r="V8" s="18">
        <f t="shared" si="1"/>
        <v>12.525784900000001</v>
      </c>
      <c r="W8" s="18">
        <f t="shared" si="2"/>
        <v>12.437918842105264</v>
      </c>
      <c r="X8" t="s">
        <v>42</v>
      </c>
    </row>
    <row r="9" spans="1:24" x14ac:dyDescent="0.35">
      <c r="A9" t="s">
        <v>59</v>
      </c>
      <c r="B9" t="s">
        <v>44</v>
      </c>
      <c r="C9" s="18">
        <f>INDEX($C$7:$U$7, _xlfn.RANK.EQ(C20, $C20:$U20) + COUNTIF($C20:C20, C20) - 1)</f>
        <v>17.117932</v>
      </c>
      <c r="D9" s="18">
        <f>INDEX($C$7:$U$7, _xlfn.RANK.EQ(D20, $C20:$U20) + COUNTIF($C20:D20, D20) - 1)</f>
        <v>10.541308000000001</v>
      </c>
      <c r="E9" s="18">
        <f>INDEX($C$7:$U$7, _xlfn.RANK.EQ(E20, $C20:$U20) + COUNTIF($C20:E20, E20) - 1)</f>
        <v>14.100669999999999</v>
      </c>
      <c r="F9" s="18">
        <f>INDEX($C$7:$U$7, _xlfn.RANK.EQ(F20, $C20:$U20) + COUNTIF($C20:F20, F20) - 1)</f>
        <v>14.306982</v>
      </c>
      <c r="G9" s="18">
        <f>INDEX($C$7:$U$7, _xlfn.RANK.EQ(G20, $C20:$U20) + COUNTIF($C20:G20, G20) - 1)</f>
        <v>8.6142029999999998</v>
      </c>
      <c r="H9" s="18">
        <f>INDEX($C$7:$U$7, _xlfn.RANK.EQ(H20, $C20:$U20) + COUNTIF($C20:H20, H20) - 1)</f>
        <v>12.326231999999999</v>
      </c>
      <c r="I9" s="18">
        <f>INDEX($C$7:$U$7, _xlfn.RANK.EQ(I20, $C20:$U20) + COUNTIF($C20:I20, I20) - 1)</f>
        <v>10.455249</v>
      </c>
      <c r="J9" s="18">
        <f>INDEX($C$7:$U$7, _xlfn.RANK.EQ(J20, $C20:$U20) + COUNTIF($C20:J20, J20) - 1)</f>
        <v>5.870736</v>
      </c>
      <c r="K9" s="18">
        <f>INDEX($C$7:$U$7, _xlfn.RANK.EQ(K20, $C20:$U20) + COUNTIF($C20:K20, K20) - 1)</f>
        <v>13.433123999999999</v>
      </c>
      <c r="L9" s="18">
        <f>INDEX($C$7:$U$7, _xlfn.RANK.EQ(L20, $C20:$U20) + COUNTIF($C20:L20, L20) - 1)</f>
        <v>11.023149</v>
      </c>
      <c r="M9" s="18">
        <f>INDEX($C$7:$U$7, _xlfn.RANK.EQ(M20, $C20:$U20) + COUNTIF($C20:M20, M20) - 1)</f>
        <v>8.4420540000000006</v>
      </c>
      <c r="N9" s="18">
        <f>INDEX($C$7:$U$7, _xlfn.RANK.EQ(N20, $C20:$U20) + COUNTIF($C20:N20, N20) - 1)</f>
        <v>16.476396999999999</v>
      </c>
      <c r="O9" s="18">
        <f>INDEX($C$7:$U$7, _xlfn.RANK.EQ(O20, $C20:$U20) + COUNTIF($C20:O20, O20) - 1)</f>
        <v>20.207163000000001</v>
      </c>
      <c r="P9" s="18">
        <f>INDEX($C$7:$U$7, _xlfn.RANK.EQ(P20, $C20:$U20) + COUNTIF($C20:P20, P20) - 1)</f>
        <v>12.567529</v>
      </c>
      <c r="Q9" s="18">
        <f>INDEX($C$7:$U$7, _xlfn.RANK.EQ(Q20, $C20:$U20) + COUNTIF($C20:Q20, Q20) - 1)</f>
        <v>8.9732859999999999</v>
      </c>
      <c r="R9" s="18">
        <f>INDEX($C$7:$U$7, _xlfn.RANK.EQ(R20, $C20:$U20) + COUNTIF($C20:R20, R20) - 1)</f>
        <v>12.627808</v>
      </c>
      <c r="S9" s="18">
        <f>INDEX($C$7:$U$7, _xlfn.RANK.EQ(S20, $C20:$U20) + COUNTIF($C20:S20, S20) - 1)</f>
        <v>13.477814</v>
      </c>
      <c r="T9" s="18">
        <f>INDEX($C$7:$U$7, _xlfn.RANK.EQ(T20, $C20:$U20) + COUNTIF($C20:T20, T20) - 1)</f>
        <v>9.4432220000000004</v>
      </c>
      <c r="U9" s="18">
        <f>INDEX($C$7:$U$7, _xlfn.RANK.EQ(U20, $C20:$U20) + COUNTIF($C20:U20, U20) - 1)</f>
        <v>16.3156</v>
      </c>
      <c r="V9" s="18">
        <f t="shared" si="1"/>
        <v>11.7789585</v>
      </c>
      <c r="W9" s="18">
        <f t="shared" si="2"/>
        <v>12.437918842105262</v>
      </c>
      <c r="X9" t="s">
        <v>42</v>
      </c>
    </row>
    <row r="10" spans="1:24" x14ac:dyDescent="0.35">
      <c r="A10" t="s">
        <v>59</v>
      </c>
      <c r="B10" t="s">
        <v>45</v>
      </c>
      <c r="C10" s="18">
        <f>INDEX($C$7:$U$7, _xlfn.RANK.EQ(C21, $C21:$U21) + COUNTIF($C21:C21, C21) - 1)</f>
        <v>20.207163000000001</v>
      </c>
      <c r="D10" s="18">
        <f>INDEX($C$7:$U$7, _xlfn.RANK.EQ(D21, $C21:$U21) + COUNTIF($C21:D21, D21) - 1)</f>
        <v>17.117932</v>
      </c>
      <c r="E10" s="18">
        <f>INDEX($C$7:$U$7, _xlfn.RANK.EQ(E21, $C21:$U21) + COUNTIF($C21:E21, E21) - 1)</f>
        <v>16.476396999999999</v>
      </c>
      <c r="F10" s="18">
        <f>INDEX($C$7:$U$7, _xlfn.RANK.EQ(F21, $C21:$U21) + COUNTIF($C21:F21, F21) - 1)</f>
        <v>12.326231999999999</v>
      </c>
      <c r="G10" s="18">
        <f>INDEX($C$7:$U$7, _xlfn.RANK.EQ(G21, $C21:$U21) + COUNTIF($C21:G21, G21) - 1)</f>
        <v>12.627808</v>
      </c>
      <c r="H10" s="18">
        <f>INDEX($C$7:$U$7, _xlfn.RANK.EQ(H21, $C21:$U21) + COUNTIF($C21:H21, H21) - 1)</f>
        <v>13.433123999999999</v>
      </c>
      <c r="I10" s="18">
        <f>INDEX($C$7:$U$7, _xlfn.RANK.EQ(I21, $C21:$U21) + COUNTIF($C21:I21, I21) - 1)</f>
        <v>10.541308000000001</v>
      </c>
      <c r="J10" s="18">
        <f>INDEX($C$7:$U$7, _xlfn.RANK.EQ(J21, $C21:$U21) + COUNTIF($C21:J21, J21) - 1)</f>
        <v>16.3156</v>
      </c>
      <c r="K10" s="18">
        <f>INDEX($C$7:$U$7, _xlfn.RANK.EQ(K21, $C21:$U21) + COUNTIF($C21:K21, K21) - 1)</f>
        <v>9.4432220000000004</v>
      </c>
      <c r="L10" s="18">
        <f>INDEX($C$7:$U$7, _xlfn.RANK.EQ(L21, $C21:$U21) + COUNTIF($C21:L21, L21) - 1)</f>
        <v>14.306982</v>
      </c>
      <c r="M10" s="18">
        <f>INDEX($C$7:$U$7, _xlfn.RANK.EQ(M21, $C21:$U21) + COUNTIF($C21:M21, M21) - 1)</f>
        <v>8.6142029999999998</v>
      </c>
      <c r="N10" s="18">
        <f>INDEX($C$7:$U$7, _xlfn.RANK.EQ(N21, $C21:$U21) + COUNTIF($C21:N21, N21) - 1)</f>
        <v>10.455249</v>
      </c>
      <c r="O10" s="18">
        <f>INDEX($C$7:$U$7, _xlfn.RANK.EQ(O21, $C21:$U21) + COUNTIF($C21:O21, O21) - 1)</f>
        <v>8.4420540000000006</v>
      </c>
      <c r="P10" s="18">
        <f>INDEX($C$7:$U$7, _xlfn.RANK.EQ(P21, $C21:$U21) + COUNTIF($C21:P21, P21) - 1)</f>
        <v>8.9732859999999999</v>
      </c>
      <c r="Q10" s="18">
        <f>INDEX($C$7:$U$7, _xlfn.RANK.EQ(Q21, $C21:$U21) + COUNTIF($C21:Q21, Q21) - 1)</f>
        <v>14.100669999999999</v>
      </c>
      <c r="R10" s="18">
        <f>INDEX($C$7:$U$7, _xlfn.RANK.EQ(R21, $C21:$U21) + COUNTIF($C21:R21, R21) - 1)</f>
        <v>13.477814</v>
      </c>
      <c r="S10" s="18">
        <f>INDEX($C$7:$U$7, _xlfn.RANK.EQ(S21, $C21:$U21) + COUNTIF($C21:S21, S21) - 1)</f>
        <v>5.870736</v>
      </c>
      <c r="T10" s="18">
        <f>INDEX($C$7:$U$7, _xlfn.RANK.EQ(T21, $C21:$U21) + COUNTIF($C21:T21, T21) - 1)</f>
        <v>12.567529</v>
      </c>
      <c r="U10" s="18">
        <f>INDEX($C$7:$U$7, _xlfn.RANK.EQ(U21, $C21:$U21) + COUNTIF($C21:U21, U21) - 1)</f>
        <v>11.023149</v>
      </c>
      <c r="V10" s="18">
        <f t="shared" si="1"/>
        <v>14.279576800000001</v>
      </c>
      <c r="W10" s="18">
        <f t="shared" si="2"/>
        <v>12.437918842105265</v>
      </c>
      <c r="X10" t="s">
        <v>42</v>
      </c>
    </row>
    <row r="11" spans="1:24" x14ac:dyDescent="0.35">
      <c r="A11" t="s">
        <v>47</v>
      </c>
      <c r="B11" t="s">
        <v>60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8">
        <f t="shared" si="1"/>
        <v>11.400000000000002</v>
      </c>
      <c r="W11" s="18">
        <f t="shared" si="2"/>
        <v>11.400000000000004</v>
      </c>
    </row>
    <row r="12" spans="1:24" x14ac:dyDescent="0.35">
      <c r="A12" t="s">
        <v>49</v>
      </c>
      <c r="B12" t="s">
        <v>50</v>
      </c>
      <c r="C12" s="18">
        <v>8.0656773127944597</v>
      </c>
      <c r="D12" s="18">
        <v>12.179497010248401</v>
      </c>
      <c r="E12" s="18">
        <v>10.4021452093777</v>
      </c>
      <c r="F12" s="18">
        <v>13.518813794409299</v>
      </c>
      <c r="G12" s="18">
        <v>16.316885566837801</v>
      </c>
      <c r="H12" s="18">
        <v>8.2963173615850092</v>
      </c>
      <c r="I12" s="18">
        <v>8.2334084440403892</v>
      </c>
      <c r="J12" s="18">
        <v>8.0507265516528701</v>
      </c>
      <c r="K12" s="18">
        <v>10.939025533005399</v>
      </c>
      <c r="L12" s="18">
        <v>17.117619193537298</v>
      </c>
      <c r="M12" s="18">
        <v>15.180122066368499</v>
      </c>
      <c r="N12" s="18">
        <v>18.434952033152101</v>
      </c>
      <c r="O12" s="18">
        <v>12.0058419359474</v>
      </c>
      <c r="P12" s="18">
        <v>6.7697458167134199</v>
      </c>
      <c r="Q12" s="18">
        <v>14.549174163850401</v>
      </c>
      <c r="R12" s="18">
        <v>7.0958145122825593</v>
      </c>
      <c r="S12" s="18">
        <v>14.9052393166876</v>
      </c>
      <c r="T12" s="18">
        <v>15.428213164007099</v>
      </c>
      <c r="U12" s="18">
        <v>17.679933099266101</v>
      </c>
      <c r="V12" s="18">
        <f t="shared" si="1"/>
        <v>11.312011597748862</v>
      </c>
      <c r="W12" s="18">
        <f t="shared" si="2"/>
        <v>12.377323793987571</v>
      </c>
      <c r="X12" t="s">
        <v>52</v>
      </c>
    </row>
    <row r="13" spans="1:24" x14ac:dyDescent="0.35">
      <c r="A13" t="s">
        <v>51</v>
      </c>
      <c r="B13" t="s">
        <v>50</v>
      </c>
      <c r="C13" s="18">
        <v>13.6721827614197</v>
      </c>
      <c r="D13" s="18">
        <v>12.666445529103701</v>
      </c>
      <c r="E13" s="18">
        <v>8.2123208856145009</v>
      </c>
      <c r="F13" s="18">
        <v>7.2985106981092596</v>
      </c>
      <c r="G13" s="18">
        <v>8.9240344766710908</v>
      </c>
      <c r="H13" s="18">
        <v>12.2239805462057</v>
      </c>
      <c r="I13" s="18">
        <v>12.116028475951</v>
      </c>
      <c r="J13" s="18">
        <v>9.3868894956851907</v>
      </c>
      <c r="K13" s="18">
        <v>5.7100895102609304</v>
      </c>
      <c r="L13" s="18">
        <v>7.6367030909024995</v>
      </c>
      <c r="M13" s="18">
        <v>17.908698431934599</v>
      </c>
      <c r="N13" s="18">
        <v>17.3439222124933</v>
      </c>
      <c r="O13" s="18">
        <v>16.712138882108398</v>
      </c>
      <c r="P13" s="18">
        <v>10.8627427743835</v>
      </c>
      <c r="Q13" s="18">
        <v>18.956338967251</v>
      </c>
      <c r="R13" s="18">
        <v>22.2800107884749</v>
      </c>
      <c r="S13" s="18">
        <v>19.616776674012698</v>
      </c>
      <c r="T13" s="18">
        <v>14.694013971958199</v>
      </c>
      <c r="U13" s="18">
        <v>13.8158034044588</v>
      </c>
      <c r="V13" s="18">
        <f t="shared" si="1"/>
        <v>9.7847185469923588</v>
      </c>
      <c r="W13" s="18">
        <f t="shared" si="2"/>
        <v>13.159875346157838</v>
      </c>
      <c r="X13" t="s">
        <v>52</v>
      </c>
    </row>
    <row r="14" spans="1:24" x14ac:dyDescent="0.35">
      <c r="A14" t="s">
        <v>48</v>
      </c>
      <c r="B14" t="s">
        <v>50</v>
      </c>
      <c r="C14" s="18">
        <v>8.6387119999999999</v>
      </c>
      <c r="D14" s="18">
        <v>16.724910999999999</v>
      </c>
      <c r="E14" s="18">
        <v>23.729841</v>
      </c>
      <c r="F14" s="18">
        <v>24.177980999999999</v>
      </c>
      <c r="G14" s="18">
        <v>21.044574999999998</v>
      </c>
      <c r="H14" s="18">
        <v>22.368445000000001</v>
      </c>
      <c r="I14" s="18">
        <v>16.596464999999998</v>
      </c>
      <c r="J14" s="18">
        <v>11.668810000000001</v>
      </c>
      <c r="K14" s="18">
        <v>9.5522320000000001</v>
      </c>
      <c r="L14" s="18">
        <v>8.9740110000000008</v>
      </c>
      <c r="M14" s="18">
        <v>12.344601000000001</v>
      </c>
      <c r="N14" s="18">
        <v>11.068530000000001</v>
      </c>
      <c r="O14" s="18">
        <v>18.697527999999998</v>
      </c>
      <c r="P14" s="18">
        <v>10.611249000000001</v>
      </c>
      <c r="Q14" s="18">
        <v>19.872761000000001</v>
      </c>
      <c r="R14" s="18">
        <v>14.052944999999999</v>
      </c>
      <c r="S14" s="18">
        <v>21.184925</v>
      </c>
      <c r="T14" s="18">
        <v>16.968572999999999</v>
      </c>
      <c r="U14" s="18">
        <v>16.452831</v>
      </c>
      <c r="V14" s="18">
        <f t="shared" ref="V14" si="4">AVERAGE(C14:L14)</f>
        <v>16.347598299999998</v>
      </c>
      <c r="W14" s="18">
        <f t="shared" ref="W14" si="5">AVERAGE(C14:U14)</f>
        <v>16.038417157894738</v>
      </c>
      <c r="X14" t="s">
        <v>41</v>
      </c>
    </row>
    <row r="15" spans="1:24" x14ac:dyDescent="0.35">
      <c r="A15" t="s">
        <v>55</v>
      </c>
      <c r="B15" t="s">
        <v>43</v>
      </c>
      <c r="C15" s="18">
        <f>INDEX($C$14:$U$14, _xlfn.RANK.EQ(C19, $C19:$U19) + COUNTIF($C19:C19, C19) - 1)</f>
        <v>16.596464999999998</v>
      </c>
      <c r="D15" s="18">
        <f>INDEX($C$14:$U$14, _xlfn.RANK.EQ(D19, $C19:$U19) + COUNTIF($C19:D19, D19) - 1)</f>
        <v>12.344601000000001</v>
      </c>
      <c r="E15" s="18">
        <f>INDEX($C$14:$U$14, _xlfn.RANK.EQ(E19, $C19:$U19) + COUNTIF($C19:E19, E19) - 1)</f>
        <v>24.177980999999999</v>
      </c>
      <c r="F15" s="18">
        <f>INDEX($C$14:$U$14, _xlfn.RANK.EQ(F19, $C19:$U19) + COUNTIF($C19:F19, F19) - 1)</f>
        <v>23.729841</v>
      </c>
      <c r="G15" s="18">
        <f>INDEX($C$14:$U$14, _xlfn.RANK.EQ(G19, $C19:$U19) + COUNTIF($C19:G19, G19) - 1)</f>
        <v>19.872761000000001</v>
      </c>
      <c r="H15" s="18">
        <f>INDEX($C$14:$U$14, _xlfn.RANK.EQ(H19, $C19:$U19) + COUNTIF($C19:H19, H19) - 1)</f>
        <v>8.6387119999999999</v>
      </c>
      <c r="I15" s="18">
        <f>INDEX($C$14:$U$14, _xlfn.RANK.EQ(I19, $C19:$U19) + COUNTIF($C19:I19, I19) - 1)</f>
        <v>22.368445000000001</v>
      </c>
      <c r="J15" s="18">
        <f>INDEX($C$14:$U$14, _xlfn.RANK.EQ(J19, $C19:$U19) + COUNTIF($C19:J19, J19) - 1)</f>
        <v>21.044574999999998</v>
      </c>
      <c r="K15" s="18">
        <f>INDEX($C$14:$U$14, _xlfn.RANK.EQ(K19, $C19:$U19) + COUNTIF($C19:K19, K19) - 1)</f>
        <v>11.068530000000001</v>
      </c>
      <c r="L15" s="18">
        <f>INDEX($C$14:$U$14, _xlfn.RANK.EQ(L19, $C19:$U19) + COUNTIF($C19:L19, L19) - 1)</f>
        <v>11.668810000000001</v>
      </c>
      <c r="M15" s="18">
        <f>INDEX($C$14:$U$14, _xlfn.RANK.EQ(M19, $C19:$U19) + COUNTIF($C19:M19, M19) - 1)</f>
        <v>8.9740110000000008</v>
      </c>
      <c r="N15" s="18">
        <f>INDEX($C$14:$U$14, _xlfn.RANK.EQ(N19, $C19:$U19) + COUNTIF($C19:N19, N19) - 1)</f>
        <v>16.724910999999999</v>
      </c>
      <c r="O15" s="18">
        <f>INDEX($C$14:$U$14, _xlfn.RANK.EQ(O19, $C19:$U19) + COUNTIF($C19:O19, O19) - 1)</f>
        <v>18.697527999999998</v>
      </c>
      <c r="P15" s="18">
        <f>INDEX($C$14:$U$14, _xlfn.RANK.EQ(P19, $C19:$U19) + COUNTIF($C19:P19, P19) - 1)</f>
        <v>10.611249000000001</v>
      </c>
      <c r="Q15" s="18">
        <f>INDEX($C$14:$U$14, _xlfn.RANK.EQ(Q19, $C19:$U19) + COUNTIF($C19:Q19, Q19) - 1)</f>
        <v>16.968572999999999</v>
      </c>
      <c r="R15" s="18">
        <f>INDEX($C$14:$U$14, _xlfn.RANK.EQ(R19, $C19:$U19) + COUNTIF($C19:R19, R19) - 1)</f>
        <v>9.5522320000000001</v>
      </c>
      <c r="S15" s="18">
        <f>INDEX($C$14:$U$14, _xlfn.RANK.EQ(S19, $C19:$U19) + COUNTIF($C19:S19, S19) - 1)</f>
        <v>21.184925</v>
      </c>
      <c r="T15" s="18">
        <f>INDEX($C$14:$U$14, _xlfn.RANK.EQ(T19, $C19:$U19) + COUNTIF($C19:T19, T19) - 1)</f>
        <v>14.052944999999999</v>
      </c>
      <c r="U15" s="18">
        <f>INDEX($C$14:$U$14, _xlfn.RANK.EQ(U19, $C19:$U19) + COUNTIF($C19:U19, U19) - 1)</f>
        <v>16.452831</v>
      </c>
      <c r="V15" s="18">
        <f t="shared" ref="V15:V16" si="6">AVERAGE(C15:L15)</f>
        <v>17.1510721</v>
      </c>
      <c r="W15" s="18">
        <f t="shared" ref="W15:W16" si="7">AVERAGE(C15:U15)</f>
        <v>16.038417157894738</v>
      </c>
      <c r="X15" t="s">
        <v>42</v>
      </c>
    </row>
    <row r="16" spans="1:24" x14ac:dyDescent="0.35">
      <c r="A16" t="s">
        <v>55</v>
      </c>
      <c r="B16" t="s">
        <v>44</v>
      </c>
      <c r="C16" s="18">
        <f>INDEX($C$14:$U$14, _xlfn.RANK.EQ(C20, $C20:$U20) + COUNTIF($C20:C20, C20) - 1)</f>
        <v>22.368445000000001</v>
      </c>
      <c r="D16" s="18">
        <f>INDEX($C$14:$U$14, _xlfn.RANK.EQ(D20, $C20:$U20) + COUNTIF($C20:D20, D20) - 1)</f>
        <v>8.6387119999999999</v>
      </c>
      <c r="E16" s="18">
        <f>INDEX($C$14:$U$14, _xlfn.RANK.EQ(E20, $C20:$U20) + COUNTIF($C20:E20, E20) - 1)</f>
        <v>19.872761000000001</v>
      </c>
      <c r="F16" s="18">
        <f>INDEX($C$14:$U$14, _xlfn.RANK.EQ(F20, $C20:$U20) + COUNTIF($C20:F20, F20) - 1)</f>
        <v>8.9740110000000008</v>
      </c>
      <c r="G16" s="18">
        <f>INDEX($C$14:$U$14, _xlfn.RANK.EQ(G20, $C20:$U20) + COUNTIF($C20:G20, G20) - 1)</f>
        <v>16.452831</v>
      </c>
      <c r="H16" s="18">
        <f>INDEX($C$14:$U$14, _xlfn.RANK.EQ(H20, $C20:$U20) + COUNTIF($C20:H20, H20) - 1)</f>
        <v>12.344601000000001</v>
      </c>
      <c r="I16" s="18">
        <f>INDEX($C$14:$U$14, _xlfn.RANK.EQ(I20, $C20:$U20) + COUNTIF($C20:I20, I20) - 1)</f>
        <v>24.177980999999999</v>
      </c>
      <c r="J16" s="18">
        <f>INDEX($C$14:$U$14, _xlfn.RANK.EQ(J20, $C20:$U20) + COUNTIF($C20:J20, J20) - 1)</f>
        <v>23.729841</v>
      </c>
      <c r="K16" s="18">
        <f>INDEX($C$14:$U$14, _xlfn.RANK.EQ(K20, $C20:$U20) + COUNTIF($C20:K20, K20) - 1)</f>
        <v>14.052944999999999</v>
      </c>
      <c r="L16" s="18">
        <f>INDEX($C$14:$U$14, _xlfn.RANK.EQ(L20, $C20:$U20) + COUNTIF($C20:L20, L20) - 1)</f>
        <v>16.724910999999999</v>
      </c>
      <c r="M16" s="18">
        <f>INDEX($C$14:$U$14, _xlfn.RANK.EQ(M20, $C20:$U20) + COUNTIF($C20:M20, M20) - 1)</f>
        <v>18.697527999999998</v>
      </c>
      <c r="N16" s="18">
        <f>INDEX($C$14:$U$14, _xlfn.RANK.EQ(N20, $C20:$U20) + COUNTIF($C20:N20, N20) - 1)</f>
        <v>16.968572999999999</v>
      </c>
      <c r="O16" s="18">
        <f>INDEX($C$14:$U$14, _xlfn.RANK.EQ(O20, $C20:$U20) + COUNTIF($C20:O20, O20) - 1)</f>
        <v>11.068530000000001</v>
      </c>
      <c r="P16" s="18">
        <f>INDEX($C$14:$U$14, _xlfn.RANK.EQ(P20, $C20:$U20) + COUNTIF($C20:P20, P20) - 1)</f>
        <v>11.668810000000001</v>
      </c>
      <c r="Q16" s="18">
        <f>INDEX($C$14:$U$14, _xlfn.RANK.EQ(Q20, $C20:$U20) + COUNTIF($C20:Q20, Q20) - 1)</f>
        <v>10.611249000000001</v>
      </c>
      <c r="R16" s="18">
        <f>INDEX($C$14:$U$14, _xlfn.RANK.EQ(R20, $C20:$U20) + COUNTIF($C20:R20, R20) - 1)</f>
        <v>16.596464999999998</v>
      </c>
      <c r="S16" s="18">
        <f>INDEX($C$14:$U$14, _xlfn.RANK.EQ(S20, $C20:$U20) + COUNTIF($C20:S20, S20) - 1)</f>
        <v>21.184925</v>
      </c>
      <c r="T16" s="18">
        <f>INDEX($C$14:$U$14, _xlfn.RANK.EQ(T20, $C20:$U20) + COUNTIF($C20:T20, T20) - 1)</f>
        <v>21.044574999999998</v>
      </c>
      <c r="U16" s="18">
        <f>INDEX($C$14:$U$14, _xlfn.RANK.EQ(U20, $C20:$U20) + COUNTIF($C20:U20, U20) - 1)</f>
        <v>9.5522320000000001</v>
      </c>
      <c r="V16" s="18">
        <f t="shared" si="6"/>
        <v>16.733703900000002</v>
      </c>
      <c r="W16" s="18">
        <f t="shared" si="7"/>
        <v>16.038417157894738</v>
      </c>
      <c r="X16" t="s">
        <v>42</v>
      </c>
    </row>
    <row r="18" spans="1:21" x14ac:dyDescent="0.35">
      <c r="A18" s="1" t="s">
        <v>61</v>
      </c>
    </row>
    <row r="19" spans="1:21" x14ac:dyDescent="0.35">
      <c r="A19" t="s">
        <v>38</v>
      </c>
      <c r="C19" s="19">
        <v>0.67644387335744371</v>
      </c>
      <c r="D19" s="19">
        <v>0.47418579468589028</v>
      </c>
      <c r="E19" s="19">
        <v>0.79191284201733858</v>
      </c>
      <c r="F19" s="19">
        <v>0.85845050624319708</v>
      </c>
      <c r="G19" s="19">
        <v>0.29119580343142981</v>
      </c>
      <c r="H19" s="19">
        <v>0.96698220369983379</v>
      </c>
      <c r="I19" s="19">
        <v>0.71660723236774859</v>
      </c>
      <c r="J19" s="19">
        <v>0.76657250740819849</v>
      </c>
      <c r="K19" s="19">
        <v>0.37210589764212265</v>
      </c>
      <c r="L19" s="19">
        <v>0.67238760239552131</v>
      </c>
      <c r="M19" s="19">
        <v>0.54861280840425941</v>
      </c>
      <c r="N19" s="19">
        <v>0.93847094237556061</v>
      </c>
      <c r="O19" s="19">
        <v>0.37036993145978159</v>
      </c>
      <c r="P19" s="19">
        <v>0.37012384678989274</v>
      </c>
      <c r="Q19" s="19">
        <v>5.0129257600194155E-2</v>
      </c>
      <c r="R19" s="19">
        <v>0.66224607523003343</v>
      </c>
      <c r="S19" s="19">
        <v>7.3598766477379618E-2</v>
      </c>
      <c r="T19" s="19">
        <v>0.14075741794709939</v>
      </c>
      <c r="U19" s="19">
        <v>4.0761876740060932E-2</v>
      </c>
    </row>
    <row r="20" spans="1:21" x14ac:dyDescent="0.35">
      <c r="A20" t="s">
        <v>39</v>
      </c>
      <c r="C20" s="19">
        <v>0.71178139473095614</v>
      </c>
      <c r="D20" s="19">
        <v>0.90508858194637953</v>
      </c>
      <c r="E20" s="19">
        <v>0.17598711058710848</v>
      </c>
      <c r="F20" s="19">
        <v>0.46040924842222275</v>
      </c>
      <c r="G20" s="19">
        <v>1.1082729617274412E-3</v>
      </c>
      <c r="H20" s="19">
        <v>0.4469646580924429</v>
      </c>
      <c r="I20" s="19">
        <v>0.76533202050878746</v>
      </c>
      <c r="J20" s="19">
        <v>0.83884971961311028</v>
      </c>
      <c r="K20" s="19">
        <v>0.13861192500449215</v>
      </c>
      <c r="L20" s="19">
        <v>0.86445706016894996</v>
      </c>
      <c r="M20" s="19">
        <v>0.27880519114550062</v>
      </c>
      <c r="N20" s="19">
        <v>4.9331580912537532E-2</v>
      </c>
      <c r="O20" s="19">
        <v>0.44358552686154573</v>
      </c>
      <c r="P20" s="19">
        <v>0.51627460025941363</v>
      </c>
      <c r="Q20" s="19">
        <v>0.19589373219881623</v>
      </c>
      <c r="R20" s="19">
        <v>0.57711767229760702</v>
      </c>
      <c r="S20" s="19">
        <v>0.11578704812173612</v>
      </c>
      <c r="T20" s="19">
        <v>0.75445830147475079</v>
      </c>
      <c r="U20" s="19">
        <v>0.50908150625985971</v>
      </c>
    </row>
    <row r="21" spans="1:21" x14ac:dyDescent="0.35">
      <c r="A21" t="s">
        <v>40</v>
      </c>
      <c r="C21" s="19">
        <v>0.49942177488685924</v>
      </c>
      <c r="D21" s="19">
        <v>0.73533205529292978</v>
      </c>
      <c r="E21" s="19">
        <v>3.6281905650776269E-2</v>
      </c>
      <c r="F21" s="19">
        <v>0.51032194818600674</v>
      </c>
      <c r="G21" s="19">
        <v>0.72301799545372614</v>
      </c>
      <c r="H21" s="19">
        <v>0.18140139614899009</v>
      </c>
      <c r="I21" s="19">
        <v>0.96487922099534429</v>
      </c>
      <c r="J21" s="19">
        <v>0.58598497382130921</v>
      </c>
      <c r="K21" s="19">
        <v>0.81220936811505928</v>
      </c>
      <c r="L21" s="19">
        <v>0.56799175094937815</v>
      </c>
      <c r="M21" s="19">
        <v>1.6868147569877312E-3</v>
      </c>
      <c r="N21" s="19">
        <v>0.81525247724513761</v>
      </c>
      <c r="O21" s="19">
        <v>0.43869003462286138</v>
      </c>
      <c r="P21" s="19">
        <v>0.41310932122101518</v>
      </c>
      <c r="Q21" s="19">
        <v>0.31390513036414502</v>
      </c>
      <c r="R21" s="19">
        <v>8.330275026684264E-2</v>
      </c>
      <c r="S21" s="19">
        <v>0.8318657658083044</v>
      </c>
      <c r="T21" s="19">
        <v>0.65077408918348401</v>
      </c>
      <c r="U21" s="19">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59" customWidth="1"/>
    <col min="2" max="2" width="12.7265625" style="59" customWidth="1"/>
    <col min="3" max="3" width="9.453125" style="59" customWidth="1"/>
    <col min="4" max="4" width="46.26953125" style="59" customWidth="1"/>
    <col min="5" max="5" width="14.453125" style="85" customWidth="1"/>
    <col min="6" max="6" width="10.54296875" style="2" customWidth="1"/>
    <col min="7" max="7" width="10.54296875" style="18" customWidth="1"/>
  </cols>
  <sheetData>
    <row r="1" spans="1:9" x14ac:dyDescent="0.35">
      <c r="A1" s="58" t="s">
        <v>111</v>
      </c>
    </row>
    <row r="2" spans="1:9" x14ac:dyDescent="0.35">
      <c r="A2" s="59" t="s">
        <v>112</v>
      </c>
    </row>
    <row r="3" spans="1:9" x14ac:dyDescent="0.35">
      <c r="I3" s="1" t="s">
        <v>165</v>
      </c>
    </row>
    <row r="4" spans="1:9" s="53" customFormat="1" ht="43.5" x14ac:dyDescent="0.35">
      <c r="A4" s="36" t="s">
        <v>113</v>
      </c>
      <c r="B4" s="36" t="s">
        <v>118</v>
      </c>
      <c r="C4" s="36" t="s">
        <v>119</v>
      </c>
      <c r="D4" s="37" t="s">
        <v>114</v>
      </c>
      <c r="E4" s="36" t="s">
        <v>129</v>
      </c>
      <c r="F4" s="36" t="s">
        <v>130</v>
      </c>
      <c r="G4" s="120" t="s">
        <v>141</v>
      </c>
    </row>
    <row r="5" spans="1:9" s="53" customFormat="1" ht="58" x14ac:dyDescent="0.35">
      <c r="A5" s="64" t="e">
        <f>#REF!</f>
        <v>#REF!</v>
      </c>
      <c r="B5" s="80" t="s">
        <v>125</v>
      </c>
      <c r="C5" s="65" t="s">
        <v>121</v>
      </c>
      <c r="D5" s="66" t="str">
        <f>D7</f>
        <v>Highest uncertainty for native fish. Also represent a substantial risk to the tailwater trout fishery, as sustained temperatures of 19oC or higher are unsuitable for trout.</v>
      </c>
      <c r="E5" s="86" t="s">
        <v>132</v>
      </c>
      <c r="F5" s="86" t="s">
        <v>131</v>
      </c>
      <c r="G5" s="121" t="e">
        <f>VLOOKUP(A5,#REF!,2)/1000000</f>
        <v>#REF!</v>
      </c>
    </row>
    <row r="6" spans="1:9" s="53" customFormat="1" ht="58" x14ac:dyDescent="0.35">
      <c r="A6" s="61">
        <v>3425</v>
      </c>
      <c r="B6" s="62" t="str">
        <f>B7</f>
        <v>&gt; 18</v>
      </c>
      <c r="C6" s="62" t="s">
        <v>121</v>
      </c>
      <c r="D6" s="63" t="str">
        <f>D7</f>
        <v>Highest uncertainty for native fish. Also represent a substantial risk to the tailwater trout fishery, as sustained temperatures of 19oC or higher are unsuitable for trout.</v>
      </c>
      <c r="E6" s="86" t="str">
        <f>E5</f>
        <v>Highly uncertain</v>
      </c>
      <c r="F6" s="86" t="s">
        <v>131</v>
      </c>
      <c r="G6" s="121" t="e">
        <f>VLOOKUP(A6,#REF!,2)/1000000</f>
        <v>#REF!</v>
      </c>
    </row>
    <row r="7" spans="1:9" s="53" customFormat="1" ht="58" x14ac:dyDescent="0.35">
      <c r="A7" s="67">
        <v>3490</v>
      </c>
      <c r="B7" s="68" t="s">
        <v>125</v>
      </c>
      <c r="C7" s="68" t="s">
        <v>120</v>
      </c>
      <c r="D7" s="69" t="s">
        <v>117</v>
      </c>
      <c r="E7" s="62" t="str">
        <f>E6</f>
        <v>Highly uncertain</v>
      </c>
      <c r="F7" s="86" t="s">
        <v>131</v>
      </c>
      <c r="G7" s="121" t="e">
        <f>VLOOKUP(A7,#REF!,2)/1000000</f>
        <v>#REF!</v>
      </c>
    </row>
    <row r="8" spans="1:9" ht="72.5" x14ac:dyDescent="0.35">
      <c r="A8" s="70">
        <v>3525</v>
      </c>
      <c r="B8" s="71" t="s">
        <v>124</v>
      </c>
      <c r="C8" s="71" t="s">
        <v>120</v>
      </c>
      <c r="D8" s="72" t="s">
        <v>116</v>
      </c>
      <c r="E8" s="87" t="s">
        <v>133</v>
      </c>
      <c r="F8" s="87" t="s">
        <v>135</v>
      </c>
      <c r="G8" s="122" t="e">
        <f>VLOOKUP(A8,#REF!,2)/1000000</f>
        <v>#REF!</v>
      </c>
    </row>
    <row r="9" spans="1:9" ht="43.5" x14ac:dyDescent="0.35">
      <c r="A9" s="73">
        <v>3600</v>
      </c>
      <c r="B9" s="74" t="s">
        <v>123</v>
      </c>
      <c r="C9" s="74" t="s">
        <v>120</v>
      </c>
      <c r="D9" s="75" t="s">
        <v>127</v>
      </c>
      <c r="E9" s="88" t="s">
        <v>128</v>
      </c>
      <c r="F9" s="88" t="str">
        <f>F8</f>
        <v>Help grow + incubate</v>
      </c>
      <c r="G9" s="123" t="e">
        <f>VLOOKUP(A9,#REF!,2)/1000000</f>
        <v>#REF!</v>
      </c>
    </row>
    <row r="10" spans="1:9" ht="101.5" x14ac:dyDescent="0.35">
      <c r="A10" s="76">
        <v>3675</v>
      </c>
      <c r="B10" s="77" t="s">
        <v>122</v>
      </c>
      <c r="C10" s="77" t="s">
        <v>120</v>
      </c>
      <c r="D10" s="78" t="s">
        <v>115</v>
      </c>
      <c r="E10" s="89" t="s">
        <v>134</v>
      </c>
      <c r="F10" s="89" t="s">
        <v>136</v>
      </c>
      <c r="G10" s="124" t="e">
        <f>VLOOKUP(A10,#REF!,2)/1000000</f>
        <v>#REF!</v>
      </c>
    </row>
    <row r="11" spans="1:9" ht="101.5" x14ac:dyDescent="0.35">
      <c r="A11" s="76">
        <v>3700</v>
      </c>
      <c r="B11" s="77" t="str">
        <f>B10</f>
        <v>&lt; 12</v>
      </c>
      <c r="C11" s="77" t="s">
        <v>120</v>
      </c>
      <c r="D11" s="79"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9" t="str">
        <f>E10</f>
        <v>Help grow, reproduce, and survive</v>
      </c>
      <c r="F11" s="89" t="s">
        <v>136</v>
      </c>
      <c r="G11" s="124" t="e">
        <f>VLOOKUP(A11,#REF!,2)/1000000</f>
        <v>#REF!</v>
      </c>
    </row>
    <row r="13" spans="1:9" ht="16.5" x14ac:dyDescent="0.35">
      <c r="D13" s="60"/>
    </row>
    <row r="14" spans="1:9" ht="16.5" x14ac:dyDescent="0.35">
      <c r="D14" s="60"/>
    </row>
    <row r="15" spans="1:9" ht="16.5" x14ac:dyDescent="0.35">
      <c r="D15" s="60"/>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ReadMe-Directions</vt:lpstr>
      <vt:lpstr>Versions</vt:lpstr>
      <vt:lpstr>Master</vt:lpstr>
      <vt:lpstr>DivideInflow</vt:lpstr>
      <vt:lpstr>TribalWater</vt:lpstr>
      <vt:lpstr>SplitInflowForPlot</vt:lpstr>
      <vt:lpstr>MandatoryConservation</vt:lpstr>
      <vt:lpstr>HydrologicScenarios</vt:lpstr>
      <vt:lpstr>PowellReleaseTemperature</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2025-01-24T21:38:36Z</dcterms:modified>
</cp:coreProperties>
</file>