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llaborate\LakeMeadWaterConservationProgramAnalysis\"/>
    </mc:Choice>
  </mc:AlternateContent>
  <xr:revisionPtr revIDLastSave="0" documentId="13_ncr:1_{840615DB-7AD2-4B80-8DEA-B59C885C4C2A}" xr6:coauthVersionLast="47" xr6:coauthVersionMax="47" xr10:uidLastSave="{00000000-0000-0000-0000-000000000000}"/>
  <bookViews>
    <workbookView xWindow="-28920" yWindow="-1965" windowWidth="29040" windowHeight="17520" xr2:uid="{00000000-000D-0000-FFFF-FFFF00000000}"/>
  </bookViews>
  <sheets>
    <sheet name="ReadMe" sheetId="6" r:id="rId1"/>
    <sheet name="Balances" sheetId="1" r:id="rId2"/>
    <sheet name="Deposits" sheetId="7" r:id="rId3"/>
    <sheet name="TotalCreditsDebits" sheetId="10" r:id="rId4"/>
    <sheet name="Withdraws" sheetId="13" r:id="rId5"/>
    <sheet name="Capacities" sheetId="5" r:id="rId6"/>
    <sheet name="Example1-Credit" sheetId="8" r:id="rId7"/>
    <sheet name="Example2-Debit" sheetId="9" r:id="rId8"/>
    <sheet name="BasinConservationPrograms" sheetId="11" r:id="rId9"/>
    <sheet name="DCPLogs" sheetId="4" r:id="rId10"/>
    <sheet name="AllocateAvailableWater" sheetId="12" r:id="rId11"/>
    <sheet name="By User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3" l="1"/>
  <c r="D7" i="13"/>
  <c r="E7" i="13"/>
  <c r="F7" i="13"/>
  <c r="C8" i="13"/>
  <c r="D8" i="13"/>
  <c r="E8" i="13"/>
  <c r="F8" i="13"/>
  <c r="C9" i="13"/>
  <c r="D9" i="13"/>
  <c r="E9" i="13"/>
  <c r="F9" i="13"/>
  <c r="C10" i="13"/>
  <c r="D10" i="13"/>
  <c r="E10" i="13"/>
  <c r="F10" i="13"/>
  <c r="C11" i="13"/>
  <c r="D11" i="13"/>
  <c r="E11" i="13"/>
  <c r="F11" i="13"/>
  <c r="C12" i="13"/>
  <c r="D12" i="13"/>
  <c r="E12" i="13"/>
  <c r="F12" i="13"/>
  <c r="C13" i="13"/>
  <c r="D13" i="13"/>
  <c r="E13" i="13"/>
  <c r="F13" i="13"/>
  <c r="C14" i="13"/>
  <c r="D14" i="13"/>
  <c r="E14" i="13"/>
  <c r="F14" i="13"/>
  <c r="C15" i="13"/>
  <c r="D15" i="13"/>
  <c r="E15" i="13"/>
  <c r="F15" i="13"/>
  <c r="B5" i="13"/>
  <c r="B7" i="13" s="1"/>
  <c r="A15" i="13"/>
  <c r="A12" i="13"/>
  <c r="A13" i="13"/>
  <c r="A14" i="13"/>
  <c r="A8" i="13"/>
  <c r="A9" i="13"/>
  <c r="A10" i="13"/>
  <c r="A11" i="13"/>
  <c r="A7" i="13"/>
  <c r="B6" i="13"/>
  <c r="C6" i="13"/>
  <c r="D6" i="13"/>
  <c r="E6" i="13"/>
  <c r="F6" i="13"/>
  <c r="A6" i="13"/>
  <c r="K13" i="12"/>
  <c r="K9" i="12"/>
  <c r="K10" i="12"/>
  <c r="K11" i="12"/>
  <c r="K8" i="12"/>
  <c r="J8" i="12"/>
  <c r="J9" i="12"/>
  <c r="J10" i="12"/>
  <c r="J11" i="12"/>
  <c r="J7" i="12"/>
  <c r="D14" i="12"/>
  <c r="D16" i="12" s="1"/>
  <c r="M10" i="12" s="1"/>
  <c r="E14" i="12"/>
  <c r="E16" i="12" s="1"/>
  <c r="N10" i="12" s="1"/>
  <c r="F14" i="12"/>
  <c r="F16" i="12" s="1"/>
  <c r="O10" i="12" s="1"/>
  <c r="C14" i="12"/>
  <c r="L8" i="12" s="1"/>
  <c r="G13" i="12"/>
  <c r="G9" i="12"/>
  <c r="G10" i="12"/>
  <c r="G8" i="12"/>
  <c r="C6" i="11"/>
  <c r="H10" i="4"/>
  <c r="H11" i="4"/>
  <c r="H12" i="4"/>
  <c r="H13" i="4"/>
  <c r="H14" i="4"/>
  <c r="H9" i="4"/>
  <c r="G1" i="4"/>
  <c r="C9" i="11"/>
  <c r="E9" i="11"/>
  <c r="E1" i="10"/>
  <c r="A17" i="10"/>
  <c r="C19" i="10"/>
  <c r="A13" i="10"/>
  <c r="B13" i="10"/>
  <c r="A16" i="10"/>
  <c r="B6" i="10"/>
  <c r="C6" i="10"/>
  <c r="A9" i="10"/>
  <c r="B9" i="10"/>
  <c r="A11" i="10"/>
  <c r="C6" i="9"/>
  <c r="C6" i="8"/>
  <c r="H2" i="1"/>
  <c r="H3" i="1"/>
  <c r="H4" i="1"/>
  <c r="H5" i="1"/>
  <c r="H6" i="1"/>
  <c r="H7" i="1"/>
  <c r="H8" i="1"/>
  <c r="H9" i="1"/>
  <c r="H10" i="1"/>
  <c r="H11" i="1"/>
  <c r="H12" i="1"/>
  <c r="H13" i="1"/>
  <c r="H18" i="1"/>
  <c r="E18" i="1"/>
  <c r="F18" i="7" s="1"/>
  <c r="E17" i="1"/>
  <c r="F17" i="7" s="1"/>
  <c r="E16" i="1"/>
  <c r="F16" i="7" s="1"/>
  <c r="E15" i="1"/>
  <c r="F15" i="7" s="1"/>
  <c r="F5" i="1"/>
  <c r="F2" i="1"/>
  <c r="C4" i="7"/>
  <c r="D4" i="7"/>
  <c r="E4" i="7"/>
  <c r="F4" i="7"/>
  <c r="C5" i="7"/>
  <c r="C7" i="10" s="1"/>
  <c r="D5" i="7"/>
  <c r="E5" i="7"/>
  <c r="F5" i="7"/>
  <c r="C6" i="7"/>
  <c r="C8" i="10" s="1"/>
  <c r="D6" i="7"/>
  <c r="E6" i="7"/>
  <c r="F6" i="7"/>
  <c r="C7" i="7"/>
  <c r="C9" i="10" s="1"/>
  <c r="D7" i="7"/>
  <c r="E7" i="7"/>
  <c r="F7" i="7"/>
  <c r="C8" i="7"/>
  <c r="B10" i="10" s="1"/>
  <c r="D8" i="7"/>
  <c r="E8" i="7"/>
  <c r="F8" i="7"/>
  <c r="C9" i="7"/>
  <c r="B11" i="10" s="1"/>
  <c r="D9" i="7"/>
  <c r="E9" i="7"/>
  <c r="F9" i="7"/>
  <c r="C10" i="7"/>
  <c r="C12" i="10" s="1"/>
  <c r="D10" i="7"/>
  <c r="E10" i="7"/>
  <c r="F10" i="7"/>
  <c r="C11" i="7"/>
  <c r="C13" i="10" s="1"/>
  <c r="D11" i="7"/>
  <c r="E11" i="7"/>
  <c r="F11" i="7"/>
  <c r="C12" i="7"/>
  <c r="B14" i="10" s="1"/>
  <c r="D12" i="7"/>
  <c r="E12" i="7"/>
  <c r="F12" i="7"/>
  <c r="C13" i="7"/>
  <c r="B15" i="10" s="1"/>
  <c r="D13" i="7"/>
  <c r="E13" i="7"/>
  <c r="F13" i="7"/>
  <c r="C14" i="7"/>
  <c r="B16" i="10" s="1"/>
  <c r="D14" i="7"/>
  <c r="E14" i="7"/>
  <c r="F14" i="7"/>
  <c r="C15" i="7"/>
  <c r="B17" i="10" s="1"/>
  <c r="D15" i="7"/>
  <c r="E15" i="7"/>
  <c r="C16" i="7"/>
  <c r="B18" i="10" s="1"/>
  <c r="D16" i="7"/>
  <c r="E16" i="7"/>
  <c r="C17" i="7"/>
  <c r="D17" i="7"/>
  <c r="C7" i="9" s="1"/>
  <c r="C8" i="9" s="1"/>
  <c r="C9" i="9" s="1"/>
  <c r="E17" i="7"/>
  <c r="B19" i="10" s="1"/>
  <c r="C18" i="7"/>
  <c r="B20" i="10" s="1"/>
  <c r="D18" i="7"/>
  <c r="E18" i="7"/>
  <c r="D3" i="7"/>
  <c r="E3" i="7"/>
  <c r="F3" i="7"/>
  <c r="C3" i="7"/>
  <c r="B5" i="10" s="1"/>
  <c r="D2" i="7"/>
  <c r="E2" i="7"/>
  <c r="C4" i="10" s="1"/>
  <c r="C2" i="7"/>
  <c r="B4" i="10" s="1"/>
  <c r="F2" i="7"/>
  <c r="B14" i="1"/>
  <c r="C14" i="1"/>
  <c r="D14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C6" i="1"/>
  <c r="D6" i="1"/>
  <c r="E6" i="1"/>
  <c r="B6" i="1"/>
  <c r="A3" i="7"/>
  <c r="A5" i="10" s="1"/>
  <c r="A4" i="7"/>
  <c r="A6" i="10" s="1"/>
  <c r="A5" i="7"/>
  <c r="A7" i="10" s="1"/>
  <c r="A6" i="7"/>
  <c r="A8" i="10" s="1"/>
  <c r="A7" i="7"/>
  <c r="A8" i="7"/>
  <c r="A10" i="10" s="1"/>
  <c r="A9" i="7"/>
  <c r="A10" i="7"/>
  <c r="A12" i="10" s="1"/>
  <c r="A11" i="7"/>
  <c r="A12" i="7"/>
  <c r="A14" i="10" s="1"/>
  <c r="A13" i="7"/>
  <c r="A15" i="10" s="1"/>
  <c r="A14" i="7"/>
  <c r="A15" i="7"/>
  <c r="A16" i="7"/>
  <c r="A18" i="10" s="1"/>
  <c r="A17" i="7"/>
  <c r="A19" i="10" s="1"/>
  <c r="A18" i="7"/>
  <c r="A20" i="10" s="1"/>
  <c r="A2" i="7"/>
  <c r="A4" i="10" s="1"/>
  <c r="A1" i="7" a="1"/>
  <c r="A1" i="7" s="1"/>
  <c r="A3" i="10" s="1"/>
  <c r="C3" i="1"/>
  <c r="F3" i="1" s="1"/>
  <c r="C4" i="1"/>
  <c r="C7" i="5"/>
  <c r="D7" i="5"/>
  <c r="E7" i="5"/>
  <c r="F7" i="5"/>
  <c r="B7" i="5"/>
  <c r="D10" i="5"/>
  <c r="C10" i="5"/>
  <c r="B10" i="5"/>
  <c r="F9" i="5"/>
  <c r="F8" i="5"/>
  <c r="F4" i="5"/>
  <c r="F3" i="5"/>
  <c r="F2" i="5"/>
  <c r="F18" i="1"/>
  <c r="F17" i="1"/>
  <c r="F16" i="1"/>
  <c r="B10" i="13" l="1"/>
  <c r="B13" i="13"/>
  <c r="B8" i="13"/>
  <c r="B11" i="13"/>
  <c r="B14" i="13"/>
  <c r="B9" i="13"/>
  <c r="B12" i="13"/>
  <c r="B15" i="13"/>
  <c r="O8" i="12"/>
  <c r="N8" i="12"/>
  <c r="F15" i="12"/>
  <c r="O9" i="12" s="1"/>
  <c r="M8" i="12"/>
  <c r="G14" i="12"/>
  <c r="D17" i="12"/>
  <c r="M11" i="12" s="1"/>
  <c r="C16" i="12"/>
  <c r="F17" i="12"/>
  <c r="O11" i="12" s="1"/>
  <c r="C15" i="12"/>
  <c r="L9" i="12" s="1"/>
  <c r="E15" i="12"/>
  <c r="N9" i="12" s="1"/>
  <c r="C17" i="12"/>
  <c r="L11" i="12" s="1"/>
  <c r="L13" i="12" s="1"/>
  <c r="E17" i="12"/>
  <c r="N11" i="12" s="1"/>
  <c r="D15" i="12"/>
  <c r="M9" i="12" s="1"/>
  <c r="P7" i="12"/>
  <c r="B8" i="10"/>
  <c r="C5" i="10"/>
  <c r="C1" i="10" s="1"/>
  <c r="B12" i="10"/>
  <c r="C18" i="10"/>
  <c r="C10" i="10"/>
  <c r="C14" i="10"/>
  <c r="C20" i="10"/>
  <c r="B7" i="10"/>
  <c r="B1" i="10" s="1"/>
  <c r="C16" i="10"/>
  <c r="C17" i="10"/>
  <c r="C11" i="10"/>
  <c r="C15" i="10"/>
  <c r="C8" i="8"/>
  <c r="C7" i="8" s="1"/>
  <c r="C9" i="8"/>
  <c r="F4" i="1"/>
  <c r="F10" i="5"/>
  <c r="O13" i="12" l="1"/>
  <c r="T13" i="12" s="1"/>
  <c r="M13" i="12"/>
  <c r="R13" i="12" s="1"/>
  <c r="N13" i="12"/>
  <c r="S13" i="12" s="1"/>
  <c r="P8" i="12"/>
  <c r="Q13" i="12"/>
  <c r="P9" i="12"/>
  <c r="G16" i="12"/>
  <c r="L10" i="12"/>
  <c r="P10" i="12" s="1"/>
  <c r="P11" i="12"/>
  <c r="P13" i="12" s="1"/>
  <c r="G17" i="12"/>
  <c r="G15" i="12"/>
  <c r="T7" i="12"/>
  <c r="S10" i="12"/>
  <c r="T11" i="12"/>
  <c r="T8" i="12"/>
  <c r="Q7" i="12"/>
  <c r="R9" i="12"/>
  <c r="R7" i="12"/>
  <c r="S7" i="12"/>
  <c r="R11" i="12"/>
  <c r="F15" i="1"/>
  <c r="U13" i="12" l="1"/>
  <c r="T10" i="12"/>
  <c r="T9" i="12"/>
  <c r="S8" i="12"/>
  <c r="Q11" i="12"/>
  <c r="Q9" i="12"/>
  <c r="S9" i="12"/>
  <c r="R8" i="12"/>
  <c r="S11" i="12"/>
  <c r="Q8" i="12"/>
  <c r="R10" i="12"/>
  <c r="U7" i="12"/>
  <c r="Q10" i="12"/>
  <c r="H4" i="4"/>
  <c r="I4" i="4" s="1"/>
  <c r="H5" i="4"/>
  <c r="I5" i="4" s="1"/>
  <c r="H3" i="4"/>
  <c r="I3" i="4" s="1"/>
  <c r="U11" i="12" l="1"/>
  <c r="U9" i="12"/>
  <c r="U8" i="12"/>
  <c r="U10" i="12"/>
  <c r="B3" i="7"/>
  <c r="D27" i="2"/>
  <c r="D26" i="2"/>
  <c r="D23" i="2"/>
  <c r="D22" i="2"/>
  <c r="D19" i="2"/>
  <c r="D18" i="2"/>
  <c r="D17" i="2"/>
  <c r="D15" i="2"/>
  <c r="D14" i="2"/>
  <c r="D13" i="2"/>
  <c r="D11" i="2"/>
  <c r="D10" i="2"/>
  <c r="D9" i="2"/>
  <c r="D7" i="2"/>
  <c r="D6" i="2"/>
  <c r="D4" i="2"/>
  <c r="D3" i="2"/>
  <c r="D2" i="2"/>
  <c r="D5" i="2"/>
  <c r="B13" i="7" l="1"/>
  <c r="B2" i="7"/>
  <c r="B18" i="7"/>
  <c r="B10" i="7"/>
  <c r="F7" i="1"/>
  <c r="F9" i="1"/>
  <c r="F14" i="1"/>
  <c r="H14" i="1" s="1"/>
  <c r="F13" i="1"/>
  <c r="F8" i="1"/>
  <c r="F6" i="1"/>
  <c r="B7" i="7" l="1"/>
  <c r="B8" i="7"/>
  <c r="B9" i="7"/>
  <c r="B17" i="7"/>
  <c r="H17" i="1"/>
  <c r="B6" i="7"/>
  <c r="B12" i="7"/>
  <c r="B11" i="7"/>
  <c r="B4" i="7" l="1"/>
  <c r="B16" i="7"/>
  <c r="H16" i="1"/>
  <c r="F11" i="1"/>
  <c r="F10" i="1"/>
  <c r="F12" i="1"/>
  <c r="B5" i="7" l="1"/>
  <c r="B14" i="7"/>
  <c r="B15" i="7"/>
  <c r="H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<sst xmlns="http://schemas.openxmlformats.org/spreadsheetml/2006/main" count="289" uniqueCount="153">
  <si>
    <t>Data Sources:</t>
  </si>
  <si>
    <t>Interim Guidelines: https://www.usbr.gov/lc/region/programs/strategies/RecordofDecision.pdf</t>
  </si>
  <si>
    <t>Item</t>
  </si>
  <si>
    <t>Arizona</t>
  </si>
  <si>
    <t>California</t>
  </si>
  <si>
    <t>Nevada</t>
  </si>
  <si>
    <t>Total</t>
  </si>
  <si>
    <t>Balance - Dec 2017 (AF)</t>
  </si>
  <si>
    <t>Max Deposit (AF/year)</t>
  </si>
  <si>
    <t>Max Total (AF)</t>
  </si>
  <si>
    <t>Max Withdraw (Delivery; AF/year)</t>
  </si>
  <si>
    <t>Initial</t>
  </si>
  <si>
    <t>Water Accounting Reports: https://www.usbr.gov/lc/region/g4000/wtracct.html</t>
  </si>
  <si>
    <t>Balance - Dec 2016 (AF)</t>
  </si>
  <si>
    <t>Balance - Dec 2015 (AF)</t>
  </si>
  <si>
    <t>Assessment of Losses</t>
  </si>
  <si>
    <t>Each subsequent year</t>
  </si>
  <si>
    <t>ICS reduced when reservoir flood control releases made.</t>
  </si>
  <si>
    <t>Delivery lessened when shortage condition reached - insufficient water to deliver 7.5 MAF/yr of consumptive use</t>
  </si>
  <si>
    <t>Shortage condition = 1,075 ft Mead Level</t>
  </si>
  <si>
    <t>New levels with DCP</t>
  </si>
  <si>
    <t>Balance - Dec 2018 (AF)</t>
  </si>
  <si>
    <t>Max Balance (AF)</t>
  </si>
  <si>
    <t>Year</t>
  </si>
  <si>
    <t>Balance - Dec 2014 (AF)</t>
  </si>
  <si>
    <t>Balance - Dec 2013 (AF)</t>
  </si>
  <si>
    <t>Balance - Dec 2012 (AF)</t>
  </si>
  <si>
    <t>Balance - Dec 2011 (AF)</t>
  </si>
  <si>
    <t>Balance - Dec 2010 (AF)</t>
  </si>
  <si>
    <t>User</t>
  </si>
  <si>
    <t>State</t>
  </si>
  <si>
    <t>Balance</t>
  </si>
  <si>
    <t>MWD</t>
  </si>
  <si>
    <t>IID</t>
  </si>
  <si>
    <t>SNWA</t>
  </si>
  <si>
    <t>CAP</t>
  </si>
  <si>
    <t>CRIT</t>
  </si>
  <si>
    <t>GRIC</t>
  </si>
  <si>
    <t>Balance - Dec 2019 (AF)</t>
  </si>
  <si>
    <t>Balance - Dec 2020 (AF)</t>
  </si>
  <si>
    <t>Mexico</t>
  </si>
  <si>
    <t>Required DCP Contribution</t>
  </si>
  <si>
    <t>ConvertExistingICStoDCPICS</t>
  </si>
  <si>
    <t>CreateConvertICStoDCPICS</t>
  </si>
  <si>
    <t>CreatNonICS</t>
  </si>
  <si>
    <t>TotalDCPContribute</t>
  </si>
  <si>
    <t>DCPDeficiency</t>
  </si>
  <si>
    <t>CAWCD</t>
  </si>
  <si>
    <t>US+MX</t>
  </si>
  <si>
    <t>Balance - Dec 2021 (AF)</t>
  </si>
  <si>
    <t>Balance - Dec 2022 (AF)</t>
  </si>
  <si>
    <t>Balance - Dec 2023 (AF)</t>
  </si>
  <si>
    <t>Balance - Dec 2009 (AF)</t>
  </si>
  <si>
    <t>Balance - Dec 2008 (AF)</t>
  </si>
  <si>
    <t>Balance - Dec 2007 (AF)</t>
  </si>
  <si>
    <t>Lake Mead Water Conservation Accounts (Intentionally Created Surplus) Data</t>
  </si>
  <si>
    <t>Worksheet</t>
  </si>
  <si>
    <t>Description</t>
  </si>
  <si>
    <t>Water Conservation account balances, credits, and debits, by year and entity.</t>
  </si>
  <si>
    <t>Maximum credits, debits, and totals allowed per year</t>
  </si>
  <si>
    <t>Explanation of how users met drought contingency plan (DPC) required conservation.</t>
  </si>
  <si>
    <t>Annual deposits and withdraws calculated as the year to year difference in balances.</t>
  </si>
  <si>
    <t>Account balance by state and contractor</t>
  </si>
  <si>
    <t>Amount (acre-feet)</t>
  </si>
  <si>
    <t>Withdraw</t>
  </si>
  <si>
    <t>Historical allocation</t>
  </si>
  <si>
    <t>Start year water conservation account balance</t>
  </si>
  <si>
    <t>Example 1. Arizona water conservation account credit in 2018</t>
  </si>
  <si>
    <t>A.</t>
  </si>
  <si>
    <t>B.</t>
  </si>
  <si>
    <t>C.</t>
  </si>
  <si>
    <t>D.</t>
  </si>
  <si>
    <t>E.</t>
  </si>
  <si>
    <t>Credit (A - C)</t>
  </si>
  <si>
    <t>End of year balance (B + D)</t>
  </si>
  <si>
    <t>Example 1. California water conservation account debit in 2022</t>
  </si>
  <si>
    <t>Debit (C - A)</t>
  </si>
  <si>
    <t>End of year balance (B - D)</t>
  </si>
  <si>
    <t>Credits</t>
  </si>
  <si>
    <t>Debits</t>
  </si>
  <si>
    <t>Program</t>
  </si>
  <si>
    <t>Colorado River Conservation Programs</t>
  </si>
  <si>
    <t>Years</t>
  </si>
  <si>
    <t>Compensation ($ per acre-foot)</t>
  </si>
  <si>
    <t>Lake Mead Water Conservation Accounts</t>
  </si>
  <si>
    <t>None</t>
  </si>
  <si>
    <t>2015 to 2019</t>
  </si>
  <si>
    <t>2021 to 2022</t>
  </si>
  <si>
    <t>$77 to $240</t>
  </si>
  <si>
    <t>$150 to $611</t>
  </si>
  <si>
    <t>2015 to 2017</t>
  </si>
  <si>
    <t>$161 to $670</t>
  </si>
  <si>
    <t>2019 to 2023</t>
  </si>
  <si>
    <t>Mandatory Conservation - Not ICS</t>
  </si>
  <si>
    <t>500+ Plan - Lower Basin</t>
  </si>
  <si>
    <t>Compensation ($ million)</t>
  </si>
  <si>
    <t>Volume (million acre-feet)</t>
  </si>
  <si>
    <t>2007 to 2023</t>
  </si>
  <si>
    <t>System Conservation Pilot Programs</t>
  </si>
  <si>
    <t xml:space="preserve">    Lower Basin</t>
  </si>
  <si>
    <t xml:space="preserve">    Upper Basin</t>
  </si>
  <si>
    <t>Example of water conservation program credit using Arizona in 2018</t>
  </si>
  <si>
    <t>Example of water conservation program debit using California in 2022.</t>
  </si>
  <si>
    <t>Balances</t>
  </si>
  <si>
    <t>Deposits</t>
  </si>
  <si>
    <t>Capacities</t>
  </si>
  <si>
    <t>Example1-Credit</t>
  </si>
  <si>
    <t>Example2-Debit</t>
  </si>
  <si>
    <t>DCPLogs</t>
  </si>
  <si>
    <t>ByUser</t>
  </si>
  <si>
    <t>TotalCreditsDebits</t>
  </si>
  <si>
    <t>Sum of all water conservation program credits and debits each year, plus total over all years</t>
  </si>
  <si>
    <t>BasinConservationPrograms</t>
  </si>
  <si>
    <t>Summary of water conserved by each Colorado River Basin conservation program</t>
  </si>
  <si>
    <t>Buschatzke, T., Hamby, J. B., and Entsminger, J. (2024). "Lower Basin Alternative for the Post-2026 Coordinated Operation of the Colorado River Basin." https://www.snwa.com/assets/pdf/lower-basin-alternative-letter-march2024.pdf [Accessed on: August 14, 2024].</t>
  </si>
  <si>
    <t>Use March 2024 Lower Basin Alternative shortages to divide available water among water accounts</t>
  </si>
  <si>
    <t>0.0 to 0.3</t>
  </si>
  <si>
    <t>0.3 to 1.5</t>
  </si>
  <si>
    <t>1.5 to 2.7</t>
  </si>
  <si>
    <t>To be determined</t>
  </si>
  <si>
    <t>Total Shortage (maf per year)</t>
  </si>
  <si>
    <t>Row</t>
  </si>
  <si>
    <t>[2]</t>
  </si>
  <si>
    <t>[3]</t>
  </si>
  <si>
    <t>[4]</t>
  </si>
  <si>
    <t>[5]</t>
  </si>
  <si>
    <t>[6]</t>
  </si>
  <si>
    <t>Total Shortage (maf per year) [A]</t>
  </si>
  <si>
    <t>Arizona [C]</t>
  </si>
  <si>
    <t>Nevada [D]</t>
  </si>
  <si>
    <t>California [E]</t>
  </si>
  <si>
    <t>Mexico [F]</t>
  </si>
  <si>
    <t>Total [G]</t>
  </si>
  <si>
    <t>Arizona [H]</t>
  </si>
  <si>
    <t>Nevada [I]</t>
  </si>
  <si>
    <t>California [J]</t>
  </si>
  <si>
    <t>Mexico [K]</t>
  </si>
  <si>
    <t>Total [L]</t>
  </si>
  <si>
    <t>As Volume (maf per year)</t>
  </si>
  <si>
    <t>[1]*</t>
  </si>
  <si>
    <t>[7]**</t>
  </si>
  <si>
    <t>* Historical allocations</t>
  </si>
  <si>
    <t>7.5 to 6.3</t>
  </si>
  <si>
    <t>As Percent of Total Shortage</t>
  </si>
  <si>
    <t>Share of Lake Mead Inflow (maf per year)</t>
  </si>
  <si>
    <t>Lake Mead Inflow (maf per year) [B]</t>
  </si>
  <si>
    <t>Percentage of Lake Mead Inflow</t>
  </si>
  <si>
    <t>** If percentage shares of total shortages for 0.3 to 1.5 maf per year are continue to total shortages for 1.5 to 2.7 maf per year.</t>
  </si>
  <si>
    <t>Lake Mead withdraws (Consumptive</t>
  </si>
  <si>
    <t>Recent Lake Mead Withdraws (Consumptive Use)</t>
  </si>
  <si>
    <t>Recent Lake Mead Withdraws are calculated as the user's historical allocation minus their water conservation account deposit</t>
  </si>
  <si>
    <t>Withdraws</t>
  </si>
  <si>
    <t>Recent Lake Mead user withdrawals calculated as historical allocation minus Water Conservation Account credit.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</si>
</sst>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0.0%"/>
    <numFmt numFmtId="167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2" fillId="2" borderId="1" xfId="0" applyFont="1" applyFill="1" applyBorder="1"/>
    <xf numFmtId="164" fontId="2" fillId="2" borderId="1" xfId="1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1" applyNumberFormat="1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3" borderId="0" xfId="0" applyFont="1" applyFill="1"/>
    <xf numFmtId="0" fontId="0" fillId="2" borderId="0" xfId="0" applyFill="1" applyAlignment="1">
      <alignment horizontal="center"/>
    </xf>
    <xf numFmtId="164" fontId="2" fillId="0" borderId="0" xfId="1" applyNumberFormat="1" applyFont="1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0" applyFont="1"/>
    <xf numFmtId="164" fontId="3" fillId="0" borderId="1" xfId="1" applyNumberFormat="1" applyFont="1" applyBorder="1"/>
    <xf numFmtId="164" fontId="3" fillId="0" borderId="1" xfId="1" applyNumberFormat="1" applyFont="1" applyBorder="1" applyAlignment="1">
      <alignment vertical="top" wrapText="1"/>
    </xf>
    <xf numFmtId="164" fontId="3" fillId="0" borderId="1" xfId="0" applyNumberFormat="1" applyFont="1" applyBorder="1"/>
    <xf numFmtId="0" fontId="4" fillId="2" borderId="1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/>
    <xf numFmtId="2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6" fontId="0" fillId="0" borderId="1" xfId="0" applyNumberFormat="1" applyBorder="1" applyAlignment="1">
      <alignment horizontal="center" vertical="top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165" fontId="0" fillId="0" borderId="1" xfId="0" applyNumberForma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 applyAlignment="1">
      <alignment horizontal="center"/>
    </xf>
    <xf numFmtId="166" fontId="5" fillId="0" borderId="1" xfId="2" applyNumberFormat="1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0" fontId="5" fillId="0" borderId="1" xfId="2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/>
    </xf>
    <xf numFmtId="167" fontId="5" fillId="0" borderId="1" xfId="0" applyNumberFormat="1" applyFont="1" applyBorder="1" applyAlignment="1">
      <alignment horizontal="center" vertical="top"/>
    </xf>
    <xf numFmtId="2" fontId="5" fillId="0" borderId="1" xfId="0" applyNumberFormat="1" applyFont="1" applyBorder="1" applyAlignment="1">
      <alignment horizontal="center" vertical="top"/>
    </xf>
    <xf numFmtId="166" fontId="5" fillId="0" borderId="1" xfId="2" applyNumberFormat="1" applyFont="1" applyBorder="1" applyAlignment="1">
      <alignment horizontal="center" vertical="top"/>
    </xf>
    <xf numFmtId="167" fontId="5" fillId="0" borderId="1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66" fontId="5" fillId="0" borderId="0" xfId="2" applyNumberFormat="1" applyFont="1" applyBorder="1" applyAlignment="1">
      <alignment horizontal="center" vertical="top"/>
    </xf>
    <xf numFmtId="0" fontId="7" fillId="0" borderId="0" xfId="0" applyFont="1" applyAlignment="1">
      <alignment horizontal="left" vertical="top"/>
    </xf>
    <xf numFmtId="166" fontId="5" fillId="0" borderId="1" xfId="0" applyNumberFormat="1" applyFont="1" applyBorder="1" applyAlignment="1">
      <alignment horizontal="center" vertical="top"/>
    </xf>
    <xf numFmtId="166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/>
    </xf>
    <xf numFmtId="0" fontId="7" fillId="0" borderId="7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9" fontId="5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167" fontId="5" fillId="0" borderId="2" xfId="0" applyNumberFormat="1" applyFont="1" applyBorder="1" applyAlignment="1">
      <alignment horizontal="center"/>
    </xf>
    <xf numFmtId="167" fontId="5" fillId="0" borderId="5" xfId="0" applyNumberFormat="1" applyFont="1" applyBorder="1" applyAlignment="1">
      <alignment horizontal="center"/>
    </xf>
    <xf numFmtId="167" fontId="5" fillId="0" borderId="3" xfId="0" applyNumberFormat="1" applyFont="1" applyBorder="1" applyAlignment="1">
      <alignment horizont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40DB-DC1D-4720-8967-8C163BD4DD2C}">
  <dimension ref="A1:C18"/>
  <sheetViews>
    <sheetView tabSelected="1" zoomScale="170" zoomScaleNormal="170" workbookViewId="0">
      <selection activeCell="C13" sqref="C13"/>
    </sheetView>
  </sheetViews>
  <sheetFormatPr defaultRowHeight="14.5" x14ac:dyDescent="0.35"/>
  <cols>
    <col min="1" max="1" width="3.453125" customWidth="1"/>
    <col min="2" max="2" width="12.453125" customWidth="1"/>
    <col min="3" max="3" width="46.81640625" customWidth="1"/>
  </cols>
  <sheetData>
    <row r="1" spans="1:3" s="1" customFormat="1" x14ac:dyDescent="0.35">
      <c r="A1" s="1" t="s">
        <v>55</v>
      </c>
    </row>
    <row r="2" spans="1:3" s="1" customFormat="1" x14ac:dyDescent="0.35"/>
    <row r="3" spans="1:3" x14ac:dyDescent="0.35">
      <c r="A3" s="1" t="s">
        <v>0</v>
      </c>
      <c r="B3" s="1"/>
    </row>
    <row r="4" spans="1:3" x14ac:dyDescent="0.35">
      <c r="C4" t="s">
        <v>1</v>
      </c>
    </row>
    <row r="5" spans="1:3" x14ac:dyDescent="0.35">
      <c r="C5" t="s">
        <v>12</v>
      </c>
    </row>
    <row r="8" spans="1:3" x14ac:dyDescent="0.35">
      <c r="A8" s="16" t="s">
        <v>56</v>
      </c>
      <c r="B8" s="16"/>
      <c r="C8" s="16" t="s">
        <v>57</v>
      </c>
    </row>
    <row r="9" spans="1:3" x14ac:dyDescent="0.35">
      <c r="A9">
        <v>1</v>
      </c>
      <c r="B9" t="s">
        <v>103</v>
      </c>
      <c r="C9" t="s">
        <v>58</v>
      </c>
    </row>
    <row r="10" spans="1:3" x14ac:dyDescent="0.35">
      <c r="A10">
        <v>2</v>
      </c>
      <c r="B10" t="s">
        <v>104</v>
      </c>
      <c r="C10" t="s">
        <v>61</v>
      </c>
    </row>
    <row r="11" spans="1:3" x14ac:dyDescent="0.35">
      <c r="A11">
        <v>3</v>
      </c>
      <c r="B11" t="s">
        <v>110</v>
      </c>
      <c r="C11" t="s">
        <v>111</v>
      </c>
    </row>
    <row r="12" spans="1:3" x14ac:dyDescent="0.35">
      <c r="A12">
        <v>4</v>
      </c>
      <c r="B12" t="s">
        <v>151</v>
      </c>
      <c r="C12" t="s">
        <v>152</v>
      </c>
    </row>
    <row r="13" spans="1:3" x14ac:dyDescent="0.35">
      <c r="A13">
        <v>5</v>
      </c>
      <c r="B13" t="s">
        <v>105</v>
      </c>
      <c r="C13" t="s">
        <v>59</v>
      </c>
    </row>
    <row r="14" spans="1:3" x14ac:dyDescent="0.35">
      <c r="A14">
        <v>6</v>
      </c>
      <c r="B14" t="s">
        <v>106</v>
      </c>
      <c r="C14" t="s">
        <v>101</v>
      </c>
    </row>
    <row r="15" spans="1:3" x14ac:dyDescent="0.35">
      <c r="A15">
        <v>7</v>
      </c>
      <c r="B15" t="s">
        <v>107</v>
      </c>
      <c r="C15" t="s">
        <v>102</v>
      </c>
    </row>
    <row r="16" spans="1:3" x14ac:dyDescent="0.35">
      <c r="A16">
        <v>8</v>
      </c>
      <c r="B16" t="s">
        <v>112</v>
      </c>
      <c r="C16" t="s">
        <v>113</v>
      </c>
    </row>
    <row r="17" spans="1:3" x14ac:dyDescent="0.35">
      <c r="A17">
        <v>9</v>
      </c>
      <c r="B17" t="s">
        <v>108</v>
      </c>
      <c r="C17" t="s">
        <v>60</v>
      </c>
    </row>
    <row r="18" spans="1:3" x14ac:dyDescent="0.35">
      <c r="A18">
        <v>10</v>
      </c>
      <c r="B18" t="s">
        <v>109</v>
      </c>
      <c r="C1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zoomScale="150" zoomScaleNormal="150" workbookViewId="0">
      <pane xSplit="1" ySplit="1" topLeftCell="B5" activePane="bottomRight" state="frozen"/>
      <selection pane="topRight" activeCell="B1" sqref="B1"/>
      <selection pane="bottomLeft" activeCell="A7" sqref="A7"/>
      <selection pane="bottomRight" activeCell="B13" sqref="B13"/>
    </sheetView>
  </sheetViews>
  <sheetFormatPr defaultRowHeight="14.5" x14ac:dyDescent="0.35"/>
  <cols>
    <col min="1" max="1" width="30.7265625" customWidth="1"/>
    <col min="2" max="2" width="10" customWidth="1"/>
    <col min="3" max="3" width="11" customWidth="1"/>
    <col min="4" max="5" width="10.54296875" customWidth="1"/>
    <col min="6" max="6" width="11.7265625" customWidth="1"/>
    <col min="7" max="7" width="9.1796875" bestFit="1" customWidth="1"/>
    <col min="8" max="8" width="10.81640625" customWidth="1"/>
  </cols>
  <sheetData>
    <row r="1" spans="1:8" s="1" customFormat="1" x14ac:dyDescent="0.35">
      <c r="A1" s="1" t="s">
        <v>2</v>
      </c>
      <c r="B1" s="3" t="s">
        <v>3</v>
      </c>
      <c r="C1" s="3" t="s">
        <v>4</v>
      </c>
      <c r="D1" s="3" t="s">
        <v>5</v>
      </c>
      <c r="E1" s="3" t="s">
        <v>40</v>
      </c>
      <c r="F1" s="3" t="s">
        <v>6</v>
      </c>
      <c r="G1" s="1" t="s">
        <v>23</v>
      </c>
      <c r="H1" s="1" t="s">
        <v>48</v>
      </c>
    </row>
    <row r="2" spans="1:8" s="1" customFormat="1" x14ac:dyDescent="0.35">
      <c r="A2" t="s">
        <v>54</v>
      </c>
      <c r="B2" s="2">
        <v>0</v>
      </c>
      <c r="C2" s="2">
        <v>41398</v>
      </c>
      <c r="D2" s="2">
        <v>0</v>
      </c>
      <c r="E2" s="2">
        <v>0</v>
      </c>
      <c r="F2" s="2">
        <f>SUM(B2:E2)</f>
        <v>41398</v>
      </c>
      <c r="G2" s="10">
        <v>2007</v>
      </c>
      <c r="H2" s="11">
        <f t="shared" ref="H2:H13" si="0">SUM(E2:F2)</f>
        <v>41398</v>
      </c>
    </row>
    <row r="3" spans="1:8" x14ac:dyDescent="0.35">
      <c r="A3" t="s">
        <v>53</v>
      </c>
      <c r="B3" s="2">
        <v>100000</v>
      </c>
      <c r="C3" s="2">
        <f>27573+66000</f>
        <v>93573</v>
      </c>
      <c r="D3" s="2">
        <v>400000</v>
      </c>
      <c r="E3" s="2">
        <v>0</v>
      </c>
      <c r="F3" s="2">
        <f t="shared" ref="F3:F18" si="1">SUM(B3:D3)</f>
        <v>593573</v>
      </c>
      <c r="G3" s="10">
        <v>2008</v>
      </c>
      <c r="H3" s="11">
        <f t="shared" si="0"/>
        <v>593573</v>
      </c>
    </row>
    <row r="4" spans="1:8" x14ac:dyDescent="0.35">
      <c r="A4" t="s">
        <v>52</v>
      </c>
      <c r="B4" s="2">
        <v>100000</v>
      </c>
      <c r="C4" s="2">
        <f>79790+66000+11400</f>
        <v>157190</v>
      </c>
      <c r="D4" s="2">
        <v>400000</v>
      </c>
      <c r="E4" s="2">
        <v>0</v>
      </c>
      <c r="F4" s="2">
        <f t="shared" si="1"/>
        <v>657190</v>
      </c>
      <c r="G4" s="10">
        <v>2009</v>
      </c>
      <c r="H4" s="11">
        <f t="shared" si="0"/>
        <v>657190</v>
      </c>
    </row>
    <row r="5" spans="1:8" x14ac:dyDescent="0.35">
      <c r="A5" t="s">
        <v>28</v>
      </c>
      <c r="B5" s="2">
        <v>102094</v>
      </c>
      <c r="C5" s="2">
        <v>261990</v>
      </c>
      <c r="D5" s="2">
        <v>451257</v>
      </c>
      <c r="E5" s="2">
        <v>0</v>
      </c>
      <c r="F5" s="2">
        <f>SUM(B5:E5)</f>
        <v>815341</v>
      </c>
      <c r="G5" s="10">
        <v>2010</v>
      </c>
      <c r="H5" s="11">
        <f t="shared" si="0"/>
        <v>815341</v>
      </c>
    </row>
    <row r="6" spans="1:8" s="1" customFormat="1" x14ac:dyDescent="0.35">
      <c r="A6" t="s">
        <v>27</v>
      </c>
      <c r="B6" s="2">
        <f>SUMIFS('By User'!$D$2:$D$43,'By User'!$A$2:$A$43,Balances!$G6,'By User'!$C$2:$C$43,Balances!B$1)</f>
        <v>103050</v>
      </c>
      <c r="C6" s="2">
        <f>SUMIFS('By User'!$D$2:$D$43,'By User'!$A$2:$A$43,Balances!$G6,'By User'!$C$2:$C$43,Balances!C$1)</f>
        <v>440678</v>
      </c>
      <c r="D6" s="2">
        <f>SUMIFS('By User'!$D$2:$D$43,'By User'!$A$2:$A$43,Balances!$G6,'By User'!$C$2:$C$43,Balances!D$1)</f>
        <v>482672</v>
      </c>
      <c r="E6" s="2">
        <f>SUMIFS('By User'!$D$2:$D$43,'By User'!$A$2:$A$43,Balances!$G6,'By User'!$C$2:$C$43,Balances!E$1)</f>
        <v>0</v>
      </c>
      <c r="F6" s="2">
        <f t="shared" si="1"/>
        <v>1026400</v>
      </c>
      <c r="G6" s="10">
        <v>2011</v>
      </c>
      <c r="H6" s="11">
        <f t="shared" si="0"/>
        <v>1026400</v>
      </c>
    </row>
    <row r="7" spans="1:8" s="1" customFormat="1" x14ac:dyDescent="0.35">
      <c r="A7" t="s">
        <v>26</v>
      </c>
      <c r="B7" s="2">
        <f>SUMIFS('By User'!$D$2:$D$43,'By User'!$A$2:$A$43,Balances!$G7,'By User'!$C$2:$C$43,Balances!B$1)</f>
        <v>103050</v>
      </c>
      <c r="C7" s="2">
        <f>SUMIFS('By User'!$D$2:$D$43,'By User'!$A$2:$A$43,Balances!$G7,'By User'!$C$2:$C$43,Balances!C$1)</f>
        <v>579786</v>
      </c>
      <c r="D7" s="2">
        <f>SUMIFS('By User'!$D$2:$D$43,'By User'!$A$2:$A$43,Balances!$G7,'By User'!$C$2:$C$43,Balances!D$1)</f>
        <v>512804</v>
      </c>
      <c r="E7" s="2">
        <f>SUMIFS('By User'!$D$2:$D$43,'By User'!$A$2:$A$43,Balances!$G7,'By User'!$C$2:$C$43,Balances!E$1)</f>
        <v>0</v>
      </c>
      <c r="F7" s="2">
        <f t="shared" si="1"/>
        <v>1195640</v>
      </c>
      <c r="G7" s="10">
        <v>2012</v>
      </c>
      <c r="H7" s="11">
        <f t="shared" si="0"/>
        <v>1195640</v>
      </c>
    </row>
    <row r="8" spans="1:8" x14ac:dyDescent="0.35">
      <c r="A8" t="s">
        <v>25</v>
      </c>
      <c r="B8" s="2">
        <f>SUMIFS('By User'!$D$2:$D$43,'By User'!$A$2:$A$43,Balances!$G8,'By User'!$C$2:$C$43,Balances!B$1)</f>
        <v>103050</v>
      </c>
      <c r="C8" s="2">
        <f>SUMIFS('By User'!$D$2:$D$43,'By User'!$A$2:$A$43,Balances!$G8,'By User'!$C$2:$C$43,Balances!C$1)</f>
        <v>474063</v>
      </c>
      <c r="D8" s="2">
        <f>SUMIFS('By User'!$D$2:$D$43,'By User'!$A$2:$A$43,Balances!$G8,'By User'!$C$2:$C$43,Balances!D$1)</f>
        <v>541051</v>
      </c>
      <c r="E8" s="2">
        <f>SUMIFS('By User'!$D$2:$D$43,'By User'!$A$2:$A$43,Balances!$G8,'By User'!$C$2:$C$43,Balances!E$1)</f>
        <v>0</v>
      </c>
      <c r="F8" s="2">
        <f t="shared" si="1"/>
        <v>1118164</v>
      </c>
      <c r="G8" s="10">
        <v>2013</v>
      </c>
      <c r="H8" s="11">
        <f t="shared" si="0"/>
        <v>1118164</v>
      </c>
    </row>
    <row r="9" spans="1:8" x14ac:dyDescent="0.35">
      <c r="A9" t="s">
        <v>24</v>
      </c>
      <c r="B9" s="2">
        <f>SUMIFS('By User'!$D$2:$D$43,'By User'!$A$2:$A$43,Balances!$G9,'By User'!$C$2:$C$43,Balances!B$1)</f>
        <v>103050</v>
      </c>
      <c r="C9" s="2">
        <f>SUMIFS('By User'!$D$2:$D$43,'By User'!$A$2:$A$43,Balances!$G9,'By User'!$C$2:$C$43,Balances!C$1)</f>
        <v>169085</v>
      </c>
      <c r="D9" s="2">
        <f>SUMIFS('By User'!$D$2:$D$43,'By User'!$A$2:$A$43,Balances!$G9,'By User'!$C$2:$C$43,Balances!D$1)</f>
        <v>564765</v>
      </c>
      <c r="E9" s="2">
        <f>SUMIFS('By User'!$D$2:$D$43,'By User'!$A$2:$A$43,Balances!$G9,'By User'!$C$2:$C$43,Balances!E$1)</f>
        <v>0</v>
      </c>
      <c r="F9" s="2">
        <f t="shared" si="1"/>
        <v>836900</v>
      </c>
      <c r="G9" s="10">
        <v>2014</v>
      </c>
      <c r="H9" s="11">
        <f t="shared" si="0"/>
        <v>836900</v>
      </c>
    </row>
    <row r="10" spans="1:8" x14ac:dyDescent="0.35">
      <c r="A10" t="s">
        <v>14</v>
      </c>
      <c r="B10" s="2">
        <f>SUMIFS('By User'!$D$2:$D$43,'By User'!$A$2:$A$43,Balances!$G10,'By User'!$C$2:$C$43,Balances!B$1)</f>
        <v>103050</v>
      </c>
      <c r="C10" s="2">
        <f>SUMIFS('By User'!$D$2:$D$43,'By User'!$A$2:$A$43,Balances!$G10,'By User'!$C$2:$C$43,Balances!C$1)</f>
        <v>97791</v>
      </c>
      <c r="D10" s="2">
        <f>SUMIFS('By User'!$D$2:$D$43,'By User'!$A$2:$A$43,Balances!$G10,'By User'!$C$2:$C$43,Balances!D$1)</f>
        <v>511023</v>
      </c>
      <c r="E10" s="2">
        <f>SUMIFS('By User'!$D$2:$D$43,'By User'!$A$2:$A$43,Balances!$G10,'By User'!$C$2:$C$43,Balances!E$1)</f>
        <v>0</v>
      </c>
      <c r="F10" s="2">
        <f t="shared" si="1"/>
        <v>711864</v>
      </c>
      <c r="G10" s="10">
        <v>2015</v>
      </c>
      <c r="H10" s="11">
        <f t="shared" si="0"/>
        <v>711864</v>
      </c>
    </row>
    <row r="11" spans="1:8" x14ac:dyDescent="0.35">
      <c r="A11" t="s">
        <v>13</v>
      </c>
      <c r="B11" s="2">
        <f>SUMIFS('By User'!$D$2:$D$43,'By User'!$A$2:$A$43,Balances!$G11,'By User'!$C$2:$C$43,Balances!B$1)</f>
        <v>103050</v>
      </c>
      <c r="C11" s="2">
        <f>SUMIFS('By User'!$D$2:$D$43,'By User'!$A$2:$A$43,Balances!$G11,'By User'!$C$2:$C$43,Balances!C$1)</f>
        <v>115066</v>
      </c>
      <c r="D11" s="2">
        <f>SUMIFS('By User'!$D$2:$D$43,'By User'!$A$2:$A$43,Balances!$G11,'By User'!$C$2:$C$43,Balances!D$1)</f>
        <v>531562</v>
      </c>
      <c r="E11" s="2">
        <f>SUMIFS('By User'!$D$2:$D$43,'By User'!$A$2:$A$43,Balances!$G11,'By User'!$C$2:$C$43,Balances!E$1)</f>
        <v>0</v>
      </c>
      <c r="F11" s="2">
        <f t="shared" si="1"/>
        <v>749678</v>
      </c>
      <c r="G11" s="10">
        <v>2016</v>
      </c>
      <c r="H11" s="11">
        <f t="shared" si="0"/>
        <v>749678</v>
      </c>
    </row>
    <row r="12" spans="1:8" x14ac:dyDescent="0.35">
      <c r="A12" t="s">
        <v>7</v>
      </c>
      <c r="B12" s="2">
        <f>SUMIFS('By User'!$D$2:$D$43,'By User'!$A$2:$A$43,Balances!$G12,'By User'!$C$2:$C$43,Balances!B$1)</f>
        <v>126800</v>
      </c>
      <c r="C12" s="2">
        <f>SUMIFS('By User'!$D$2:$D$43,'By User'!$A$2:$A$43,Balances!$G12,'By User'!$C$2:$C$43,Balances!C$1)</f>
        <v>552378</v>
      </c>
      <c r="D12" s="2">
        <f>SUMIFS('By User'!$D$2:$D$43,'By User'!$A$2:$A$43,Balances!$G12,'By User'!$C$2:$C$43,Balances!D$1)</f>
        <v>582313</v>
      </c>
      <c r="E12" s="2">
        <f>SUMIFS('By User'!$D$2:$D$43,'By User'!$A$2:$A$43,Balances!$G12,'By User'!$C$2:$C$43,Balances!E$1)</f>
        <v>0</v>
      </c>
      <c r="F12" s="2">
        <f t="shared" si="1"/>
        <v>1261491</v>
      </c>
      <c r="G12" s="10">
        <v>2017</v>
      </c>
      <c r="H12" s="11">
        <f t="shared" si="0"/>
        <v>1261491</v>
      </c>
    </row>
    <row r="13" spans="1:8" x14ac:dyDescent="0.35">
      <c r="A13" t="s">
        <v>21</v>
      </c>
      <c r="B13" s="2">
        <f>SUMIFS('By User'!$D$2:$D$43,'By User'!$A$2:$A$43,Balances!$G13,'By User'!$C$2:$C$43,Balances!B$1)</f>
        <v>343052</v>
      </c>
      <c r="C13" s="2">
        <f>SUMIFS('By User'!$D$2:$D$43,'By User'!$A$2:$A$43,Balances!$G13,'By User'!$C$2:$C$43,Balances!C$1)</f>
        <v>698432</v>
      </c>
      <c r="D13" s="2">
        <f>SUMIFS('By User'!$D$2:$D$43,'By User'!$A$2:$A$43,Balances!$G13,'By User'!$C$2:$C$43,Balances!D$1)</f>
        <v>700448</v>
      </c>
      <c r="E13" s="2">
        <f>SUMIFS('By User'!$D$2:$D$43,'By User'!$A$2:$A$43,Balances!$G13,'By User'!$C$2:$C$43,Balances!E$1)</f>
        <v>0</v>
      </c>
      <c r="F13" s="2">
        <f t="shared" si="1"/>
        <v>1741932</v>
      </c>
      <c r="G13" s="9">
        <v>2018</v>
      </c>
      <c r="H13" s="11">
        <f t="shared" si="0"/>
        <v>1741932</v>
      </c>
    </row>
    <row r="14" spans="1:8" x14ac:dyDescent="0.35">
      <c r="A14" t="s">
        <v>38</v>
      </c>
      <c r="B14" s="2">
        <f>SUMIFS('By User'!$D$2:$D$43,'By User'!$A$2:$A$43,Balances!$G14,'By User'!$C$2:$C$43,Balances!B$1)</f>
        <v>473504</v>
      </c>
      <c r="C14" s="2">
        <f>SUMIFS('By User'!$D$2:$D$43,'By User'!$A$2:$A$43,Balances!$G14,'By User'!$C$2:$C$43,Balances!C$1)</f>
        <v>1053210</v>
      </c>
      <c r="D14" s="2">
        <f>SUMIFS('By User'!$D$2:$D$43,'By User'!$A$2:$A$43,Balances!$G14,'By User'!$C$2:$C$43,Balances!D$1)</f>
        <v>785913</v>
      </c>
      <c r="E14" s="2">
        <v>132975</v>
      </c>
      <c r="F14" s="2">
        <f t="shared" si="1"/>
        <v>2312627</v>
      </c>
      <c r="G14" s="12">
        <v>2019</v>
      </c>
      <c r="H14" s="11">
        <f>SUM(E14:F14)</f>
        <v>2445602</v>
      </c>
    </row>
    <row r="15" spans="1:8" x14ac:dyDescent="0.35">
      <c r="A15" t="s">
        <v>39</v>
      </c>
      <c r="B15" s="13">
        <v>598742</v>
      </c>
      <c r="C15" s="13">
        <v>1375871</v>
      </c>
      <c r="D15" s="13">
        <v>865741</v>
      </c>
      <c r="E15" s="13">
        <f>E14+41000</f>
        <v>173975</v>
      </c>
      <c r="F15" s="2">
        <f t="shared" si="1"/>
        <v>2840354</v>
      </c>
      <c r="G15" s="14">
        <v>2020</v>
      </c>
      <c r="H15" s="11">
        <f>SUM(E15:F15)</f>
        <v>3014329</v>
      </c>
    </row>
    <row r="16" spans="1:8" x14ac:dyDescent="0.35">
      <c r="A16" t="s">
        <v>49</v>
      </c>
      <c r="B16" s="13">
        <v>684201</v>
      </c>
      <c r="C16" s="13">
        <v>1357085</v>
      </c>
      <c r="D16" s="13">
        <v>949658</v>
      </c>
      <c r="E16" s="13">
        <f>E15+41000</f>
        <v>214975</v>
      </c>
      <c r="F16" s="2">
        <f t="shared" si="1"/>
        <v>2990944</v>
      </c>
      <c r="G16" s="14">
        <v>2021</v>
      </c>
      <c r="H16" s="11">
        <f>SUM(E16:F16)</f>
        <v>3205919</v>
      </c>
    </row>
    <row r="17" spans="1:8" x14ac:dyDescent="0.35">
      <c r="A17" t="s">
        <v>50</v>
      </c>
      <c r="B17" s="13">
        <v>753423</v>
      </c>
      <c r="C17" s="13">
        <v>1245693</v>
      </c>
      <c r="D17" s="13">
        <v>1038765</v>
      </c>
      <c r="E17" s="13">
        <f>30000+E16</f>
        <v>244975</v>
      </c>
      <c r="F17" s="2">
        <f t="shared" si="1"/>
        <v>3037881</v>
      </c>
      <c r="G17" s="14">
        <v>2022</v>
      </c>
      <c r="H17" s="11">
        <f>SUM(E17:F17)</f>
        <v>3282856</v>
      </c>
    </row>
    <row r="18" spans="1:8" x14ac:dyDescent="0.35">
      <c r="A18" t="s">
        <v>51</v>
      </c>
      <c r="B18" s="18">
        <v>710589</v>
      </c>
      <c r="C18" s="18">
        <v>1661832</v>
      </c>
      <c r="D18" s="18">
        <v>955543</v>
      </c>
      <c r="E18" s="15">
        <f>E17-34000</f>
        <v>210975</v>
      </c>
      <c r="F18" s="2">
        <f t="shared" si="1"/>
        <v>3327964</v>
      </c>
      <c r="G18" s="12">
        <v>2023</v>
      </c>
      <c r="H18" s="11">
        <f>SUM(E18:F18)</f>
        <v>3538939</v>
      </c>
    </row>
  </sheetData>
  <sortState xmlns:xlrd2="http://schemas.microsoft.com/office/spreadsheetml/2017/richdata2" ref="A2:H18">
    <sortCondition ref="G2:G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52AE-E84E-4682-A6B7-6BBA39D2CE31}">
  <dimension ref="A1:F18"/>
  <sheetViews>
    <sheetView zoomScale="150" zoomScaleNormal="150" workbookViewId="0">
      <selection activeCell="G1" sqref="G1:H1048576"/>
    </sheetView>
  </sheetViews>
  <sheetFormatPr defaultRowHeight="14.5" x14ac:dyDescent="0.35"/>
  <cols>
    <col min="1" max="1" width="8.7265625" style="12"/>
    <col min="2" max="2" width="11.7265625" style="12" bestFit="1" customWidth="1"/>
    <col min="3" max="3" width="11.1796875" style="12" bestFit="1" customWidth="1"/>
    <col min="4" max="4" width="11.7265625" style="12" bestFit="1" customWidth="1"/>
    <col min="5" max="6" width="11.1796875" style="12" bestFit="1" customWidth="1"/>
  </cols>
  <sheetData>
    <row r="1" spans="1:6" x14ac:dyDescent="0.35">
      <c r="A1" s="17" t="str" cm="1">
        <f t="array" ref="A1">Balances!G1:G1</f>
        <v>Year</v>
      </c>
      <c r="B1" s="17" t="s">
        <v>6</v>
      </c>
      <c r="C1" s="17" t="s">
        <v>3</v>
      </c>
      <c r="D1" s="17" t="s">
        <v>4</v>
      </c>
      <c r="E1" s="17" t="s">
        <v>5</v>
      </c>
      <c r="F1" s="17" t="s">
        <v>40</v>
      </c>
    </row>
    <row r="2" spans="1:6" x14ac:dyDescent="0.35">
      <c r="A2" s="12">
        <f>Balances!G2</f>
        <v>2007</v>
      </c>
      <c r="B2" s="13">
        <f>SUM(C2:F2)</f>
        <v>41398</v>
      </c>
      <c r="C2" s="13">
        <f>Balances!B2</f>
        <v>0</v>
      </c>
      <c r="D2" s="13">
        <f>Balances!C2</f>
        <v>41398</v>
      </c>
      <c r="E2" s="13">
        <f>Balances!D2</f>
        <v>0</v>
      </c>
      <c r="F2" s="13">
        <f>Balances!E3-Balances!E2</f>
        <v>0</v>
      </c>
    </row>
    <row r="3" spans="1:6" x14ac:dyDescent="0.35">
      <c r="A3" s="12">
        <f>Balances!G3</f>
        <v>2008</v>
      </c>
      <c r="B3" s="13">
        <f t="shared" ref="B3:B18" si="0">SUM(C3:F3)</f>
        <v>552175</v>
      </c>
      <c r="C3" s="13">
        <f>Balances!B3-Balances!B2</f>
        <v>100000</v>
      </c>
      <c r="D3" s="13">
        <f>Balances!C3-Balances!C2</f>
        <v>52175</v>
      </c>
      <c r="E3" s="13">
        <f>Balances!D3-Balances!D2</f>
        <v>400000</v>
      </c>
      <c r="F3" s="13">
        <f>Balances!E3-Balances!E2</f>
        <v>0</v>
      </c>
    </row>
    <row r="4" spans="1:6" x14ac:dyDescent="0.35">
      <c r="A4" s="12">
        <f>Balances!G4</f>
        <v>2009</v>
      </c>
      <c r="B4" s="13">
        <f t="shared" si="0"/>
        <v>63617</v>
      </c>
      <c r="C4" s="13">
        <f>Balances!B4-Balances!B3</f>
        <v>0</v>
      </c>
      <c r="D4" s="13">
        <f>Balances!C4-Balances!C3</f>
        <v>63617</v>
      </c>
      <c r="E4" s="13">
        <f>Balances!D4-Balances!D3</f>
        <v>0</v>
      </c>
      <c r="F4" s="13">
        <f>Balances!E4-Balances!E3</f>
        <v>0</v>
      </c>
    </row>
    <row r="5" spans="1:6" x14ac:dyDescent="0.35">
      <c r="A5" s="12">
        <f>Balances!G5</f>
        <v>2010</v>
      </c>
      <c r="B5" s="13">
        <f t="shared" si="0"/>
        <v>158151</v>
      </c>
      <c r="C5" s="13">
        <f>Balances!B5-Balances!B4</f>
        <v>2094</v>
      </c>
      <c r="D5" s="13">
        <f>Balances!C5-Balances!C4</f>
        <v>104800</v>
      </c>
      <c r="E5" s="13">
        <f>Balances!D5-Balances!D4</f>
        <v>51257</v>
      </c>
      <c r="F5" s="13">
        <f>Balances!E5-Balances!E4</f>
        <v>0</v>
      </c>
    </row>
    <row r="6" spans="1:6" x14ac:dyDescent="0.35">
      <c r="A6" s="12">
        <f>Balances!G6</f>
        <v>2011</v>
      </c>
      <c r="B6" s="13">
        <f t="shared" si="0"/>
        <v>211059</v>
      </c>
      <c r="C6" s="13">
        <f>Balances!B6-Balances!B5</f>
        <v>956</v>
      </c>
      <c r="D6" s="13">
        <f>Balances!C6-Balances!C5</f>
        <v>178688</v>
      </c>
      <c r="E6" s="13">
        <f>Balances!D6-Balances!D5</f>
        <v>31415</v>
      </c>
      <c r="F6" s="13">
        <f>Balances!E6-Balances!E5</f>
        <v>0</v>
      </c>
    </row>
    <row r="7" spans="1:6" x14ac:dyDescent="0.35">
      <c r="A7" s="12">
        <f>Balances!G7</f>
        <v>2012</v>
      </c>
      <c r="B7" s="13">
        <f t="shared" si="0"/>
        <v>169240</v>
      </c>
      <c r="C7" s="13">
        <f>Balances!B7-Balances!B6</f>
        <v>0</v>
      </c>
      <c r="D7" s="13">
        <f>Balances!C7-Balances!C6</f>
        <v>139108</v>
      </c>
      <c r="E7" s="13">
        <f>Balances!D7-Balances!D6</f>
        <v>30132</v>
      </c>
      <c r="F7" s="13">
        <f>Balances!E7-Balances!E6</f>
        <v>0</v>
      </c>
    </row>
    <row r="8" spans="1:6" x14ac:dyDescent="0.35">
      <c r="A8" s="12">
        <f>Balances!G8</f>
        <v>2013</v>
      </c>
      <c r="B8" s="13">
        <f t="shared" si="0"/>
        <v>-77476</v>
      </c>
      <c r="C8" s="13">
        <f>Balances!B8-Balances!B7</f>
        <v>0</v>
      </c>
      <c r="D8" s="13">
        <f>Balances!C8-Balances!C7</f>
        <v>-105723</v>
      </c>
      <c r="E8" s="13">
        <f>Balances!D8-Balances!D7</f>
        <v>28247</v>
      </c>
      <c r="F8" s="13">
        <f>Balances!E8-Balances!E7</f>
        <v>0</v>
      </c>
    </row>
    <row r="9" spans="1:6" x14ac:dyDescent="0.35">
      <c r="A9" s="12">
        <f>Balances!G9</f>
        <v>2014</v>
      </c>
      <c r="B9" s="13">
        <f t="shared" si="0"/>
        <v>-281264</v>
      </c>
      <c r="C9" s="13">
        <f>Balances!B9-Balances!B8</f>
        <v>0</v>
      </c>
      <c r="D9" s="13">
        <f>Balances!C9-Balances!C8</f>
        <v>-304978</v>
      </c>
      <c r="E9" s="13">
        <f>Balances!D9-Balances!D8</f>
        <v>23714</v>
      </c>
      <c r="F9" s="13">
        <f>Balances!E9-Balances!E8</f>
        <v>0</v>
      </c>
    </row>
    <row r="10" spans="1:6" x14ac:dyDescent="0.35">
      <c r="A10" s="12">
        <f>Balances!G10</f>
        <v>2015</v>
      </c>
      <c r="B10" s="13">
        <f t="shared" si="0"/>
        <v>-125036</v>
      </c>
      <c r="C10" s="13">
        <f>Balances!B10-Balances!B9</f>
        <v>0</v>
      </c>
      <c r="D10" s="13">
        <f>Balances!C10-Balances!C9</f>
        <v>-71294</v>
      </c>
      <c r="E10" s="13">
        <f>Balances!D10-Balances!D9</f>
        <v>-53742</v>
      </c>
      <c r="F10" s="13">
        <f>Balances!E10-Balances!E9</f>
        <v>0</v>
      </c>
    </row>
    <row r="11" spans="1:6" x14ac:dyDescent="0.35">
      <c r="A11" s="12">
        <f>Balances!G11</f>
        <v>2016</v>
      </c>
      <c r="B11" s="13">
        <f t="shared" si="0"/>
        <v>37814</v>
      </c>
      <c r="C11" s="13">
        <f>Balances!B11-Balances!B10</f>
        <v>0</v>
      </c>
      <c r="D11" s="13">
        <f>Balances!C11-Balances!C10</f>
        <v>17275</v>
      </c>
      <c r="E11" s="13">
        <f>Balances!D11-Balances!D10</f>
        <v>20539</v>
      </c>
      <c r="F11" s="13">
        <f>Balances!E11-Balances!E10</f>
        <v>0</v>
      </c>
    </row>
    <row r="12" spans="1:6" x14ac:dyDescent="0.35">
      <c r="A12" s="12">
        <f>Balances!G12</f>
        <v>2017</v>
      </c>
      <c r="B12" s="13">
        <f t="shared" si="0"/>
        <v>511813</v>
      </c>
      <c r="C12" s="13">
        <f>Balances!B12-Balances!B11</f>
        <v>23750</v>
      </c>
      <c r="D12" s="13">
        <f>Balances!C12-Balances!C11</f>
        <v>437312</v>
      </c>
      <c r="E12" s="13">
        <f>Balances!D12-Balances!D11</f>
        <v>50751</v>
      </c>
      <c r="F12" s="13">
        <f>Balances!E12-Balances!E11</f>
        <v>0</v>
      </c>
    </row>
    <row r="13" spans="1:6" x14ac:dyDescent="0.35">
      <c r="A13" s="12">
        <f>Balances!G13</f>
        <v>2018</v>
      </c>
      <c r="B13" s="13">
        <f t="shared" si="0"/>
        <v>480441</v>
      </c>
      <c r="C13" s="13">
        <f>Balances!B13-Balances!B12</f>
        <v>216252</v>
      </c>
      <c r="D13" s="13">
        <f>Balances!C13-Balances!C12</f>
        <v>146054</v>
      </c>
      <c r="E13" s="13">
        <f>Balances!D13-Balances!D12</f>
        <v>118135</v>
      </c>
      <c r="F13" s="13">
        <f>Balances!E13-Balances!E12</f>
        <v>0</v>
      </c>
    </row>
    <row r="14" spans="1:6" x14ac:dyDescent="0.35">
      <c r="A14" s="12">
        <f>Balances!G14</f>
        <v>2019</v>
      </c>
      <c r="B14" s="13">
        <f t="shared" si="0"/>
        <v>703670</v>
      </c>
      <c r="C14" s="13">
        <f>Balances!B14-Balances!B13</f>
        <v>130452</v>
      </c>
      <c r="D14" s="13">
        <f>Balances!C14-Balances!C13</f>
        <v>354778</v>
      </c>
      <c r="E14" s="13">
        <f>Balances!D14-Balances!D13</f>
        <v>85465</v>
      </c>
      <c r="F14" s="13">
        <f>Balances!E14-Balances!E13</f>
        <v>132975</v>
      </c>
    </row>
    <row r="15" spans="1:6" x14ac:dyDescent="0.35">
      <c r="A15" s="12">
        <f>Balances!G15</f>
        <v>2020</v>
      </c>
      <c r="B15" s="13">
        <f t="shared" si="0"/>
        <v>568727</v>
      </c>
      <c r="C15" s="13">
        <f>Balances!B15-Balances!B14</f>
        <v>125238</v>
      </c>
      <c r="D15" s="13">
        <f>Balances!C15-Balances!C14</f>
        <v>322661</v>
      </c>
      <c r="E15" s="13">
        <f>Balances!D15-Balances!D14</f>
        <v>79828</v>
      </c>
      <c r="F15" s="13">
        <f>Balances!E15-Balances!E14</f>
        <v>41000</v>
      </c>
    </row>
    <row r="16" spans="1:6" x14ac:dyDescent="0.35">
      <c r="A16" s="12">
        <f>Balances!G16</f>
        <v>2021</v>
      </c>
      <c r="B16" s="13">
        <f t="shared" si="0"/>
        <v>191590</v>
      </c>
      <c r="C16" s="13">
        <f>Balances!B16-Balances!B15</f>
        <v>85459</v>
      </c>
      <c r="D16" s="13">
        <f>Balances!C16-Balances!C15</f>
        <v>-18786</v>
      </c>
      <c r="E16" s="13">
        <f>Balances!D16-Balances!D15</f>
        <v>83917</v>
      </c>
      <c r="F16" s="13">
        <f>Balances!E16-Balances!E15</f>
        <v>41000</v>
      </c>
    </row>
    <row r="17" spans="1:6" x14ac:dyDescent="0.35">
      <c r="A17" s="12">
        <f>Balances!G17</f>
        <v>2022</v>
      </c>
      <c r="B17" s="13">
        <f t="shared" si="0"/>
        <v>76937</v>
      </c>
      <c r="C17" s="13">
        <f>Balances!B17-Balances!B16</f>
        <v>69222</v>
      </c>
      <c r="D17" s="13">
        <f>Balances!C17-Balances!C16</f>
        <v>-111392</v>
      </c>
      <c r="E17" s="13">
        <f>Balances!D17-Balances!D16</f>
        <v>89107</v>
      </c>
      <c r="F17" s="13">
        <f>Balances!E17-Balances!E16</f>
        <v>30000</v>
      </c>
    </row>
    <row r="18" spans="1:6" x14ac:dyDescent="0.35">
      <c r="A18" s="12">
        <f>Balances!G18</f>
        <v>2023</v>
      </c>
      <c r="B18" s="13">
        <f t="shared" si="0"/>
        <v>256083</v>
      </c>
      <c r="C18" s="13">
        <f>Balances!B18-Balances!B17</f>
        <v>-42834</v>
      </c>
      <c r="D18" s="13">
        <f>Balances!C18-Balances!C17</f>
        <v>416139</v>
      </c>
      <c r="E18" s="13">
        <f>Balances!D18-Balances!D17</f>
        <v>-83222</v>
      </c>
      <c r="F18" s="13">
        <f>Balances!E18-Balances!E17</f>
        <v>-34000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6C2E-A96D-4A95-ACC7-907DE46CB0E8}">
  <dimension ref="A1:E21"/>
  <sheetViews>
    <sheetView zoomScale="150" zoomScaleNormal="150" workbookViewId="0">
      <selection activeCell="E2" sqref="E2"/>
    </sheetView>
  </sheetViews>
  <sheetFormatPr defaultRowHeight="14.5" x14ac:dyDescent="0.35"/>
  <cols>
    <col min="2" max="2" width="10" bestFit="1" customWidth="1"/>
    <col min="5" max="5" width="10.08984375" bestFit="1" customWidth="1"/>
  </cols>
  <sheetData>
    <row r="1" spans="1:5" x14ac:dyDescent="0.35">
      <c r="B1" s="11">
        <f>SUM(B4:B20)</f>
        <v>4119935</v>
      </c>
      <c r="C1" s="11">
        <f>SUM(C4:C20)</f>
        <v>791971</v>
      </c>
      <c r="E1" s="11">
        <f>B1-C1</f>
        <v>3327964</v>
      </c>
    </row>
    <row r="3" spans="1:5" x14ac:dyDescent="0.35">
      <c r="A3" t="str">
        <f>Deposits!A1</f>
        <v>Year</v>
      </c>
      <c r="B3" s="17" t="s">
        <v>78</v>
      </c>
      <c r="C3" s="17" t="s">
        <v>79</v>
      </c>
    </row>
    <row r="4" spans="1:5" x14ac:dyDescent="0.35">
      <c r="A4">
        <f>Deposits!A2</f>
        <v>2007</v>
      </c>
      <c r="B4" s="2">
        <f>IF(Deposits!$C2&gt;0,Deposits!$C2,0)+IF(Deposits!$D2&gt;0,Deposits!$D2,0)+IF(Deposits!$E2&gt;0,Deposits!$E2,0)</f>
        <v>41398</v>
      </c>
      <c r="C4" s="2">
        <f>IF(Deposits!$C2&lt;0,-Deposits!$C2,0)+IF(Deposits!$D2&lt;0,-Deposits!$D2,0)+IF(Deposits!$E2&lt;0,-Deposits!$E2,0)</f>
        <v>0</v>
      </c>
    </row>
    <row r="5" spans="1:5" x14ac:dyDescent="0.35">
      <c r="A5">
        <f>Deposits!A3</f>
        <v>2008</v>
      </c>
      <c r="B5" s="2">
        <f>IF(Deposits!$C3&gt;0,Deposits!$C3,0)+IF(Deposits!$D3&gt;0,Deposits!$D3,0)+IF(Deposits!$E3&gt;0,Deposits!$E3,0)</f>
        <v>552175</v>
      </c>
      <c r="C5" s="2">
        <f>IF(Deposits!$C3&lt;0,-Deposits!$C3,0)+IF(Deposits!$D3&lt;0,-Deposits!$D3,0)+IF(Deposits!$E3&lt;0,-Deposits!$E3,0)</f>
        <v>0</v>
      </c>
    </row>
    <row r="6" spans="1:5" x14ac:dyDescent="0.35">
      <c r="A6">
        <f>Deposits!A4</f>
        <v>2009</v>
      </c>
      <c r="B6" s="2">
        <f>IF(Deposits!$C4&gt;0,Deposits!$C4,0)+IF(Deposits!$D4&gt;0,Deposits!$D4,0)+IF(Deposits!$E4&gt;0,Deposits!$E4,0)</f>
        <v>63617</v>
      </c>
      <c r="C6" s="2">
        <f>IF(Deposits!$C4&lt;0,-Deposits!$C4,0)+IF(Deposits!$D4&lt;0,-Deposits!$D4,0)+IF(Deposits!$E4&lt;0,-Deposits!$E4,0)</f>
        <v>0</v>
      </c>
    </row>
    <row r="7" spans="1:5" x14ac:dyDescent="0.35">
      <c r="A7">
        <f>Deposits!A5</f>
        <v>2010</v>
      </c>
      <c r="B7" s="2">
        <f>IF(Deposits!$C5&gt;0,Deposits!$C5,0)+IF(Deposits!$D5&gt;0,Deposits!$D5,0)+IF(Deposits!$E5&gt;0,Deposits!$E5,0)</f>
        <v>158151</v>
      </c>
      <c r="C7" s="2">
        <f>IF(Deposits!$C5&lt;0,-Deposits!$C5,0)+IF(Deposits!$D5&lt;0,-Deposits!$D5,0)+IF(Deposits!$E5&lt;0,-Deposits!$E5,0)</f>
        <v>0</v>
      </c>
    </row>
    <row r="8" spans="1:5" x14ac:dyDescent="0.35">
      <c r="A8">
        <f>Deposits!A6</f>
        <v>2011</v>
      </c>
      <c r="B8" s="2">
        <f>IF(Deposits!$C6&gt;0,Deposits!$C6,0)+IF(Deposits!$D6&gt;0,Deposits!$D6,0)+IF(Deposits!$E6&gt;0,Deposits!$E6,0)</f>
        <v>211059</v>
      </c>
      <c r="C8" s="2">
        <f>IF(Deposits!$C6&lt;0,-Deposits!$C6,0)+IF(Deposits!$D6&lt;0,-Deposits!$D6,0)+IF(Deposits!$E6&lt;0,-Deposits!$E6,0)</f>
        <v>0</v>
      </c>
    </row>
    <row r="9" spans="1:5" x14ac:dyDescent="0.35">
      <c r="A9">
        <f>Deposits!A7</f>
        <v>2012</v>
      </c>
      <c r="B9" s="2">
        <f>IF(Deposits!$C7&gt;0,Deposits!$C7,0)+IF(Deposits!$D7&gt;0,Deposits!$D7,0)+IF(Deposits!$E7&gt;0,Deposits!$E7,0)</f>
        <v>169240</v>
      </c>
      <c r="C9" s="2">
        <f>IF(Deposits!$C7&lt;0,-Deposits!$C7,0)+IF(Deposits!$D7&lt;0,-Deposits!$D7,0)+IF(Deposits!$E7&lt;0,-Deposits!$E7,0)</f>
        <v>0</v>
      </c>
    </row>
    <row r="10" spans="1:5" x14ac:dyDescent="0.35">
      <c r="A10">
        <f>Deposits!A8</f>
        <v>2013</v>
      </c>
      <c r="B10" s="2">
        <f>IF(Deposits!$C8&gt;0,Deposits!$C8,0)+IF(Deposits!$D8&gt;0,Deposits!$D8,0)+IF(Deposits!$E8&gt;0,Deposits!$E8,0)</f>
        <v>28247</v>
      </c>
      <c r="C10" s="2">
        <f>IF(Deposits!$C8&lt;0,-Deposits!$C8,0)+IF(Deposits!$D8&lt;0,-Deposits!$D8,0)+IF(Deposits!$E8&lt;0,-Deposits!$E8,0)</f>
        <v>105723</v>
      </c>
    </row>
    <row r="11" spans="1:5" x14ac:dyDescent="0.35">
      <c r="A11">
        <f>Deposits!A9</f>
        <v>2014</v>
      </c>
      <c r="B11" s="2">
        <f>IF(Deposits!$C9&gt;0,Deposits!$C9,0)+IF(Deposits!$D9&gt;0,Deposits!$D9,0)+IF(Deposits!$E9&gt;0,Deposits!$E9,0)</f>
        <v>23714</v>
      </c>
      <c r="C11" s="2">
        <f>IF(Deposits!$C9&lt;0,-Deposits!$C9,0)+IF(Deposits!$D9&lt;0,-Deposits!$D9,0)+IF(Deposits!$E9&lt;0,-Deposits!$E9,0)</f>
        <v>304978</v>
      </c>
    </row>
    <row r="12" spans="1:5" x14ac:dyDescent="0.35">
      <c r="A12">
        <f>Deposits!A10</f>
        <v>2015</v>
      </c>
      <c r="B12" s="2">
        <f>IF(Deposits!$C10&gt;0,Deposits!$C10,0)+IF(Deposits!$D10&gt;0,Deposits!$D10,0)+IF(Deposits!$E10&gt;0,Deposits!$E10,0)</f>
        <v>0</v>
      </c>
      <c r="C12" s="2">
        <f>IF(Deposits!$C10&lt;0,-Deposits!$C10,0)+IF(Deposits!$D10&lt;0,-Deposits!$D10,0)+IF(Deposits!$E10&lt;0,-Deposits!$E10,0)</f>
        <v>125036</v>
      </c>
    </row>
    <row r="13" spans="1:5" x14ac:dyDescent="0.35">
      <c r="A13">
        <f>Deposits!A11</f>
        <v>2016</v>
      </c>
      <c r="B13" s="2">
        <f>IF(Deposits!$C11&gt;0,Deposits!$C11,0)+IF(Deposits!$D11&gt;0,Deposits!$D11,0)+IF(Deposits!$E11&gt;0,Deposits!$E11,0)</f>
        <v>37814</v>
      </c>
      <c r="C13" s="2">
        <f>IF(Deposits!$C11&lt;0,-Deposits!$C11,0)+IF(Deposits!$D11&lt;0,-Deposits!$D11,0)+IF(Deposits!$E11&lt;0,-Deposits!$E11,0)</f>
        <v>0</v>
      </c>
    </row>
    <row r="14" spans="1:5" x14ac:dyDescent="0.35">
      <c r="A14">
        <f>Deposits!A12</f>
        <v>2017</v>
      </c>
      <c r="B14" s="2">
        <f>IF(Deposits!$C12&gt;0,Deposits!$C12,0)+IF(Deposits!$D12&gt;0,Deposits!$D12,0)+IF(Deposits!$E12&gt;0,Deposits!$E12,0)</f>
        <v>511813</v>
      </c>
      <c r="C14" s="2">
        <f>IF(Deposits!$C12&lt;0,-Deposits!$C12,0)+IF(Deposits!$D12&lt;0,-Deposits!$D12,0)+IF(Deposits!$E12&lt;0,-Deposits!$E12,0)</f>
        <v>0</v>
      </c>
    </row>
    <row r="15" spans="1:5" x14ac:dyDescent="0.35">
      <c r="A15">
        <f>Deposits!A13</f>
        <v>2018</v>
      </c>
      <c r="B15" s="2">
        <f>IF(Deposits!$C13&gt;0,Deposits!$C13,0)+IF(Deposits!$D13&gt;0,Deposits!$D13,0)+IF(Deposits!$E13&gt;0,Deposits!$E13,0)</f>
        <v>480441</v>
      </c>
      <c r="C15" s="2">
        <f>IF(Deposits!$C13&lt;0,-Deposits!$C13,0)+IF(Deposits!$D13&lt;0,-Deposits!$D13,0)+IF(Deposits!$E13&lt;0,-Deposits!$E13,0)</f>
        <v>0</v>
      </c>
    </row>
    <row r="16" spans="1:5" x14ac:dyDescent="0.35">
      <c r="A16">
        <f>Deposits!A14</f>
        <v>2019</v>
      </c>
      <c r="B16" s="2">
        <f>IF(Deposits!$C14&gt;0,Deposits!$C14,0)+IF(Deposits!$D14&gt;0,Deposits!$D14,0)+IF(Deposits!$E14&gt;0,Deposits!$E14,0)</f>
        <v>570695</v>
      </c>
      <c r="C16" s="2">
        <f>IF(Deposits!$C14&lt;0,-Deposits!$C14,0)+IF(Deposits!$D14&lt;0,-Deposits!$D14,0)+IF(Deposits!$E14&lt;0,-Deposits!$E14,0)</f>
        <v>0</v>
      </c>
    </row>
    <row r="17" spans="1:3" x14ac:dyDescent="0.35">
      <c r="A17">
        <f>Deposits!A15</f>
        <v>2020</v>
      </c>
      <c r="B17" s="2">
        <f>IF(Deposits!$C15&gt;0,Deposits!$C15,0)+IF(Deposits!$D15&gt;0,Deposits!$D15,0)+IF(Deposits!$E15&gt;0,Deposits!$E15,0)</f>
        <v>527727</v>
      </c>
      <c r="C17" s="2">
        <f>IF(Deposits!$C15&lt;0,-Deposits!$C15,0)+IF(Deposits!$D15&lt;0,-Deposits!$D15,0)+IF(Deposits!$E15&lt;0,-Deposits!$E15,0)</f>
        <v>0</v>
      </c>
    </row>
    <row r="18" spans="1:3" x14ac:dyDescent="0.35">
      <c r="A18">
        <f>Deposits!A16</f>
        <v>2021</v>
      </c>
      <c r="B18" s="2">
        <f>IF(Deposits!$C16&gt;0,Deposits!$C16,0)+IF(Deposits!$D16&gt;0,Deposits!$D16,0)+IF(Deposits!$E16&gt;0,Deposits!$E16,0)</f>
        <v>169376</v>
      </c>
      <c r="C18" s="2">
        <f>IF(Deposits!$C16&lt;0,-Deposits!$C16,0)+IF(Deposits!$D16&lt;0,-Deposits!$D16,0)+IF(Deposits!$E16&lt;0,-Deposits!$E16,0)</f>
        <v>18786</v>
      </c>
    </row>
    <row r="19" spans="1:3" x14ac:dyDescent="0.35">
      <c r="A19">
        <f>Deposits!A17</f>
        <v>2022</v>
      </c>
      <c r="B19" s="2">
        <f>IF(Deposits!$C17&gt;0,Deposits!$C17,0)+IF(Deposits!$D17&gt;0,Deposits!$D17,0)+IF(Deposits!$E17&gt;0,Deposits!$E17,0)</f>
        <v>158329</v>
      </c>
      <c r="C19" s="2">
        <f>IF(Deposits!$C17&lt;0,-Deposits!$C17,0)+IF(Deposits!$D17&lt;0,-Deposits!$D17,0)+IF(Deposits!$E17&lt;0,-Deposits!$E17,0)</f>
        <v>111392</v>
      </c>
    </row>
    <row r="20" spans="1:3" x14ac:dyDescent="0.35">
      <c r="A20">
        <f>Deposits!A18</f>
        <v>2023</v>
      </c>
      <c r="B20" s="2">
        <f>IF(Deposits!$C18&gt;0,Deposits!$C18,0)+IF(Deposits!$D18&gt;0,Deposits!$D18,0)+IF(Deposits!$E18&gt;0,Deposits!$E18,0)</f>
        <v>416139</v>
      </c>
      <c r="C20" s="2">
        <f>IF(Deposits!$C18&lt;0,-Deposits!$C18,0)+IF(Deposits!$D18&lt;0,-Deposits!$D18,0)+IF(Deposits!$E18&lt;0,-Deposits!$E18,0)</f>
        <v>126056</v>
      </c>
    </row>
    <row r="21" spans="1:3" x14ac:dyDescent="0.35">
      <c r="B21" s="2"/>
      <c r="C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193A-BD0C-4DE4-9C7D-76BA13A71C88}">
  <dimension ref="A1:K15"/>
  <sheetViews>
    <sheetView zoomScale="160" zoomScaleNormal="160" workbookViewId="0">
      <selection activeCell="A6" sqref="A6:F15"/>
    </sheetView>
  </sheetViews>
  <sheetFormatPr defaultRowHeight="14.5" x14ac:dyDescent="0.35"/>
  <cols>
    <col min="1" max="1" width="7.453125" customWidth="1"/>
  </cols>
  <sheetData>
    <row r="1" spans="1:11" x14ac:dyDescent="0.35">
      <c r="A1" t="s">
        <v>149</v>
      </c>
      <c r="K1" t="s">
        <v>148</v>
      </c>
    </row>
    <row r="3" spans="1:11" x14ac:dyDescent="0.35">
      <c r="A3" t="s">
        <v>150</v>
      </c>
    </row>
    <row r="5" spans="1:11" x14ac:dyDescent="0.35">
      <c r="B5" s="12">
        <f>SUM(C5:F5)</f>
        <v>9</v>
      </c>
      <c r="C5" s="12">
        <v>2.8</v>
      </c>
      <c r="D5" s="12">
        <v>4.4000000000000004</v>
      </c>
      <c r="E5" s="12">
        <v>0.3</v>
      </c>
      <c r="F5" s="12">
        <v>1.5</v>
      </c>
    </row>
    <row r="6" spans="1:11" x14ac:dyDescent="0.35">
      <c r="A6" s="80" t="str">
        <f>Deposits!A1</f>
        <v>Year</v>
      </c>
      <c r="B6" s="80" t="str">
        <f>Deposits!B1</f>
        <v>Total</v>
      </c>
      <c r="C6" s="80" t="str">
        <f>Deposits!C1</f>
        <v>Arizona</v>
      </c>
      <c r="D6" s="80" t="str">
        <f>Deposits!D1</f>
        <v>California</v>
      </c>
      <c r="E6" s="80" t="str">
        <f>Deposits!E1</f>
        <v>Nevada</v>
      </c>
      <c r="F6" s="80" t="str">
        <f>Deposits!F1</f>
        <v>Mexico</v>
      </c>
    </row>
    <row r="7" spans="1:11" x14ac:dyDescent="0.35">
      <c r="A7" s="62">
        <f>Deposits!A10</f>
        <v>2015</v>
      </c>
      <c r="B7" s="81">
        <f>B$5-Deposits!B10/1000000</f>
        <v>9.1250359999999997</v>
      </c>
      <c r="C7" s="81">
        <f>C$5-Deposits!C10/1000000</f>
        <v>2.8</v>
      </c>
      <c r="D7" s="81">
        <f>D$5-Deposits!D10/1000000</f>
        <v>4.4712940000000003</v>
      </c>
      <c r="E7" s="81">
        <f>E$5-Deposits!E10/1000000</f>
        <v>0.353742</v>
      </c>
      <c r="F7" s="81">
        <f>F$5-Deposits!F10/1000000</f>
        <v>1.5</v>
      </c>
    </row>
    <row r="8" spans="1:11" x14ac:dyDescent="0.35">
      <c r="A8" s="62">
        <f>Deposits!A11</f>
        <v>2016</v>
      </c>
      <c r="B8" s="81">
        <f>B$5-Deposits!B11/1000000</f>
        <v>8.9621860000000009</v>
      </c>
      <c r="C8" s="81">
        <f>C$5-Deposits!C11/1000000</f>
        <v>2.8</v>
      </c>
      <c r="D8" s="81">
        <f>D$5-Deposits!D11/1000000</f>
        <v>4.3827250000000006</v>
      </c>
      <c r="E8" s="81">
        <f>E$5-Deposits!E11/1000000</f>
        <v>0.27946099999999996</v>
      </c>
      <c r="F8" s="81">
        <f>F$5-Deposits!F11/1000000</f>
        <v>1.5</v>
      </c>
    </row>
    <row r="9" spans="1:11" x14ac:dyDescent="0.35">
      <c r="A9" s="62">
        <f>Deposits!A12</f>
        <v>2017</v>
      </c>
      <c r="B9" s="81">
        <f>B$5-Deposits!B12/1000000</f>
        <v>8.4881869999999999</v>
      </c>
      <c r="C9" s="81">
        <f>C$5-Deposits!C12/1000000</f>
        <v>2.7762499999999997</v>
      </c>
      <c r="D9" s="81">
        <f>D$5-Deposits!D12/1000000</f>
        <v>3.9626880000000004</v>
      </c>
      <c r="E9" s="81">
        <f>E$5-Deposits!E12/1000000</f>
        <v>0.249249</v>
      </c>
      <c r="F9" s="81">
        <f>F$5-Deposits!F12/1000000</f>
        <v>1.5</v>
      </c>
    </row>
    <row r="10" spans="1:11" x14ac:dyDescent="0.35">
      <c r="A10" s="62">
        <f>Deposits!A13</f>
        <v>2018</v>
      </c>
      <c r="B10" s="81">
        <f>B$5-Deposits!B13/1000000</f>
        <v>8.5195589999999992</v>
      </c>
      <c r="C10" s="81">
        <f>C$5-Deposits!C13/1000000</f>
        <v>2.5837479999999999</v>
      </c>
      <c r="D10" s="81">
        <f>D$5-Deposits!D13/1000000</f>
        <v>4.253946</v>
      </c>
      <c r="E10" s="81">
        <f>E$5-Deposits!E13/1000000</f>
        <v>0.181865</v>
      </c>
      <c r="F10" s="81">
        <f>F$5-Deposits!F13/1000000</f>
        <v>1.5</v>
      </c>
    </row>
    <row r="11" spans="1:11" x14ac:dyDescent="0.35">
      <c r="A11" s="62">
        <f>Deposits!A14</f>
        <v>2019</v>
      </c>
      <c r="B11" s="81">
        <f>B$5-Deposits!B14/1000000</f>
        <v>8.2963299999999993</v>
      </c>
      <c r="C11" s="81">
        <f>C$5-Deposits!C14/1000000</f>
        <v>2.6695479999999998</v>
      </c>
      <c r="D11" s="81">
        <f>D$5-Deposits!D14/1000000</f>
        <v>4.0452220000000008</v>
      </c>
      <c r="E11" s="81">
        <f>E$5-Deposits!E14/1000000</f>
        <v>0.21453499999999998</v>
      </c>
      <c r="F11" s="81">
        <f>F$5-Deposits!F14/1000000</f>
        <v>1.3670249999999999</v>
      </c>
    </row>
    <row r="12" spans="1:11" x14ac:dyDescent="0.35">
      <c r="A12" s="62">
        <f>Deposits!A15</f>
        <v>2020</v>
      </c>
      <c r="B12" s="81">
        <f>B$5-Deposits!B15/1000000</f>
        <v>8.4312730000000009</v>
      </c>
      <c r="C12" s="81">
        <f>C$5-Deposits!C15/1000000</f>
        <v>2.6747619999999999</v>
      </c>
      <c r="D12" s="81">
        <f>D$5-Deposits!D15/1000000</f>
        <v>4.0773390000000003</v>
      </c>
      <c r="E12" s="81">
        <f>E$5-Deposits!E15/1000000</f>
        <v>0.22017199999999998</v>
      </c>
      <c r="F12" s="81">
        <f>F$5-Deposits!F15/1000000</f>
        <v>1.4590000000000001</v>
      </c>
    </row>
    <row r="13" spans="1:11" x14ac:dyDescent="0.35">
      <c r="A13" s="62">
        <f>Deposits!A16</f>
        <v>2021</v>
      </c>
      <c r="B13" s="81">
        <f>B$5-Deposits!B16/1000000</f>
        <v>8.8084100000000003</v>
      </c>
      <c r="C13" s="81">
        <f>C$5-Deposits!C16/1000000</f>
        <v>2.7145409999999996</v>
      </c>
      <c r="D13" s="81">
        <f>D$5-Deposits!D16/1000000</f>
        <v>4.4187860000000008</v>
      </c>
      <c r="E13" s="81">
        <f>E$5-Deposits!E16/1000000</f>
        <v>0.21608299999999997</v>
      </c>
      <c r="F13" s="81">
        <f>F$5-Deposits!F16/1000000</f>
        <v>1.4590000000000001</v>
      </c>
    </row>
    <row r="14" spans="1:11" x14ac:dyDescent="0.35">
      <c r="A14" s="62">
        <f>Deposits!A17</f>
        <v>2022</v>
      </c>
      <c r="B14" s="81">
        <f>B$5-Deposits!B17/1000000</f>
        <v>8.9230630000000009</v>
      </c>
      <c r="C14" s="81">
        <f>C$5-Deposits!C17/1000000</f>
        <v>2.7307779999999999</v>
      </c>
      <c r="D14" s="81">
        <f>D$5-Deposits!D17/1000000</f>
        <v>4.5113920000000007</v>
      </c>
      <c r="E14" s="81">
        <f>E$5-Deposits!E17/1000000</f>
        <v>0.210893</v>
      </c>
      <c r="F14" s="81">
        <f>F$5-Deposits!F17/1000000</f>
        <v>1.47</v>
      </c>
    </row>
    <row r="15" spans="1:11" x14ac:dyDescent="0.35">
      <c r="A15" s="62">
        <f>Deposits!A18</f>
        <v>2023</v>
      </c>
      <c r="B15" s="81">
        <f>B$5-Deposits!B18/1000000</f>
        <v>8.7439169999999997</v>
      </c>
      <c r="C15" s="81">
        <f>C$5-Deposits!C18/1000000</f>
        <v>2.8428339999999999</v>
      </c>
      <c r="D15" s="81">
        <f>D$5-Deposits!D18/1000000</f>
        <v>3.9838610000000005</v>
      </c>
      <c r="E15" s="81">
        <f>E$5-Deposits!E18/1000000</f>
        <v>0.38322200000000001</v>
      </c>
      <c r="F15" s="81">
        <f>F$5-Deposits!F18/1000000</f>
        <v>1.534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09D6-2BEE-4EAC-9C47-48919B4DAC3E}">
  <dimension ref="A1:F16"/>
  <sheetViews>
    <sheetView workbookViewId="0">
      <selection activeCell="A2" sqref="A2"/>
    </sheetView>
  </sheetViews>
  <sheetFormatPr defaultRowHeight="14.5" x14ac:dyDescent="0.35"/>
  <cols>
    <col min="1" max="1" width="20.7265625" customWidth="1"/>
    <col min="3" max="3" width="10" customWidth="1"/>
    <col min="6" max="6" width="10.36328125" customWidth="1"/>
  </cols>
  <sheetData>
    <row r="1" spans="1:6" x14ac:dyDescent="0.35">
      <c r="A1" s="1" t="s">
        <v>2</v>
      </c>
      <c r="B1" s="3" t="s">
        <v>3</v>
      </c>
      <c r="C1" s="3" t="s">
        <v>4</v>
      </c>
      <c r="D1" s="3" t="s">
        <v>5</v>
      </c>
      <c r="E1" s="3" t="s">
        <v>40</v>
      </c>
      <c r="F1" s="3" t="s">
        <v>6</v>
      </c>
    </row>
    <row r="2" spans="1:6" x14ac:dyDescent="0.35">
      <c r="A2" t="s">
        <v>8</v>
      </c>
      <c r="B2" s="2">
        <v>100000</v>
      </c>
      <c r="C2" s="2">
        <v>400000</v>
      </c>
      <c r="D2" s="2">
        <v>125000</v>
      </c>
      <c r="E2" s="2"/>
      <c r="F2" s="2">
        <f t="shared" ref="F2:F4" si="0">SUM(B2:D2)</f>
        <v>625000</v>
      </c>
    </row>
    <row r="3" spans="1:6" x14ac:dyDescent="0.35">
      <c r="A3" t="s">
        <v>9</v>
      </c>
      <c r="B3" s="2">
        <v>300000</v>
      </c>
      <c r="C3" s="2">
        <v>1500000</v>
      </c>
      <c r="D3" s="2">
        <v>300000</v>
      </c>
      <c r="E3" s="2"/>
      <c r="F3" s="2">
        <f t="shared" si="0"/>
        <v>2100000</v>
      </c>
    </row>
    <row r="4" spans="1:6" x14ac:dyDescent="0.35">
      <c r="A4" t="s">
        <v>10</v>
      </c>
      <c r="B4" s="2">
        <v>300000</v>
      </c>
      <c r="C4" s="2">
        <v>400000</v>
      </c>
      <c r="D4" s="2">
        <v>300000</v>
      </c>
      <c r="E4" s="2"/>
      <c r="F4" s="2">
        <f t="shared" si="0"/>
        <v>1000000</v>
      </c>
    </row>
    <row r="5" spans="1:6" x14ac:dyDescent="0.35">
      <c r="A5" t="s">
        <v>18</v>
      </c>
      <c r="B5" s="2"/>
      <c r="C5" s="2"/>
      <c r="D5" s="2"/>
      <c r="E5" s="2"/>
      <c r="F5" s="2"/>
    </row>
    <row r="6" spans="1:6" x14ac:dyDescent="0.35">
      <c r="B6" s="2"/>
      <c r="C6" s="2"/>
      <c r="D6" s="2"/>
      <c r="E6" s="2"/>
      <c r="F6" s="2"/>
    </row>
    <row r="7" spans="1:6" x14ac:dyDescent="0.35">
      <c r="A7" s="7" t="s">
        <v>20</v>
      </c>
      <c r="B7" s="8" t="str">
        <f>B1</f>
        <v>Arizona</v>
      </c>
      <c r="C7" s="8" t="str">
        <f t="shared" ref="C7:F7" si="1">C1</f>
        <v>California</v>
      </c>
      <c r="D7" s="8" t="str">
        <f t="shared" si="1"/>
        <v>Nevada</v>
      </c>
      <c r="E7" s="8" t="str">
        <f t="shared" si="1"/>
        <v>Mexico</v>
      </c>
      <c r="F7" s="8" t="str">
        <f t="shared" si="1"/>
        <v>Total</v>
      </c>
    </row>
    <row r="8" spans="1:6" x14ac:dyDescent="0.35">
      <c r="A8" s="5" t="s">
        <v>8</v>
      </c>
      <c r="B8" s="6">
        <v>100000</v>
      </c>
      <c r="C8" s="6">
        <v>400000</v>
      </c>
      <c r="D8" s="6">
        <v>125000</v>
      </c>
      <c r="E8" s="6"/>
      <c r="F8" s="6">
        <f t="shared" ref="F8:F10" si="2">SUM(B8:D8)</f>
        <v>625000</v>
      </c>
    </row>
    <row r="9" spans="1:6" x14ac:dyDescent="0.35">
      <c r="A9" s="5" t="s">
        <v>22</v>
      </c>
      <c r="B9" s="6">
        <v>500000</v>
      </c>
      <c r="C9" s="6">
        <v>1700000</v>
      </c>
      <c r="D9" s="6">
        <v>500000</v>
      </c>
      <c r="E9" s="6"/>
      <c r="F9" s="6">
        <f t="shared" si="2"/>
        <v>2700000</v>
      </c>
    </row>
    <row r="10" spans="1:6" x14ac:dyDescent="0.35">
      <c r="A10" s="5" t="s">
        <v>10</v>
      </c>
      <c r="B10" s="6">
        <f>B4</f>
        <v>300000</v>
      </c>
      <c r="C10" s="6">
        <f t="shared" ref="C10:D10" si="3">C4</f>
        <v>400000</v>
      </c>
      <c r="D10" s="6">
        <f t="shared" si="3"/>
        <v>300000</v>
      </c>
      <c r="E10" s="6"/>
      <c r="F10" s="6">
        <f t="shared" si="2"/>
        <v>1000000</v>
      </c>
    </row>
    <row r="11" spans="1:6" x14ac:dyDescent="0.35">
      <c r="A11" s="64" t="s">
        <v>19</v>
      </c>
      <c r="B11" s="64"/>
      <c r="C11" s="64"/>
      <c r="D11" s="64"/>
      <c r="E11" s="64"/>
      <c r="F11" s="64"/>
    </row>
    <row r="12" spans="1:6" x14ac:dyDescent="0.35">
      <c r="A12" t="s">
        <v>17</v>
      </c>
      <c r="B12" s="2"/>
      <c r="C12" s="2"/>
      <c r="D12" s="2"/>
      <c r="E12" s="2"/>
      <c r="F12" s="2"/>
    </row>
    <row r="13" spans="1:6" x14ac:dyDescent="0.35">
      <c r="B13" s="2"/>
      <c r="C13" s="2"/>
      <c r="D13" s="2"/>
      <c r="E13" s="2"/>
      <c r="F13" s="2"/>
    </row>
    <row r="14" spans="1:6" x14ac:dyDescent="0.35">
      <c r="A14" s="1" t="s">
        <v>15</v>
      </c>
    </row>
    <row r="15" spans="1:6" x14ac:dyDescent="0.35">
      <c r="A15" t="s">
        <v>11</v>
      </c>
      <c r="B15" s="4">
        <v>0.05</v>
      </c>
      <c r="C15" s="4">
        <v>0.05</v>
      </c>
      <c r="D15" s="4">
        <v>0.05</v>
      </c>
      <c r="E15" s="4"/>
    </row>
    <row r="16" spans="1:6" x14ac:dyDescent="0.35">
      <c r="A16" t="s">
        <v>16</v>
      </c>
      <c r="B16" s="4">
        <v>0.03</v>
      </c>
      <c r="C16" s="4">
        <v>0.03</v>
      </c>
      <c r="D16" s="4">
        <v>0.03</v>
      </c>
      <c r="E16" s="4"/>
    </row>
  </sheetData>
  <mergeCells count="1">
    <mergeCell ref="A11:F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66C6-C426-4C07-9BE0-2A52837587E0}">
  <dimension ref="A1:C9"/>
  <sheetViews>
    <sheetView workbookViewId="0">
      <selection activeCell="A4" sqref="A4:C9"/>
    </sheetView>
  </sheetViews>
  <sheetFormatPr defaultRowHeight="14.5" x14ac:dyDescent="0.35"/>
  <cols>
    <col min="1" max="1" width="2.81640625" customWidth="1"/>
    <col min="2" max="2" width="25.36328125" customWidth="1"/>
    <col min="3" max="3" width="11.26953125" customWidth="1"/>
    <col min="4" max="4" width="12.54296875" bestFit="1" customWidth="1"/>
  </cols>
  <sheetData>
    <row r="1" spans="1:3" ht="15.5" x14ac:dyDescent="0.35">
      <c r="A1" s="20"/>
      <c r="B1" s="21" t="s">
        <v>67</v>
      </c>
      <c r="C1" s="20"/>
    </row>
    <row r="2" spans="1:3" ht="15.5" x14ac:dyDescent="0.35">
      <c r="A2" s="20"/>
      <c r="B2" s="20"/>
      <c r="C2" s="20"/>
    </row>
    <row r="3" spans="1:3" ht="15.5" x14ac:dyDescent="0.35">
      <c r="A3" s="20"/>
      <c r="B3" s="20"/>
      <c r="C3" s="20"/>
    </row>
    <row r="4" spans="1:3" ht="30.5" x14ac:dyDescent="0.35">
      <c r="A4" s="65" t="s">
        <v>2</v>
      </c>
      <c r="B4" s="65"/>
      <c r="C4" s="25" t="s">
        <v>63</v>
      </c>
    </row>
    <row r="5" spans="1:3" ht="15.5" x14ac:dyDescent="0.35">
      <c r="A5" s="26" t="s">
        <v>68</v>
      </c>
      <c r="B5" s="27" t="s">
        <v>65</v>
      </c>
      <c r="C5" s="22">
        <v>2700000</v>
      </c>
    </row>
    <row r="6" spans="1:3" s="19" customFormat="1" ht="47.5" customHeight="1" x14ac:dyDescent="0.35">
      <c r="A6" s="28" t="s">
        <v>69</v>
      </c>
      <c r="B6" s="29" t="s">
        <v>66</v>
      </c>
      <c r="C6" s="23">
        <f>Balances!B12</f>
        <v>126800</v>
      </c>
    </row>
    <row r="7" spans="1:3" ht="15.5" x14ac:dyDescent="0.35">
      <c r="A7" s="26" t="s">
        <v>70</v>
      </c>
      <c r="B7" s="27" t="s">
        <v>64</v>
      </c>
      <c r="C7" s="22">
        <f>C5-C8</f>
        <v>2483748</v>
      </c>
    </row>
    <row r="8" spans="1:3" ht="15.5" x14ac:dyDescent="0.35">
      <c r="A8" s="26" t="s">
        <v>71</v>
      </c>
      <c r="B8" s="27" t="s">
        <v>73</v>
      </c>
      <c r="C8" s="22">
        <f>Deposits!C13</f>
        <v>216252</v>
      </c>
    </row>
    <row r="9" spans="1:3" ht="15.5" x14ac:dyDescent="0.35">
      <c r="A9" s="26" t="s">
        <v>72</v>
      </c>
      <c r="B9" s="27" t="s">
        <v>74</v>
      </c>
      <c r="C9" s="24">
        <f>C6+C8</f>
        <v>343052</v>
      </c>
    </row>
  </sheetData>
  <mergeCells count="1"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C209-9DEA-4D97-BB7D-3EBF811BF424}">
  <dimension ref="A1:C10"/>
  <sheetViews>
    <sheetView workbookViewId="0">
      <selection activeCell="A4" sqref="A4:C9"/>
    </sheetView>
  </sheetViews>
  <sheetFormatPr defaultRowHeight="14.5" x14ac:dyDescent="0.35"/>
  <cols>
    <col min="1" max="1" width="2.81640625" customWidth="1"/>
    <col min="2" max="2" width="25.36328125" customWidth="1"/>
    <col min="3" max="3" width="11.26953125" customWidth="1"/>
    <col min="4" max="4" width="12.54296875" bestFit="1" customWidth="1"/>
  </cols>
  <sheetData>
    <row r="1" spans="1:3" ht="15.5" x14ac:dyDescent="0.35">
      <c r="A1" s="21" t="s">
        <v>75</v>
      </c>
      <c r="C1" s="20"/>
    </row>
    <row r="2" spans="1:3" ht="15.5" x14ac:dyDescent="0.35">
      <c r="A2" s="20"/>
      <c r="B2" s="20"/>
      <c r="C2" s="20"/>
    </row>
    <row r="3" spans="1:3" ht="15.5" x14ac:dyDescent="0.35">
      <c r="A3" s="20"/>
      <c r="B3" s="20"/>
      <c r="C3" s="20"/>
    </row>
    <row r="4" spans="1:3" ht="30.5" x14ac:dyDescent="0.35">
      <c r="A4" s="65" t="s">
        <v>2</v>
      </c>
      <c r="B4" s="65"/>
      <c r="C4" s="25" t="s">
        <v>63</v>
      </c>
    </row>
    <row r="5" spans="1:3" ht="15.5" x14ac:dyDescent="0.35">
      <c r="A5" s="26" t="s">
        <v>68</v>
      </c>
      <c r="B5" s="27" t="s">
        <v>65</v>
      </c>
      <c r="C5" s="22">
        <v>4400000</v>
      </c>
    </row>
    <row r="6" spans="1:3" s="19" customFormat="1" ht="47.5" customHeight="1" x14ac:dyDescent="0.35">
      <c r="A6" s="28" t="s">
        <v>69</v>
      </c>
      <c r="B6" s="29" t="s">
        <v>66</v>
      </c>
      <c r="C6" s="23">
        <f>Balances!C16</f>
        <v>1357085</v>
      </c>
    </row>
    <row r="7" spans="1:3" ht="15.5" x14ac:dyDescent="0.35">
      <c r="A7" s="26" t="s">
        <v>70</v>
      </c>
      <c r="B7" s="27" t="s">
        <v>64</v>
      </c>
      <c r="C7" s="22">
        <f>C5 + ABS(Deposits!D17)</f>
        <v>4511392</v>
      </c>
    </row>
    <row r="8" spans="1:3" ht="15.5" x14ac:dyDescent="0.35">
      <c r="A8" s="26" t="s">
        <v>71</v>
      </c>
      <c r="B8" s="27" t="s">
        <v>76</v>
      </c>
      <c r="C8" s="22">
        <f>C7-C5</f>
        <v>111392</v>
      </c>
    </row>
    <row r="9" spans="1:3" ht="15.5" x14ac:dyDescent="0.35">
      <c r="A9" s="26" t="s">
        <v>72</v>
      </c>
      <c r="B9" s="27" t="s">
        <v>77</v>
      </c>
      <c r="C9" s="24">
        <f>C6-C8</f>
        <v>1245693</v>
      </c>
    </row>
    <row r="10" spans="1:3" ht="15.5" x14ac:dyDescent="0.35">
      <c r="A10" s="30"/>
    </row>
  </sheetData>
  <mergeCells count="1">
    <mergeCell ref="A4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E5BA-6A58-4021-B418-75CB2886B06A}">
  <dimension ref="A1:E10"/>
  <sheetViews>
    <sheetView topLeftCell="A3" zoomScale="160" zoomScaleNormal="160" workbookViewId="0">
      <selection activeCell="A19" sqref="A19"/>
    </sheetView>
  </sheetViews>
  <sheetFormatPr defaultRowHeight="14.5" x14ac:dyDescent="0.35"/>
  <cols>
    <col min="1" max="1" width="34.08984375" customWidth="1"/>
    <col min="2" max="2" width="13.36328125" customWidth="1"/>
    <col min="3" max="3" width="14.26953125" customWidth="1"/>
    <col min="4" max="4" width="14.6328125" customWidth="1"/>
    <col min="5" max="5" width="14.54296875" customWidth="1"/>
  </cols>
  <sheetData>
    <row r="1" spans="1:5" x14ac:dyDescent="0.35">
      <c r="A1" t="s">
        <v>81</v>
      </c>
    </row>
    <row r="2" spans="1:5" x14ac:dyDescent="0.35">
      <c r="A2" t="s">
        <v>80</v>
      </c>
    </row>
    <row r="3" spans="1:5" ht="32" customHeight="1" x14ac:dyDescent="0.35">
      <c r="A3" s="34" t="s">
        <v>80</v>
      </c>
      <c r="B3" s="35" t="s">
        <v>82</v>
      </c>
      <c r="C3" s="35" t="s">
        <v>96</v>
      </c>
      <c r="D3" s="35" t="s">
        <v>83</v>
      </c>
      <c r="E3" s="35" t="s">
        <v>95</v>
      </c>
    </row>
    <row r="4" spans="1:5" s="37" customFormat="1" ht="15" customHeight="1" x14ac:dyDescent="0.35">
      <c r="A4" s="36" t="s">
        <v>84</v>
      </c>
      <c r="B4" s="32" t="s">
        <v>97</v>
      </c>
      <c r="C4" s="31">
        <v>4.0999999999999996</v>
      </c>
      <c r="D4" s="32" t="s">
        <v>85</v>
      </c>
      <c r="E4" s="32" t="s">
        <v>85</v>
      </c>
    </row>
    <row r="5" spans="1:5" s="37" customFormat="1" x14ac:dyDescent="0.35">
      <c r="A5" s="36" t="s">
        <v>94</v>
      </c>
      <c r="B5" s="32" t="s">
        <v>87</v>
      </c>
      <c r="C5" s="31">
        <v>1</v>
      </c>
      <c r="D5" s="33">
        <v>200</v>
      </c>
      <c r="E5" s="38">
        <v>200</v>
      </c>
    </row>
    <row r="6" spans="1:5" s="37" customFormat="1" x14ac:dyDescent="0.35">
      <c r="A6" s="36" t="s">
        <v>93</v>
      </c>
      <c r="B6" s="32" t="s">
        <v>92</v>
      </c>
      <c r="C6" s="31">
        <f>DCPLogs!G1/1000000</f>
        <v>0.63121000000000005</v>
      </c>
      <c r="D6" s="32" t="s">
        <v>85</v>
      </c>
      <c r="E6" s="38" t="s">
        <v>85</v>
      </c>
    </row>
    <row r="7" spans="1:5" s="37" customFormat="1" x14ac:dyDescent="0.35">
      <c r="A7" s="37" t="s">
        <v>98</v>
      </c>
    </row>
    <row r="8" spans="1:5" s="37" customFormat="1" x14ac:dyDescent="0.35">
      <c r="A8" s="36" t="s">
        <v>99</v>
      </c>
      <c r="B8" s="32" t="s">
        <v>86</v>
      </c>
      <c r="C8" s="31">
        <v>0.17499999999999999</v>
      </c>
      <c r="D8" s="32" t="s">
        <v>88</v>
      </c>
      <c r="E8" s="38">
        <v>29.8</v>
      </c>
    </row>
    <row r="9" spans="1:5" s="37" customFormat="1" x14ac:dyDescent="0.35">
      <c r="A9" s="36" t="s">
        <v>100</v>
      </c>
      <c r="B9" s="32">
        <v>2023</v>
      </c>
      <c r="C9" s="31">
        <f>(2517+4633+15091+15571)/1000000</f>
        <v>3.7811999999999998E-2</v>
      </c>
      <c r="D9" s="32" t="s">
        <v>89</v>
      </c>
      <c r="E9" s="38">
        <f>0.992+1.205+5.344+8.335</f>
        <v>15.876000000000001</v>
      </c>
    </row>
    <row r="10" spans="1:5" s="37" customFormat="1" x14ac:dyDescent="0.35">
      <c r="A10" s="36" t="s">
        <v>100</v>
      </c>
      <c r="B10" s="32" t="s">
        <v>90</v>
      </c>
      <c r="C10" s="31">
        <v>2.2116E-2</v>
      </c>
      <c r="D10" s="32" t="s">
        <v>91</v>
      </c>
      <c r="E10" s="38">
        <v>4.5599999999999996</v>
      </c>
    </row>
  </sheetData>
  <sortState xmlns:xlrd2="http://schemas.microsoft.com/office/spreadsheetml/2017/richdata2" ref="A4:E10">
    <sortCondition descending="1" ref="C4:C1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A93C-B5FC-4BA5-BB13-1487C002EEE5}">
  <dimension ref="A1:I14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9" sqref="H9:H14"/>
    </sheetView>
  </sheetViews>
  <sheetFormatPr defaultRowHeight="14.5" x14ac:dyDescent="0.35"/>
  <cols>
    <col min="4" max="4" width="11.1796875" bestFit="1" customWidth="1"/>
    <col min="5" max="5" width="8.81640625" bestFit="1" customWidth="1"/>
    <col min="6" max="6" width="11.08984375" bestFit="1" customWidth="1"/>
    <col min="7" max="8" width="11.1796875" bestFit="1" customWidth="1"/>
    <col min="9" max="9" width="10.1796875" bestFit="1" customWidth="1"/>
  </cols>
  <sheetData>
    <row r="1" spans="1:9" x14ac:dyDescent="0.35">
      <c r="G1" s="11">
        <f>SUM(G3:G14)</f>
        <v>631210</v>
      </c>
    </row>
    <row r="2" spans="1:9" x14ac:dyDescent="0.35">
      <c r="A2" t="s">
        <v>30</v>
      </c>
      <c r="B2" t="s">
        <v>29</v>
      </c>
      <c r="C2" t="s">
        <v>23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 x14ac:dyDescent="0.35">
      <c r="A3" t="s">
        <v>3</v>
      </c>
      <c r="B3" t="s">
        <v>47</v>
      </c>
      <c r="C3">
        <v>2020</v>
      </c>
      <c r="D3" s="2">
        <v>192000</v>
      </c>
      <c r="E3" s="2">
        <v>0</v>
      </c>
      <c r="F3" s="2">
        <v>47434</v>
      </c>
      <c r="G3" s="2">
        <v>133174</v>
      </c>
      <c r="H3" s="2">
        <f>SUM(E3:G3)</f>
        <v>180608</v>
      </c>
      <c r="I3" s="2">
        <f>D3-H3</f>
        <v>11392</v>
      </c>
    </row>
    <row r="4" spans="1:9" x14ac:dyDescent="0.35">
      <c r="A4" t="s">
        <v>4</v>
      </c>
      <c r="C4">
        <v>2020</v>
      </c>
      <c r="D4" s="2">
        <v>0</v>
      </c>
      <c r="E4" s="2">
        <v>0</v>
      </c>
      <c r="F4" s="2">
        <v>0</v>
      </c>
      <c r="G4" s="2"/>
      <c r="H4" s="2">
        <f t="shared" ref="H4:H5" si="0">SUM(E4:G4)</f>
        <v>0</v>
      </c>
      <c r="I4" s="2">
        <f t="shared" ref="I4:I5" si="1">D4-H4</f>
        <v>0</v>
      </c>
    </row>
    <row r="5" spans="1:9" x14ac:dyDescent="0.35">
      <c r="A5" t="s">
        <v>5</v>
      </c>
      <c r="B5" t="s">
        <v>34</v>
      </c>
      <c r="C5">
        <v>2020</v>
      </c>
      <c r="D5" s="2">
        <v>8000</v>
      </c>
      <c r="E5" s="2">
        <v>0</v>
      </c>
      <c r="F5" s="2">
        <v>8000</v>
      </c>
      <c r="G5" s="2"/>
      <c r="H5" s="2">
        <f t="shared" si="0"/>
        <v>8000</v>
      </c>
      <c r="I5" s="2">
        <f t="shared" si="1"/>
        <v>0</v>
      </c>
    </row>
    <row r="6" spans="1:9" x14ac:dyDescent="0.35">
      <c r="A6" t="s">
        <v>3</v>
      </c>
      <c r="B6" t="s">
        <v>47</v>
      </c>
      <c r="C6">
        <v>2021</v>
      </c>
      <c r="D6" s="2">
        <v>203392</v>
      </c>
      <c r="F6" s="2">
        <v>48296</v>
      </c>
      <c r="G6" s="2">
        <v>155096</v>
      </c>
      <c r="H6">
        <v>203392</v>
      </c>
    </row>
    <row r="7" spans="1:9" x14ac:dyDescent="0.35">
      <c r="A7" t="s">
        <v>4</v>
      </c>
      <c r="C7">
        <v>2021</v>
      </c>
      <c r="D7" s="2">
        <v>0</v>
      </c>
      <c r="F7" s="11">
        <v>0</v>
      </c>
    </row>
    <row r="8" spans="1:9" x14ac:dyDescent="0.35">
      <c r="A8" t="s">
        <v>5</v>
      </c>
      <c r="B8" t="s">
        <v>34</v>
      </c>
      <c r="C8">
        <v>2021</v>
      </c>
      <c r="D8" s="2">
        <v>8000</v>
      </c>
      <c r="F8" s="11">
        <v>8000</v>
      </c>
      <c r="H8" s="11">
        <v>8000</v>
      </c>
    </row>
    <row r="9" spans="1:9" x14ac:dyDescent="0.35">
      <c r="A9" t="s">
        <v>3</v>
      </c>
      <c r="C9">
        <v>2022</v>
      </c>
      <c r="D9" s="2">
        <v>192000</v>
      </c>
      <c r="F9">
        <v>57061</v>
      </c>
      <c r="G9">
        <v>134940</v>
      </c>
      <c r="H9">
        <f>SUM(E9:G9)</f>
        <v>192001</v>
      </c>
    </row>
    <row r="10" spans="1:9" x14ac:dyDescent="0.35">
      <c r="A10" t="s">
        <v>5</v>
      </c>
      <c r="C10">
        <v>2022</v>
      </c>
      <c r="D10" s="2">
        <v>8000</v>
      </c>
      <c r="G10">
        <v>8000</v>
      </c>
      <c r="H10">
        <f t="shared" ref="H10:H14" si="2">SUM(E10:G10)</f>
        <v>8000</v>
      </c>
    </row>
    <row r="11" spans="1:9" x14ac:dyDescent="0.35">
      <c r="A11" t="s">
        <v>4</v>
      </c>
      <c r="C11">
        <v>2022</v>
      </c>
      <c r="D11" s="2">
        <v>0</v>
      </c>
      <c r="H11">
        <f t="shared" si="2"/>
        <v>0</v>
      </c>
    </row>
    <row r="12" spans="1:9" x14ac:dyDescent="0.35">
      <c r="A12" t="s">
        <v>3</v>
      </c>
      <c r="C12">
        <v>2023</v>
      </c>
      <c r="D12" s="2">
        <v>192000</v>
      </c>
      <c r="G12">
        <v>192000</v>
      </c>
      <c r="H12">
        <f t="shared" si="2"/>
        <v>192000</v>
      </c>
    </row>
    <row r="13" spans="1:9" x14ac:dyDescent="0.35">
      <c r="A13" t="s">
        <v>5</v>
      </c>
      <c r="C13">
        <v>2023</v>
      </c>
      <c r="D13" s="2">
        <v>8000</v>
      </c>
      <c r="G13">
        <v>8000</v>
      </c>
      <c r="H13">
        <f t="shared" si="2"/>
        <v>8000</v>
      </c>
    </row>
    <row r="14" spans="1:9" x14ac:dyDescent="0.35">
      <c r="A14" t="s">
        <v>4</v>
      </c>
      <c r="C14">
        <v>2023</v>
      </c>
      <c r="D14" s="2">
        <v>0</v>
      </c>
      <c r="H14">
        <f t="shared" si="2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CD49-F28E-4E8F-9EC7-325148866036}">
  <dimension ref="A1:U32"/>
  <sheetViews>
    <sheetView topLeftCell="M7" zoomScale="170" zoomScaleNormal="170" workbookViewId="0">
      <selection activeCell="I5" sqref="I5:U15"/>
    </sheetView>
  </sheetViews>
  <sheetFormatPr defaultRowHeight="14.5" x14ac:dyDescent="0.35"/>
  <cols>
    <col min="1" max="1" width="5.36328125" customWidth="1"/>
    <col min="2" max="2" width="14.453125" customWidth="1"/>
    <col min="3" max="3" width="8.1796875" customWidth="1"/>
    <col min="4" max="4" width="7.90625" customWidth="1"/>
    <col min="5" max="5" width="10.6328125" customWidth="1"/>
    <col min="6" max="6" width="7.7265625" customWidth="1"/>
    <col min="7" max="7" width="7.1796875" customWidth="1"/>
    <col min="8" max="8" width="8" customWidth="1"/>
    <col min="9" max="9" width="5.08984375" customWidth="1"/>
    <col min="10" max="10" width="13.453125" customWidth="1"/>
    <col min="11" max="11" width="12.08984375" customWidth="1"/>
    <col min="12" max="12" width="8" customWidth="1"/>
    <col min="13" max="13" width="7.81640625" customWidth="1"/>
    <col min="14" max="14" width="10.08984375" customWidth="1"/>
    <col min="16" max="16" width="6.81640625" customWidth="1"/>
    <col min="19" max="19" width="9.26953125" customWidth="1"/>
    <col min="21" max="21" width="7.26953125" style="12" customWidth="1"/>
  </cols>
  <sheetData>
    <row r="1" spans="1:21" x14ac:dyDescent="0.35">
      <c r="A1" s="1" t="s">
        <v>115</v>
      </c>
    </row>
    <row r="3" spans="1:21" x14ac:dyDescent="0.35">
      <c r="A3" t="s">
        <v>114</v>
      </c>
    </row>
    <row r="4" spans="1:21" ht="21" customHeight="1" x14ac:dyDescent="0.35"/>
    <row r="5" spans="1:21" ht="16.5" customHeight="1" x14ac:dyDescent="0.35">
      <c r="I5" s="75" t="s">
        <v>121</v>
      </c>
      <c r="J5" s="75" t="s">
        <v>127</v>
      </c>
      <c r="K5" s="75" t="s">
        <v>145</v>
      </c>
      <c r="L5" s="69" t="s">
        <v>144</v>
      </c>
      <c r="M5" s="70"/>
      <c r="N5" s="70"/>
      <c r="O5" s="70"/>
      <c r="P5" s="71"/>
      <c r="Q5" s="77" t="s">
        <v>146</v>
      </c>
      <c r="R5" s="78"/>
      <c r="S5" s="78"/>
      <c r="T5" s="78"/>
      <c r="U5" s="79"/>
    </row>
    <row r="6" spans="1:21" s="39" customFormat="1" ht="27.5" customHeight="1" x14ac:dyDescent="0.3">
      <c r="B6" s="40" t="s">
        <v>120</v>
      </c>
      <c r="C6" s="40" t="s">
        <v>3</v>
      </c>
      <c r="D6" s="40" t="s">
        <v>5</v>
      </c>
      <c r="E6" s="40" t="s">
        <v>4</v>
      </c>
      <c r="F6" s="40" t="s">
        <v>40</v>
      </c>
      <c r="G6" s="40" t="s">
        <v>6</v>
      </c>
      <c r="I6" s="76"/>
      <c r="J6" s="76"/>
      <c r="K6" s="76"/>
      <c r="L6" s="47" t="s">
        <v>128</v>
      </c>
      <c r="M6" s="47" t="s">
        <v>129</v>
      </c>
      <c r="N6" s="47" t="s">
        <v>130</v>
      </c>
      <c r="O6" s="47" t="s">
        <v>131</v>
      </c>
      <c r="P6" s="47" t="s">
        <v>132</v>
      </c>
      <c r="Q6" s="48" t="s">
        <v>133</v>
      </c>
      <c r="R6" s="48" t="s">
        <v>134</v>
      </c>
      <c r="S6" s="48" t="s">
        <v>135</v>
      </c>
      <c r="T6" s="48" t="s">
        <v>136</v>
      </c>
      <c r="U6" s="48" t="s">
        <v>137</v>
      </c>
    </row>
    <row r="7" spans="1:21" s="39" customFormat="1" ht="13" customHeight="1" x14ac:dyDescent="0.3">
      <c r="B7" s="69" t="s">
        <v>143</v>
      </c>
      <c r="C7" s="70"/>
      <c r="D7" s="70"/>
      <c r="E7" s="70"/>
      <c r="F7" s="70"/>
      <c r="G7" s="71"/>
      <c r="I7" s="49" t="s">
        <v>139</v>
      </c>
      <c r="J7" s="49">
        <f>B13</f>
        <v>0</v>
      </c>
      <c r="K7" s="50">
        <v>9</v>
      </c>
      <c r="L7" s="51">
        <v>2.8</v>
      </c>
      <c r="M7" s="51">
        <v>0.3</v>
      </c>
      <c r="N7" s="51">
        <v>4.4000000000000004</v>
      </c>
      <c r="O7" s="51">
        <v>1.5</v>
      </c>
      <c r="P7" s="51">
        <f>SUM(L7:O7)</f>
        <v>9</v>
      </c>
      <c r="Q7" s="52">
        <f t="shared" ref="Q7:T11" si="0">L7/$K7</f>
        <v>0.31111111111111112</v>
      </c>
      <c r="R7" s="52">
        <f t="shared" si="0"/>
        <v>3.3333333333333333E-2</v>
      </c>
      <c r="S7" s="52">
        <f t="shared" si="0"/>
        <v>0.48888888888888893</v>
      </c>
      <c r="T7" s="52">
        <f t="shared" si="0"/>
        <v>0.16666666666666666</v>
      </c>
      <c r="U7" s="63">
        <f>SUM(Q7:T7)</f>
        <v>1</v>
      </c>
    </row>
    <row r="8" spans="1:21" s="41" customFormat="1" ht="14" x14ac:dyDescent="0.3">
      <c r="B8" s="42">
        <v>0</v>
      </c>
      <c r="C8" s="43">
        <v>0</v>
      </c>
      <c r="D8" s="43">
        <v>0</v>
      </c>
      <c r="E8" s="43">
        <v>0</v>
      </c>
      <c r="F8" s="43">
        <v>0</v>
      </c>
      <c r="G8" s="43">
        <f>SUM(C8:F8)</f>
        <v>0</v>
      </c>
      <c r="I8" s="49" t="s">
        <v>122</v>
      </c>
      <c r="J8" s="49">
        <f>B14</f>
        <v>0.3</v>
      </c>
      <c r="K8" s="53">
        <f>K$7-J8</f>
        <v>8.6999999999999993</v>
      </c>
      <c r="L8" s="46">
        <f t="shared" ref="L8:O11" si="1">L$7-C14</f>
        <v>2.5599999999999996</v>
      </c>
      <c r="M8" s="46">
        <f t="shared" si="1"/>
        <v>0.29000999999999999</v>
      </c>
      <c r="N8" s="46">
        <f t="shared" si="1"/>
        <v>4.4000000000000004</v>
      </c>
      <c r="O8" s="46">
        <f t="shared" si="1"/>
        <v>1.4499900000000001</v>
      </c>
      <c r="P8" s="51">
        <f t="shared" ref="P8:P11" si="2">SUM(L8:O8)</f>
        <v>8.6999999999999993</v>
      </c>
      <c r="Q8" s="52">
        <f t="shared" si="0"/>
        <v>0.29425287356321839</v>
      </c>
      <c r="R8" s="52">
        <f t="shared" si="0"/>
        <v>3.3334482758620693E-2</v>
      </c>
      <c r="S8" s="52">
        <f t="shared" si="0"/>
        <v>0.50574712643678166</v>
      </c>
      <c r="T8" s="52">
        <f t="shared" si="0"/>
        <v>0.16666551724137935</v>
      </c>
      <c r="U8" s="63">
        <f t="shared" ref="U8:U13" si="3">SUM(Q8:T8)</f>
        <v>1</v>
      </c>
    </row>
    <row r="9" spans="1:21" s="41" customFormat="1" ht="14" x14ac:dyDescent="0.3">
      <c r="B9" s="42" t="s">
        <v>116</v>
      </c>
      <c r="C9" s="44">
        <v>0.8</v>
      </c>
      <c r="D9" s="44">
        <v>3.3300000000000003E-2</v>
      </c>
      <c r="E9" s="44">
        <v>0</v>
      </c>
      <c r="F9" s="44">
        <v>0.16669999999999999</v>
      </c>
      <c r="G9" s="44">
        <f t="shared" ref="G9:G10" si="4">SUM(C9:F9)</f>
        <v>1</v>
      </c>
      <c r="I9" s="49" t="s">
        <v>123</v>
      </c>
      <c r="J9" s="49">
        <f>B15</f>
        <v>0.4</v>
      </c>
      <c r="K9" s="53">
        <f>K$7-J9</f>
        <v>8.6</v>
      </c>
      <c r="L9" s="46">
        <f t="shared" si="1"/>
        <v>2.51667</v>
      </c>
      <c r="M9" s="46">
        <f t="shared" si="1"/>
        <v>0.28667999999999999</v>
      </c>
      <c r="N9" s="46">
        <f t="shared" si="1"/>
        <v>4.3633300000000004</v>
      </c>
      <c r="O9" s="46">
        <f t="shared" si="1"/>
        <v>1.4333199999999999</v>
      </c>
      <c r="P9" s="51">
        <f t="shared" si="2"/>
        <v>8.6</v>
      </c>
      <c r="Q9" s="52">
        <f t="shared" si="0"/>
        <v>0.29263604651162789</v>
      </c>
      <c r="R9" s="52">
        <f t="shared" si="0"/>
        <v>3.3334883720930235E-2</v>
      </c>
      <c r="S9" s="52">
        <f t="shared" si="0"/>
        <v>0.50736395348837215</v>
      </c>
      <c r="T9" s="52">
        <f t="shared" si="0"/>
        <v>0.16666511627906977</v>
      </c>
      <c r="U9" s="63">
        <f t="shared" si="3"/>
        <v>1</v>
      </c>
    </row>
    <row r="10" spans="1:21" s="41" customFormat="1" ht="14" x14ac:dyDescent="0.3">
      <c r="B10" s="42" t="s">
        <v>117</v>
      </c>
      <c r="C10" s="44">
        <v>0.43330000000000002</v>
      </c>
      <c r="D10" s="44">
        <v>3.3300000000000003E-2</v>
      </c>
      <c r="E10" s="44">
        <v>0.36670000000000003</v>
      </c>
      <c r="F10" s="44">
        <v>0.16669999999999999</v>
      </c>
      <c r="G10" s="44">
        <f t="shared" si="4"/>
        <v>1</v>
      </c>
      <c r="I10" s="49" t="s">
        <v>124</v>
      </c>
      <c r="J10" s="49">
        <f>B16</f>
        <v>1</v>
      </c>
      <c r="K10" s="53">
        <f>K$7-J10</f>
        <v>8</v>
      </c>
      <c r="L10" s="46">
        <f t="shared" si="1"/>
        <v>2.2566899999999999</v>
      </c>
      <c r="M10" s="46">
        <f t="shared" si="1"/>
        <v>0.26669999999999999</v>
      </c>
      <c r="N10" s="46">
        <f t="shared" si="1"/>
        <v>4.1433100000000005</v>
      </c>
      <c r="O10" s="46">
        <f t="shared" si="1"/>
        <v>1.3332999999999999</v>
      </c>
      <c r="P10" s="51">
        <f t="shared" si="2"/>
        <v>8</v>
      </c>
      <c r="Q10" s="52">
        <f t="shared" si="0"/>
        <v>0.28208624999999998</v>
      </c>
      <c r="R10" s="52">
        <f t="shared" si="0"/>
        <v>3.3337499999999999E-2</v>
      </c>
      <c r="S10" s="52">
        <f t="shared" si="0"/>
        <v>0.51791375000000006</v>
      </c>
      <c r="T10" s="52">
        <f t="shared" si="0"/>
        <v>0.16666249999999999</v>
      </c>
      <c r="U10" s="63">
        <f t="shared" si="3"/>
        <v>1</v>
      </c>
    </row>
    <row r="11" spans="1:21" s="41" customFormat="1" ht="14" x14ac:dyDescent="0.3">
      <c r="B11" s="42" t="s">
        <v>118</v>
      </c>
      <c r="C11" s="74" t="s">
        <v>119</v>
      </c>
      <c r="D11" s="74"/>
      <c r="E11" s="74"/>
      <c r="F11" s="74"/>
      <c r="G11" s="74"/>
      <c r="I11" s="49" t="s">
        <v>125</v>
      </c>
      <c r="J11" s="49">
        <f>B17</f>
        <v>1.5</v>
      </c>
      <c r="K11" s="53">
        <f>K$7-J11</f>
        <v>7.5</v>
      </c>
      <c r="L11" s="46">
        <f t="shared" si="1"/>
        <v>2.0400399999999999</v>
      </c>
      <c r="M11" s="46">
        <f t="shared" si="1"/>
        <v>0.25004999999999999</v>
      </c>
      <c r="N11" s="46">
        <f t="shared" si="1"/>
        <v>3.9599600000000001</v>
      </c>
      <c r="O11" s="46">
        <f t="shared" si="1"/>
        <v>1.2499500000000001</v>
      </c>
      <c r="P11" s="51">
        <f t="shared" si="2"/>
        <v>7.5</v>
      </c>
      <c r="Q11" s="52">
        <f t="shared" si="0"/>
        <v>0.27200533333333332</v>
      </c>
      <c r="R11" s="52">
        <f t="shared" si="0"/>
        <v>3.3340000000000002E-2</v>
      </c>
      <c r="S11" s="52">
        <f t="shared" si="0"/>
        <v>0.52799466666666672</v>
      </c>
      <c r="T11" s="52">
        <f t="shared" si="0"/>
        <v>0.16666</v>
      </c>
      <c r="U11" s="63">
        <f t="shared" si="3"/>
        <v>1</v>
      </c>
    </row>
    <row r="12" spans="1:21" s="41" customFormat="1" ht="14" x14ac:dyDescent="0.3">
      <c r="B12" s="72" t="s">
        <v>138</v>
      </c>
      <c r="C12" s="73"/>
      <c r="D12" s="73"/>
      <c r="E12" s="73"/>
      <c r="F12" s="73"/>
      <c r="G12" s="73"/>
      <c r="I12" s="49" t="s">
        <v>126</v>
      </c>
      <c r="J12" s="49" t="s">
        <v>118</v>
      </c>
      <c r="K12" s="53" t="s">
        <v>142</v>
      </c>
      <c r="L12" s="66" t="s">
        <v>119</v>
      </c>
      <c r="M12" s="67"/>
      <c r="N12" s="67"/>
      <c r="O12" s="67"/>
      <c r="P12" s="68"/>
      <c r="Q12" s="66" t="s">
        <v>119</v>
      </c>
      <c r="R12" s="67"/>
      <c r="S12" s="67"/>
      <c r="T12" s="67"/>
      <c r="U12" s="68"/>
    </row>
    <row r="13" spans="1:21" s="41" customFormat="1" ht="14" x14ac:dyDescent="0.3">
      <c r="B13" s="42">
        <v>0</v>
      </c>
      <c r="C13" s="45">
        <v>0</v>
      </c>
      <c r="D13" s="45">
        <v>0</v>
      </c>
      <c r="E13" s="45">
        <v>0</v>
      </c>
      <c r="F13" s="45">
        <v>0</v>
      </c>
      <c r="G13" s="45">
        <f>SUM(C13:F13)</f>
        <v>0</v>
      </c>
      <c r="I13" s="49" t="s">
        <v>140</v>
      </c>
      <c r="J13" s="49">
        <v>2.7</v>
      </c>
      <c r="K13" s="53">
        <f>K$7-J13</f>
        <v>6.3</v>
      </c>
      <c r="L13" s="46">
        <f>L11-C10*($K11-$K13)</f>
        <v>1.5200799999999997</v>
      </c>
      <c r="M13" s="46">
        <f>M11-D10*($K11-$K13)</f>
        <v>0.21009</v>
      </c>
      <c r="N13" s="46">
        <f>N11-E10*($K11-$K13)</f>
        <v>3.5199199999999999</v>
      </c>
      <c r="O13" s="46">
        <f>O11-F10*($K11-$K13)</f>
        <v>1.0499100000000001</v>
      </c>
      <c r="P13" s="46">
        <f>P11-G10*($K11-$K13)</f>
        <v>6.3</v>
      </c>
      <c r="Q13" s="52">
        <f>L13/$K13</f>
        <v>0.24128253968253963</v>
      </c>
      <c r="R13" s="52">
        <f>M13/$K13</f>
        <v>3.334761904761905E-2</v>
      </c>
      <c r="S13" s="52">
        <f>N13/$K13</f>
        <v>0.55871746031746028</v>
      </c>
      <c r="T13" s="52">
        <f>O13/$K13</f>
        <v>0.16665238095238097</v>
      </c>
      <c r="U13" s="58">
        <f t="shared" si="3"/>
        <v>1</v>
      </c>
    </row>
    <row r="14" spans="1:21" s="41" customFormat="1" ht="14" x14ac:dyDescent="0.3">
      <c r="B14" s="42">
        <v>0.3</v>
      </c>
      <c r="C14" s="46">
        <f>$B14*C9</f>
        <v>0.24</v>
      </c>
      <c r="D14" s="46">
        <f>$B14*D9</f>
        <v>9.9900000000000006E-3</v>
      </c>
      <c r="E14" s="46">
        <f>$B14*E9</f>
        <v>0</v>
      </c>
      <c r="F14" s="46">
        <f>$B14*F9</f>
        <v>5.0009999999999992E-2</v>
      </c>
      <c r="G14" s="46">
        <f>SUM(C14:F14)</f>
        <v>0.3</v>
      </c>
      <c r="I14" s="61" t="s">
        <v>141</v>
      </c>
      <c r="J14" s="57"/>
      <c r="K14" s="54"/>
      <c r="L14" s="55"/>
      <c r="M14" s="55"/>
      <c r="N14" s="55"/>
      <c r="O14" s="55"/>
      <c r="P14" s="55"/>
      <c r="Q14" s="56"/>
      <c r="R14" s="56"/>
      <c r="S14" s="56"/>
      <c r="T14" s="56"/>
      <c r="U14" s="59"/>
    </row>
    <row r="15" spans="1:21" s="41" customFormat="1" ht="14" x14ac:dyDescent="0.3">
      <c r="B15" s="42">
        <v>0.4</v>
      </c>
      <c r="C15" s="46">
        <f t="shared" ref="C15:F17" si="5">C$14+C$10*($B15-$B$14)</f>
        <v>0.28333000000000003</v>
      </c>
      <c r="D15" s="46">
        <f t="shared" si="5"/>
        <v>1.3320000000000002E-2</v>
      </c>
      <c r="E15" s="46">
        <f t="shared" si="5"/>
        <v>3.6670000000000015E-2</v>
      </c>
      <c r="F15" s="46">
        <f t="shared" si="5"/>
        <v>6.6679999999999989E-2</v>
      </c>
      <c r="G15" s="46">
        <f>SUM(C15:F15)</f>
        <v>0.4</v>
      </c>
      <c r="I15" s="57" t="s">
        <v>147</v>
      </c>
      <c r="J15" s="57"/>
      <c r="U15" s="60"/>
    </row>
    <row r="16" spans="1:21" s="41" customFormat="1" ht="14" x14ac:dyDescent="0.3">
      <c r="B16" s="42">
        <v>1</v>
      </c>
      <c r="C16" s="46">
        <f t="shared" si="5"/>
        <v>0.54330999999999996</v>
      </c>
      <c r="D16" s="46">
        <f t="shared" si="5"/>
        <v>3.3300000000000003E-2</v>
      </c>
      <c r="E16" s="46">
        <f t="shared" si="5"/>
        <v>0.25669000000000003</v>
      </c>
      <c r="F16" s="46">
        <f t="shared" si="5"/>
        <v>0.16669999999999999</v>
      </c>
      <c r="G16" s="46">
        <f t="shared" ref="G16:G17" si="6">SUM(C16:F16)</f>
        <v>0.99999999999999989</v>
      </c>
      <c r="U16" s="60"/>
    </row>
    <row r="17" spans="2:21" s="41" customFormat="1" ht="14" x14ac:dyDescent="0.3">
      <c r="B17" s="42">
        <v>1.5</v>
      </c>
      <c r="C17" s="46">
        <f t="shared" si="5"/>
        <v>0.75995999999999997</v>
      </c>
      <c r="D17" s="46">
        <f t="shared" si="5"/>
        <v>4.9950000000000001E-2</v>
      </c>
      <c r="E17" s="46">
        <f t="shared" si="5"/>
        <v>0.44004000000000004</v>
      </c>
      <c r="F17" s="46">
        <f t="shared" si="5"/>
        <v>0.25004999999999994</v>
      </c>
      <c r="G17" s="46">
        <f t="shared" si="6"/>
        <v>1.5</v>
      </c>
      <c r="U17" s="60"/>
    </row>
    <row r="18" spans="2:21" s="41" customFormat="1" ht="14" x14ac:dyDescent="0.3">
      <c r="B18" s="42" t="s">
        <v>118</v>
      </c>
      <c r="C18" s="74" t="s">
        <v>119</v>
      </c>
      <c r="D18" s="74"/>
      <c r="E18" s="74"/>
      <c r="F18" s="74"/>
      <c r="G18" s="74"/>
      <c r="U18" s="60"/>
    </row>
    <row r="19" spans="2:21" s="41" customFormat="1" ht="14" x14ac:dyDescent="0.3">
      <c r="U19" s="60"/>
    </row>
    <row r="20" spans="2:21" s="41" customFormat="1" ht="14" x14ac:dyDescent="0.3">
      <c r="U20" s="60"/>
    </row>
    <row r="21" spans="2:21" s="41" customFormat="1" ht="14" x14ac:dyDescent="0.3">
      <c r="U21" s="60"/>
    </row>
    <row r="22" spans="2:21" s="41" customFormat="1" ht="17.5" customHeight="1" x14ac:dyDescent="0.3">
      <c r="U22" s="60"/>
    </row>
    <row r="23" spans="2:21" s="41" customFormat="1" ht="27.5" customHeight="1" x14ac:dyDescent="0.3">
      <c r="U23" s="60"/>
    </row>
    <row r="24" spans="2:21" s="41" customFormat="1" ht="14" x14ac:dyDescent="0.3">
      <c r="U24" s="60"/>
    </row>
    <row r="25" spans="2:21" s="41" customFormat="1" ht="14" x14ac:dyDescent="0.3">
      <c r="U25" s="60"/>
    </row>
    <row r="26" spans="2:21" s="41" customFormat="1" ht="14" x14ac:dyDescent="0.3">
      <c r="U26" s="60"/>
    </row>
    <row r="27" spans="2:21" s="41" customFormat="1" ht="14" x14ac:dyDescent="0.3">
      <c r="U27" s="60"/>
    </row>
    <row r="28" spans="2:21" s="41" customFormat="1" ht="14" x14ac:dyDescent="0.3">
      <c r="U28" s="60"/>
    </row>
    <row r="29" spans="2:21" s="41" customFormat="1" ht="14" x14ac:dyDescent="0.3">
      <c r="U29" s="60"/>
    </row>
    <row r="30" spans="2:21" s="41" customFormat="1" ht="14" x14ac:dyDescent="0.3">
      <c r="U30" s="60"/>
    </row>
    <row r="31" spans="2:21" s="41" customFormat="1" ht="14" x14ac:dyDescent="0.3">
      <c r="U31" s="60"/>
    </row>
    <row r="32" spans="2:21" s="41" customFormat="1" ht="14" x14ac:dyDescent="0.3">
      <c r="U32" s="60"/>
    </row>
  </sheetData>
  <mergeCells count="11">
    <mergeCell ref="J5:J6"/>
    <mergeCell ref="I5:I6"/>
    <mergeCell ref="K5:K6"/>
    <mergeCell ref="L5:P5"/>
    <mergeCell ref="Q5:U5"/>
    <mergeCell ref="Q12:U12"/>
    <mergeCell ref="B7:G7"/>
    <mergeCell ref="B12:G12"/>
    <mergeCell ref="C18:G18"/>
    <mergeCell ref="C11:G11"/>
    <mergeCell ref="L12:P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65CD-11FF-4B0E-A32F-7305DFCA8DC1}">
  <dimension ref="A1:H43"/>
  <sheetViews>
    <sheetView topLeftCell="A2" workbookViewId="0">
      <selection activeCell="A42" sqref="A42:D42"/>
    </sheetView>
  </sheetViews>
  <sheetFormatPr defaultRowHeight="14.5" x14ac:dyDescent="0.35"/>
  <cols>
    <col min="4" max="4" width="11.1796875" bestFit="1" customWidth="1"/>
    <col min="5" max="5" width="10" bestFit="1" customWidth="1"/>
  </cols>
  <sheetData>
    <row r="1" spans="1:8" x14ac:dyDescent="0.35">
      <c r="A1" t="s">
        <v>23</v>
      </c>
      <c r="B1" t="s">
        <v>29</v>
      </c>
      <c r="C1" t="s">
        <v>30</v>
      </c>
      <c r="D1" t="s">
        <v>31</v>
      </c>
    </row>
    <row r="2" spans="1:8" x14ac:dyDescent="0.35">
      <c r="A2">
        <v>2011</v>
      </c>
      <c r="B2" t="s">
        <v>35</v>
      </c>
      <c r="C2" t="s">
        <v>3</v>
      </c>
      <c r="D2" s="2">
        <f>100000+3050</f>
        <v>103050</v>
      </c>
      <c r="G2" s="2"/>
      <c r="H2" s="2"/>
    </row>
    <row r="3" spans="1:8" x14ac:dyDescent="0.35">
      <c r="A3">
        <v>2011</v>
      </c>
      <c r="B3" t="s">
        <v>32</v>
      </c>
      <c r="C3" t="s">
        <v>4</v>
      </c>
      <c r="D3" s="2">
        <f>344439+66000+24397</f>
        <v>434836</v>
      </c>
    </row>
    <row r="4" spans="1:8" x14ac:dyDescent="0.35">
      <c r="A4">
        <v>2011</v>
      </c>
      <c r="B4" t="s">
        <v>33</v>
      </c>
      <c r="C4" t="s">
        <v>4</v>
      </c>
      <c r="D4" s="2">
        <f>5842</f>
        <v>5842</v>
      </c>
    </row>
    <row r="5" spans="1:8" x14ac:dyDescent="0.35">
      <c r="A5">
        <v>2011</v>
      </c>
      <c r="B5" t="s">
        <v>34</v>
      </c>
      <c r="C5" t="s">
        <v>5</v>
      </c>
      <c r="D5" s="2">
        <f>47523+28395+3704+400000+3050</f>
        <v>482672</v>
      </c>
    </row>
    <row r="6" spans="1:8" x14ac:dyDescent="0.35">
      <c r="A6">
        <v>2010</v>
      </c>
      <c r="B6" t="s">
        <v>35</v>
      </c>
      <c r="C6" t="s">
        <v>3</v>
      </c>
      <c r="D6" s="2">
        <f>100000+2094</f>
        <v>102094</v>
      </c>
    </row>
    <row r="7" spans="1:8" x14ac:dyDescent="0.35">
      <c r="A7">
        <v>2010</v>
      </c>
      <c r="B7" t="s">
        <v>32</v>
      </c>
      <c r="C7" t="s">
        <v>4</v>
      </c>
      <c r="D7" s="2">
        <f>173217+66000+16750</f>
        <v>255967</v>
      </c>
    </row>
    <row r="8" spans="1:8" x14ac:dyDescent="0.35">
      <c r="A8">
        <v>2010</v>
      </c>
      <c r="B8" t="s">
        <v>33</v>
      </c>
      <c r="C8" t="s">
        <v>4</v>
      </c>
      <c r="D8" s="2">
        <v>6023</v>
      </c>
    </row>
    <row r="9" spans="1:8" x14ac:dyDescent="0.35">
      <c r="A9">
        <v>2010</v>
      </c>
      <c r="B9" t="s">
        <v>34</v>
      </c>
      <c r="C9" t="s">
        <v>5</v>
      </c>
      <c r="D9" s="2">
        <f>19798+28566+799+400000+2094</f>
        <v>451257</v>
      </c>
      <c r="F9" s="11"/>
    </row>
    <row r="10" spans="1:8" x14ac:dyDescent="0.35">
      <c r="A10">
        <v>2012</v>
      </c>
      <c r="B10" t="s">
        <v>35</v>
      </c>
      <c r="C10" t="s">
        <v>3</v>
      </c>
      <c r="D10" s="2">
        <f>100000+3050</f>
        <v>103050</v>
      </c>
    </row>
    <row r="11" spans="1:8" x14ac:dyDescent="0.35">
      <c r="A11">
        <v>2012</v>
      </c>
      <c r="B11" t="s">
        <v>32</v>
      </c>
      <c r="C11" t="s">
        <v>4</v>
      </c>
      <c r="D11" s="2">
        <f>489389+66000+24397</f>
        <v>579786</v>
      </c>
    </row>
    <row r="12" spans="1:8" x14ac:dyDescent="0.35">
      <c r="A12">
        <v>2012</v>
      </c>
      <c r="B12" t="s">
        <v>33</v>
      </c>
      <c r="C12" t="s">
        <v>4</v>
      </c>
      <c r="D12" s="2">
        <v>0</v>
      </c>
    </row>
    <row r="13" spans="1:8" x14ac:dyDescent="0.35">
      <c r="A13">
        <v>2012</v>
      </c>
      <c r="B13" t="s">
        <v>34</v>
      </c>
      <c r="C13" t="s">
        <v>5</v>
      </c>
      <c r="D13" s="2">
        <f>77162+29870+2722+400000+3050</f>
        <v>512804</v>
      </c>
      <c r="E13" s="11"/>
    </row>
    <row r="14" spans="1:8" x14ac:dyDescent="0.35">
      <c r="A14">
        <v>2013</v>
      </c>
      <c r="B14" t="s">
        <v>35</v>
      </c>
      <c r="C14" t="s">
        <v>3</v>
      </c>
      <c r="D14" s="2">
        <f>100000+3050</f>
        <v>103050</v>
      </c>
    </row>
    <row r="15" spans="1:8" x14ac:dyDescent="0.35">
      <c r="A15">
        <v>2013</v>
      </c>
      <c r="B15" t="s">
        <v>32</v>
      </c>
      <c r="C15" t="s">
        <v>4</v>
      </c>
      <c r="D15" s="2">
        <f>383666+66000+24397</f>
        <v>474063</v>
      </c>
    </row>
    <row r="16" spans="1:8" x14ac:dyDescent="0.35">
      <c r="A16">
        <v>2013</v>
      </c>
      <c r="B16" t="s">
        <v>33</v>
      </c>
      <c r="C16" t="s">
        <v>4</v>
      </c>
      <c r="D16" s="2">
        <v>0</v>
      </c>
    </row>
    <row r="17" spans="1:4" x14ac:dyDescent="0.35">
      <c r="A17">
        <v>2013</v>
      </c>
      <c r="B17" t="s">
        <v>34</v>
      </c>
      <c r="C17" t="s">
        <v>5</v>
      </c>
      <c r="D17" s="2">
        <f>106461+29925+1615+400000+3050</f>
        <v>541051</v>
      </c>
    </row>
    <row r="18" spans="1:4" x14ac:dyDescent="0.35">
      <c r="A18">
        <v>2014</v>
      </c>
      <c r="B18" t="s">
        <v>35</v>
      </c>
      <c r="C18" t="s">
        <v>3</v>
      </c>
      <c r="D18" s="2">
        <f>100000+3050</f>
        <v>103050</v>
      </c>
    </row>
    <row r="19" spans="1:4" x14ac:dyDescent="0.35">
      <c r="A19">
        <v>2014</v>
      </c>
      <c r="B19" t="s">
        <v>32</v>
      </c>
      <c r="C19" t="s">
        <v>4</v>
      </c>
      <c r="D19" s="2">
        <f>61764+65000+24397</f>
        <v>151161</v>
      </c>
    </row>
    <row r="20" spans="1:4" x14ac:dyDescent="0.35">
      <c r="A20">
        <v>2014</v>
      </c>
      <c r="B20" t="s">
        <v>33</v>
      </c>
      <c r="C20" t="s">
        <v>4</v>
      </c>
      <c r="D20" s="2">
        <v>17924</v>
      </c>
    </row>
    <row r="21" spans="1:4" x14ac:dyDescent="0.35">
      <c r="A21">
        <v>2014</v>
      </c>
      <c r="B21" t="s">
        <v>34</v>
      </c>
      <c r="C21" t="s">
        <v>5</v>
      </c>
      <c r="D21" s="2">
        <v>564765</v>
      </c>
    </row>
    <row r="22" spans="1:4" x14ac:dyDescent="0.35">
      <c r="A22">
        <v>2015</v>
      </c>
      <c r="B22" t="s">
        <v>35</v>
      </c>
      <c r="C22" t="s">
        <v>3</v>
      </c>
      <c r="D22" s="2">
        <f>100000+3050</f>
        <v>103050</v>
      </c>
    </row>
    <row r="23" spans="1:4" x14ac:dyDescent="0.35">
      <c r="A23">
        <v>2015</v>
      </c>
      <c r="B23" t="s">
        <v>32</v>
      </c>
      <c r="C23" t="s">
        <v>4</v>
      </c>
      <c r="D23" s="2">
        <f>56008+24397</f>
        <v>80405</v>
      </c>
    </row>
    <row r="24" spans="1:4" x14ac:dyDescent="0.35">
      <c r="A24">
        <v>2015</v>
      </c>
      <c r="B24" t="s">
        <v>33</v>
      </c>
      <c r="C24" t="s">
        <v>4</v>
      </c>
      <c r="D24" s="2">
        <v>17386</v>
      </c>
    </row>
    <row r="25" spans="1:4" x14ac:dyDescent="0.35">
      <c r="A25">
        <v>2015</v>
      </c>
      <c r="B25" t="s">
        <v>34</v>
      </c>
      <c r="C25" t="s">
        <v>5</v>
      </c>
      <c r="D25" s="2">
        <v>511023</v>
      </c>
    </row>
    <row r="26" spans="1:4" x14ac:dyDescent="0.35">
      <c r="A26">
        <v>2016</v>
      </c>
      <c r="B26" t="s">
        <v>35</v>
      </c>
      <c r="C26" t="s">
        <v>3</v>
      </c>
      <c r="D26" s="2">
        <f>100000+3050</f>
        <v>103050</v>
      </c>
    </row>
    <row r="27" spans="1:4" x14ac:dyDescent="0.35">
      <c r="A27">
        <v>2016</v>
      </c>
      <c r="B27" t="s">
        <v>32</v>
      </c>
      <c r="C27" t="s">
        <v>4</v>
      </c>
      <c r="D27" s="2">
        <f>4644+56008+24397</f>
        <v>85049</v>
      </c>
    </row>
    <row r="28" spans="1:4" x14ac:dyDescent="0.35">
      <c r="A28">
        <v>2016</v>
      </c>
      <c r="B28" t="s">
        <v>33</v>
      </c>
      <c r="C28" t="s">
        <v>4</v>
      </c>
      <c r="D28" s="2">
        <v>30017</v>
      </c>
    </row>
    <row r="29" spans="1:4" x14ac:dyDescent="0.35">
      <c r="A29">
        <v>2016</v>
      </c>
      <c r="B29" t="s">
        <v>34</v>
      </c>
      <c r="C29" t="s">
        <v>5</v>
      </c>
      <c r="D29" s="2">
        <v>531562</v>
      </c>
    </row>
    <row r="30" spans="1:4" x14ac:dyDescent="0.35">
      <c r="A30">
        <v>2017</v>
      </c>
      <c r="B30" t="s">
        <v>35</v>
      </c>
      <c r="C30" t="s">
        <v>3</v>
      </c>
      <c r="D30" s="2">
        <v>126800</v>
      </c>
    </row>
    <row r="31" spans="1:4" x14ac:dyDescent="0.35">
      <c r="A31">
        <v>2017</v>
      </c>
      <c r="B31" t="s">
        <v>32</v>
      </c>
      <c r="C31" t="s">
        <v>4</v>
      </c>
      <c r="D31" s="2">
        <v>478628</v>
      </c>
    </row>
    <row r="32" spans="1:4" x14ac:dyDescent="0.35">
      <c r="A32">
        <v>2017</v>
      </c>
      <c r="B32" t="s">
        <v>33</v>
      </c>
      <c r="C32" t="s">
        <v>4</v>
      </c>
      <c r="D32" s="2">
        <v>73750</v>
      </c>
    </row>
    <row r="33" spans="1:4" x14ac:dyDescent="0.35">
      <c r="A33">
        <v>2017</v>
      </c>
      <c r="B33" t="s">
        <v>34</v>
      </c>
      <c r="C33" t="s">
        <v>5</v>
      </c>
      <c r="D33" s="2">
        <v>582313</v>
      </c>
    </row>
    <row r="34" spans="1:4" x14ac:dyDescent="0.35">
      <c r="A34">
        <v>2018</v>
      </c>
      <c r="B34" t="s">
        <v>35</v>
      </c>
      <c r="C34" t="s">
        <v>3</v>
      </c>
      <c r="D34" s="2">
        <v>343052</v>
      </c>
    </row>
    <row r="35" spans="1:4" x14ac:dyDescent="0.35">
      <c r="A35">
        <v>2018</v>
      </c>
      <c r="B35" t="s">
        <v>32</v>
      </c>
      <c r="C35" t="s">
        <v>4</v>
      </c>
      <c r="D35" s="2">
        <v>624682</v>
      </c>
    </row>
    <row r="36" spans="1:4" x14ac:dyDescent="0.35">
      <c r="A36">
        <v>2018</v>
      </c>
      <c r="B36" t="s">
        <v>33</v>
      </c>
      <c r="C36" t="s">
        <v>4</v>
      </c>
      <c r="D36" s="2">
        <v>73750</v>
      </c>
    </row>
    <row r="37" spans="1:4" x14ac:dyDescent="0.35">
      <c r="A37">
        <v>2018</v>
      </c>
      <c r="B37" t="s">
        <v>34</v>
      </c>
      <c r="C37" t="s">
        <v>5</v>
      </c>
      <c r="D37" s="2">
        <v>700448</v>
      </c>
    </row>
    <row r="38" spans="1:4" x14ac:dyDescent="0.35">
      <c r="A38">
        <v>2019</v>
      </c>
      <c r="B38" t="s">
        <v>35</v>
      </c>
      <c r="C38" t="s">
        <v>3</v>
      </c>
      <c r="D38" s="2">
        <v>362557</v>
      </c>
    </row>
    <row r="39" spans="1:4" x14ac:dyDescent="0.35">
      <c r="A39">
        <v>2019</v>
      </c>
      <c r="B39" t="s">
        <v>36</v>
      </c>
      <c r="C39" t="s">
        <v>3</v>
      </c>
      <c r="D39" s="2">
        <v>5647</v>
      </c>
    </row>
    <row r="40" spans="1:4" x14ac:dyDescent="0.35">
      <c r="A40">
        <v>2019</v>
      </c>
      <c r="B40" t="s">
        <v>37</v>
      </c>
      <c r="C40" t="s">
        <v>3</v>
      </c>
      <c r="D40" s="2">
        <v>105300</v>
      </c>
    </row>
    <row r="41" spans="1:4" x14ac:dyDescent="0.35">
      <c r="A41">
        <v>2019</v>
      </c>
      <c r="B41" t="s">
        <v>32</v>
      </c>
      <c r="C41" t="s">
        <v>4</v>
      </c>
      <c r="D41" s="2">
        <v>979460</v>
      </c>
    </row>
    <row r="42" spans="1:4" x14ac:dyDescent="0.35">
      <c r="A42">
        <v>2019</v>
      </c>
      <c r="B42" t="s">
        <v>33</v>
      </c>
      <c r="C42" t="s">
        <v>4</v>
      </c>
      <c r="D42" s="2">
        <v>73750</v>
      </c>
    </row>
    <row r="43" spans="1:4" x14ac:dyDescent="0.35">
      <c r="A43">
        <v>2019</v>
      </c>
      <c r="B43" t="s">
        <v>34</v>
      </c>
      <c r="C43" t="s">
        <v>5</v>
      </c>
      <c r="D43" s="2">
        <v>785913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Balances</vt:lpstr>
      <vt:lpstr>Deposits</vt:lpstr>
      <vt:lpstr>TotalCreditsDebits</vt:lpstr>
      <vt:lpstr>Withdraws</vt:lpstr>
      <vt:lpstr>Capacities</vt:lpstr>
      <vt:lpstr>Example1-Credit</vt:lpstr>
      <vt:lpstr>Example2-Debit</vt:lpstr>
      <vt:lpstr>BasinConservationPrograms</vt:lpstr>
      <vt:lpstr>DCPLogs</vt:lpstr>
      <vt:lpstr>AllocateAvailableWater</vt:lpstr>
      <vt:lpstr>By User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drosenberg</dc:creator>
  <cp:lastModifiedBy>David Rosenberg</cp:lastModifiedBy>
  <dcterms:created xsi:type="dcterms:W3CDTF">2019-03-14T05:28:40Z</dcterms:created>
  <dcterms:modified xsi:type="dcterms:W3CDTF">2025-01-24T21:39:42Z</dcterms:modified>
</cp:coreProperties>
</file>