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MeadInflowSplit\"/>
    </mc:Choice>
  </mc:AlternateContent>
  <xr:revisionPtr revIDLastSave="0" documentId="13_ncr:1_{C491D3CE-FA8C-47FD-8401-78EB0FF0A44E}" xr6:coauthVersionLast="47" xr6:coauthVersionMax="47" xr10:uidLastSave="{00000000-0000-0000-0000-000000000000}"/>
  <bookViews>
    <workbookView xWindow="-110" yWindow="-110" windowWidth="19420" windowHeight="10300" activeTab="1" xr2:uid="{B7E24150-B936-4491-85FE-E2B15A6311EA}"/>
  </bookViews>
  <sheets>
    <sheet name="ShareOfInflow-SEIS" sheetId="5" r:id="rId1"/>
    <sheet name="SEIS-Cuts" sheetId="4" r:id="rId2"/>
    <sheet name="ShareOfInflow-DCP" sheetId="2" r:id="rId3"/>
    <sheet name="LowerBasinCu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4" l="1"/>
  <c r="R13" i="4"/>
  <c r="L10" i="4"/>
  <c r="R10" i="4" s="1"/>
  <c r="R12" i="4"/>
  <c r="R11" i="4"/>
  <c r="R14" i="4"/>
  <c r="R15" i="4"/>
  <c r="R16" i="4"/>
  <c r="R17" i="4"/>
  <c r="R18" i="4"/>
  <c r="R19" i="4"/>
  <c r="R20" i="4"/>
  <c r="L11" i="4"/>
  <c r="L12" i="4"/>
  <c r="L13" i="4"/>
  <c r="L14" i="4"/>
  <c r="L15" i="4"/>
  <c r="L16" i="4"/>
  <c r="N16" i="4" s="1"/>
  <c r="L17" i="4"/>
  <c r="L18" i="4"/>
  <c r="L19" i="4"/>
  <c r="L20" i="4"/>
  <c r="N17" i="4"/>
  <c r="N18" i="4"/>
  <c r="N11" i="4"/>
  <c r="N12" i="4"/>
  <c r="K14" i="5" s="1"/>
  <c r="N13" i="4"/>
  <c r="N14" i="4"/>
  <c r="N15" i="4"/>
  <c r="N10" i="4"/>
  <c r="F11" i="4"/>
  <c r="H11" i="4" s="1"/>
  <c r="F12" i="4"/>
  <c r="H12" i="4" s="1"/>
  <c r="F13" i="4"/>
  <c r="H13" i="4" s="1"/>
  <c r="F14" i="4"/>
  <c r="H14" i="4" s="1"/>
  <c r="F15" i="4"/>
  <c r="F16" i="4"/>
  <c r="H16" i="4" s="1"/>
  <c r="F17" i="4"/>
  <c r="F18" i="4"/>
  <c r="H18" i="4" s="1"/>
  <c r="F19" i="4"/>
  <c r="F20" i="4"/>
  <c r="H20" i="4" s="1"/>
  <c r="F10" i="4"/>
  <c r="H10" i="4" s="1"/>
  <c r="H21" i="4" s="1"/>
  <c r="S11" i="4"/>
  <c r="S12" i="4"/>
  <c r="S13" i="4"/>
  <c r="S14" i="4"/>
  <c r="S15" i="4"/>
  <c r="S16" i="4"/>
  <c r="S17" i="4"/>
  <c r="S18" i="4"/>
  <c r="S19" i="4"/>
  <c r="S20" i="4"/>
  <c r="S10" i="4"/>
  <c r="H15" i="4"/>
  <c r="H17" i="4"/>
  <c r="H19" i="4"/>
  <c r="K10" i="5"/>
  <c r="I20" i="5"/>
  <c r="J20" i="5"/>
  <c r="I21" i="5"/>
  <c r="J21" i="5"/>
  <c r="I22" i="5"/>
  <c r="J2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J12" i="5"/>
  <c r="I12" i="5"/>
  <c r="F27" i="5"/>
  <c r="F28" i="5" s="1"/>
  <c r="E27" i="5"/>
  <c r="E28" i="5" s="1"/>
  <c r="D27" i="5"/>
  <c r="C27" i="5"/>
  <c r="G26" i="5"/>
  <c r="F26" i="5"/>
  <c r="E26" i="5"/>
  <c r="D26" i="5"/>
  <c r="D28" i="5" s="1"/>
  <c r="C26" i="5"/>
  <c r="C28" i="5" s="1"/>
  <c r="A25" i="5"/>
  <c r="F19" i="5"/>
  <c r="E19" i="5"/>
  <c r="N19" i="5" s="1"/>
  <c r="D19" i="5"/>
  <c r="C19" i="5"/>
  <c r="B19" i="5"/>
  <c r="A19" i="5"/>
  <c r="F18" i="5"/>
  <c r="E18" i="5"/>
  <c r="D18" i="5"/>
  <c r="C18" i="5"/>
  <c r="G18" i="5" s="1"/>
  <c r="B18" i="5"/>
  <c r="A18" i="5"/>
  <c r="F17" i="5"/>
  <c r="E17" i="5"/>
  <c r="D17" i="5"/>
  <c r="C17" i="5"/>
  <c r="G17" i="5" s="1"/>
  <c r="B17" i="5"/>
  <c r="A17" i="5"/>
  <c r="G16" i="5"/>
  <c r="O16" i="5" s="1"/>
  <c r="F16" i="5"/>
  <c r="N16" i="5" s="1"/>
  <c r="E16" i="5"/>
  <c r="D16" i="5"/>
  <c r="C16" i="5"/>
  <c r="B16" i="5"/>
  <c r="A16" i="5"/>
  <c r="F15" i="5"/>
  <c r="E15" i="5"/>
  <c r="N15" i="5" s="1"/>
  <c r="D15" i="5"/>
  <c r="C15" i="5"/>
  <c r="B15" i="5"/>
  <c r="A15" i="5"/>
  <c r="F14" i="5"/>
  <c r="E14" i="5"/>
  <c r="D14" i="5"/>
  <c r="C14" i="5"/>
  <c r="G14" i="5" s="1"/>
  <c r="B14" i="5"/>
  <c r="A14" i="5"/>
  <c r="F13" i="5"/>
  <c r="E13" i="5"/>
  <c r="D13" i="5"/>
  <c r="C13" i="5"/>
  <c r="G13" i="5" s="1"/>
  <c r="G27" i="5" s="1"/>
  <c r="B13" i="5"/>
  <c r="A13" i="5"/>
  <c r="G12" i="5"/>
  <c r="O12" i="5" s="1"/>
  <c r="F12" i="5"/>
  <c r="N12" i="5" s="1"/>
  <c r="E12" i="5"/>
  <c r="D12" i="5"/>
  <c r="C12" i="5"/>
  <c r="B12" i="5"/>
  <c r="A12" i="5"/>
  <c r="O11" i="5"/>
  <c r="N11" i="5"/>
  <c r="M11" i="5"/>
  <c r="L11" i="5"/>
  <c r="K11" i="5"/>
  <c r="B11" i="5"/>
  <c r="A11" i="5"/>
  <c r="O9" i="5"/>
  <c r="O18" i="5" s="1"/>
  <c r="D26" i="2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A16" i="2"/>
  <c r="I16" i="2" s="1"/>
  <c r="B16" i="2"/>
  <c r="J16" i="2" s="1"/>
  <c r="A17" i="2"/>
  <c r="I17" i="2" s="1"/>
  <c r="B17" i="2"/>
  <c r="J17" i="2" s="1"/>
  <c r="D17" i="2"/>
  <c r="A18" i="2"/>
  <c r="I18" i="2" s="1"/>
  <c r="B18" i="2"/>
  <c r="J18" i="2" s="1"/>
  <c r="F18" i="2"/>
  <c r="A19" i="2"/>
  <c r="I19" i="2" s="1"/>
  <c r="B19" i="2"/>
  <c r="J19" i="2" s="1"/>
  <c r="A13" i="2"/>
  <c r="I13" i="2" s="1"/>
  <c r="A14" i="2"/>
  <c r="I14" i="2" s="1"/>
  <c r="A12" i="2"/>
  <c r="I12" i="2" s="1"/>
  <c r="B12" i="2"/>
  <c r="J12" i="2" s="1"/>
  <c r="B13" i="2"/>
  <c r="J13" i="2" s="1"/>
  <c r="B14" i="2"/>
  <c r="J14" i="2" s="1"/>
  <c r="O25" i="1"/>
  <c r="K25" i="1"/>
  <c r="J25" i="1"/>
  <c r="I25" i="1"/>
  <c r="L25" i="1" s="1"/>
  <c r="P25" i="1" s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O21" i="1"/>
  <c r="K21" i="1"/>
  <c r="J21" i="1"/>
  <c r="I21" i="1"/>
  <c r="L21" i="1" s="1"/>
  <c r="P21" i="1" s="1"/>
  <c r="O20" i="1"/>
  <c r="K20" i="1"/>
  <c r="J20" i="1"/>
  <c r="I20" i="1"/>
  <c r="O19" i="1"/>
  <c r="K19" i="1"/>
  <c r="J19" i="1"/>
  <c r="I19" i="1"/>
  <c r="O18" i="1"/>
  <c r="K18" i="1"/>
  <c r="J18" i="1"/>
  <c r="I18" i="1"/>
  <c r="O13" i="1"/>
  <c r="K13" i="1"/>
  <c r="L13" i="1" s="1"/>
  <c r="P13" i="1" s="1"/>
  <c r="J13" i="1"/>
  <c r="I13" i="1"/>
  <c r="C13" i="1"/>
  <c r="O12" i="1"/>
  <c r="F19" i="2" s="1"/>
  <c r="K12" i="1"/>
  <c r="J12" i="1"/>
  <c r="D19" i="2" s="1"/>
  <c r="I12" i="1"/>
  <c r="C19" i="2" s="1"/>
  <c r="C12" i="1"/>
  <c r="O11" i="1"/>
  <c r="K11" i="1"/>
  <c r="E18" i="2" s="1"/>
  <c r="J11" i="1"/>
  <c r="L11" i="1" s="1"/>
  <c r="P11" i="1" s="1"/>
  <c r="I11" i="1"/>
  <c r="C18" i="2" s="1"/>
  <c r="C11" i="1"/>
  <c r="O10" i="1"/>
  <c r="F17" i="2" s="1"/>
  <c r="K10" i="1"/>
  <c r="E17" i="2" s="1"/>
  <c r="J10" i="1"/>
  <c r="I10" i="1"/>
  <c r="C17" i="2" s="1"/>
  <c r="C10" i="1"/>
  <c r="O9" i="1"/>
  <c r="F16" i="2" s="1"/>
  <c r="K9" i="1"/>
  <c r="E16" i="2" s="1"/>
  <c r="J9" i="1"/>
  <c r="D16" i="2" s="1"/>
  <c r="I9" i="1"/>
  <c r="C9" i="1"/>
  <c r="O8" i="1"/>
  <c r="F15" i="2" s="1"/>
  <c r="K8" i="1"/>
  <c r="E15" i="2" s="1"/>
  <c r="J8" i="1"/>
  <c r="D15" i="2" s="1"/>
  <c r="I8" i="1"/>
  <c r="L8" i="1" s="1"/>
  <c r="P8" i="1" s="1"/>
  <c r="C8" i="1"/>
  <c r="O7" i="1"/>
  <c r="F14" i="2" s="1"/>
  <c r="K7" i="1"/>
  <c r="E14" i="2" s="1"/>
  <c r="J7" i="1"/>
  <c r="D14" i="2" s="1"/>
  <c r="I7" i="1"/>
  <c r="L7" i="1" s="1"/>
  <c r="P7" i="1" s="1"/>
  <c r="C7" i="1"/>
  <c r="O6" i="1"/>
  <c r="F13" i="2" s="1"/>
  <c r="K6" i="1"/>
  <c r="E13" i="2" s="1"/>
  <c r="J6" i="1"/>
  <c r="D13" i="2" s="1"/>
  <c r="I6" i="1"/>
  <c r="C6" i="1"/>
  <c r="O5" i="1"/>
  <c r="F12" i="2" s="1"/>
  <c r="K5" i="1"/>
  <c r="E12" i="2" s="1"/>
  <c r="J5" i="1"/>
  <c r="D12" i="2" s="1"/>
  <c r="I5" i="1"/>
  <c r="L5" i="1" s="1"/>
  <c r="P5" i="1" s="1"/>
  <c r="N20" i="4" l="1"/>
  <c r="N19" i="4"/>
  <c r="K19" i="5"/>
  <c r="L13" i="5"/>
  <c r="K13" i="5"/>
  <c r="M12" i="5"/>
  <c r="L12" i="5"/>
  <c r="K12" i="5"/>
  <c r="L14" i="5"/>
  <c r="M13" i="5"/>
  <c r="K17" i="5"/>
  <c r="L17" i="5"/>
  <c r="M17" i="5"/>
  <c r="K18" i="5"/>
  <c r="L18" i="5"/>
  <c r="M18" i="5"/>
  <c r="M16" i="5"/>
  <c r="L16" i="5"/>
  <c r="K16" i="5"/>
  <c r="K15" i="5"/>
  <c r="L15" i="5"/>
  <c r="M15" i="5"/>
  <c r="M14" i="5"/>
  <c r="M19" i="5"/>
  <c r="L19" i="5"/>
  <c r="C29" i="5"/>
  <c r="G28" i="5"/>
  <c r="G29" i="5" s="1"/>
  <c r="D29" i="5"/>
  <c r="F29" i="5"/>
  <c r="E29" i="5"/>
  <c r="G15" i="5"/>
  <c r="O15" i="5" s="1"/>
  <c r="N18" i="5"/>
  <c r="O14" i="5"/>
  <c r="N13" i="5"/>
  <c r="N17" i="5"/>
  <c r="O13" i="5"/>
  <c r="O17" i="5"/>
  <c r="N14" i="5"/>
  <c r="G19" i="5"/>
  <c r="O19" i="5" s="1"/>
  <c r="L9" i="1"/>
  <c r="P9" i="1" s="1"/>
  <c r="C12" i="2"/>
  <c r="C14" i="2"/>
  <c r="C15" i="2"/>
  <c r="K15" i="2" s="1"/>
  <c r="L6" i="1"/>
  <c r="P6" i="1" s="1"/>
  <c r="L12" i="1"/>
  <c r="P12" i="1" s="1"/>
  <c r="L18" i="1"/>
  <c r="P18" i="1" s="1"/>
  <c r="L20" i="1"/>
  <c r="P20" i="1" s="1"/>
  <c r="L22" i="1"/>
  <c r="P22" i="1" s="1"/>
  <c r="C16" i="2"/>
  <c r="C27" i="2"/>
  <c r="C28" i="2" s="1"/>
  <c r="C13" i="2"/>
  <c r="N13" i="2" s="1"/>
  <c r="L10" i="1"/>
  <c r="P10" i="1" s="1"/>
  <c r="L19" i="1"/>
  <c r="P19" i="1" s="1"/>
  <c r="D18" i="2"/>
  <c r="L18" i="2" s="1"/>
  <c r="E19" i="2"/>
  <c r="L19" i="2" s="1"/>
  <c r="N17" i="2"/>
  <c r="M13" i="2"/>
  <c r="K12" i="2"/>
  <c r="K14" i="2"/>
  <c r="K19" i="2"/>
  <c r="M16" i="2"/>
  <c r="D27" i="2"/>
  <c r="D28" i="2" s="1"/>
  <c r="L13" i="2"/>
  <c r="N18" i="2"/>
  <c r="L17" i="2"/>
  <c r="K17" i="2"/>
  <c r="N19" i="2"/>
  <c r="N15" i="2"/>
  <c r="M12" i="2"/>
  <c r="K13" i="2"/>
  <c r="M17" i="2"/>
  <c r="N14" i="2"/>
  <c r="K18" i="2"/>
  <c r="M15" i="2"/>
  <c r="L12" i="2"/>
  <c r="N12" i="2"/>
  <c r="L14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19" i="2" l="1"/>
  <c r="O19" i="2" s="1"/>
  <c r="M18" i="2"/>
  <c r="G27" i="2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<sst xmlns="http://schemas.openxmlformats.org/spreadsheetml/2006/main" count="150" uniqueCount="88">
  <si>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</si>
  <si>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</si>
  <si>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</si>
  <si>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</si>
  <si>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</si>
  <si>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</si>
  <si>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</si>
  <si>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</si>
  <si>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</si>
  <si>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</si>
  <si>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</si>
  <si>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</si>
  <si>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</si>
  <si>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</si>
  <si>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</si>
  <si>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</si>
  <si>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</si>
  <si>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</si>
  <si>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</si>
  <si>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</si>
  <si>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</si>
  <si>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</si>
  <si>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</si>
  <si>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</si>
  <si>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</si>
  <si>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</si>
  <si>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</si>
  <si>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</si>
  <si>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</si>
  <si>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</si>
  <si>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</si>
  <si>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</si>
  <si>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</si>
  <si>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</si>
  <si>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</si>
  <si>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</si>
  <si>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</si>
  <si>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</si>
  <si>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</si>
  <si>
    <t>Table 2-4</t>
  </si>
  <si>
    <t>Lower Division States’ Shortages and DCP Contributions by State, Action Alternative 1</t>
  </si>
  <si>
    <t>AZ</t>
  </si>
  <si>
    <t>NV</t>
  </si>
  <si>
    <t>CA</t>
  </si>
  <si>
    <t>&lt;950</t>
  </si>
  <si>
    <t>SEIS Alternative 1</t>
  </si>
  <si>
    <t>https://www.usbr.gov/ColoradoRiverBasin/documents/NearTermColoradoRiverOperations/20230400-Near-termColoradoRiverOperations-DraftEIS-508.pdf, p. 43</t>
  </si>
  <si>
    <t>(2024)</t>
  </si>
  <si>
    <t>Lake Mead Elevation (feet)</t>
  </si>
  <si>
    <t>1,090–&gt;1,075</t>
  </si>
  <si>
    <t>1,075–1,050</t>
  </si>
  <si>
    <t>&lt;1,050–&gt;1,045</t>
  </si>
  <si>
    <t>1,045–&gt;1,040</t>
  </si>
  <si>
    <t>1,040–&gt;1,035</t>
  </si>
  <si>
    <t>1,035–&gt;1,030</t>
  </si>
  <si>
    <t>1,030–1,025</t>
  </si>
  <si>
    <t>&lt;1,025–1,000</t>
  </si>
  <si>
    <t>&lt;1,000–975</t>
  </si>
  <si>
    <t>&lt;975–950</t>
  </si>
  <si>
    <t>2007 ROD Shortage + 2019 DCP Contributions (1,000 af)</t>
  </si>
  <si>
    <t>2024 Action Alternative 1 (1,000 af)</t>
  </si>
  <si>
    <t>2024 Total Shortages + Contributions (1,000 af)</t>
  </si>
  <si>
    <t>*The additional shortage volumes decrease at elevation 1,025 feet because the shortages under the 2007 Interim</t>
  </si>
  <si>
    <t>Guidelines increase by the same amount. Therefore, the additional shortage amounts necessary to get to the 2.083</t>
  </si>
  <si>
    <t>maf total are lower.</t>
  </si>
  <si>
    <t>**In this elevation tier, the 2019 DCP contributions for California exceed what would be required under Action</t>
  </si>
  <si>
    <t>Alternative 1. As a result, no additional shortage is required in this elevation tier for California.</t>
  </si>
  <si>
    <t>***Because the 2019 DCP contributions for California exceed the 2024 total shortage and contribution volume as</t>
  </si>
  <si>
    <t>modeled by the Shortage Allocation Model, the sum of the three state totals exceeds the total shortage and</t>
  </si>
  <si>
    <t>contribution volume. While the total amount of the three states’ total shortage and contribution volume exceeds</t>
  </si>
  <si>
    <t>2.083 maf in the elevation tiers below elevation 1,035 feet, the ROD would not exceed a total shortage and</t>
  </si>
  <si>
    <t>contribution volume of 2.083 maf in calendar year 2024.</t>
  </si>
  <si>
    <t>Percentage</t>
  </si>
  <si>
    <t>2024 Additional Shortage (1,000 af)*</t>
  </si>
  <si>
    <t>*The additional shortage volumes decrease at elevation 1,025 feet because the shortages under the 2007 Interim Guidelines increase</t>
  </si>
  <si>
    <t>by the same amount. Therefore, the additional shortage amounts necessary to get to the 2.083 maf total are lower.</t>
  </si>
  <si>
    <t>**Percentage of 2021 consumptive use</t>
  </si>
  <si>
    <t>2024 Total Shortage + Contributions (1,000 af)</t>
  </si>
  <si>
    <t>Alternative 1 - Priority</t>
  </si>
  <si>
    <t>Table 2-7</t>
  </si>
  <si>
    <t>2024 Lower Division States’ Shortages and DCP Contributions by State, Action</t>
  </si>
  <si>
    <t>Alternative 2 (2024)</t>
  </si>
  <si>
    <t>Alternative 2 - Percentage reduction</t>
  </si>
  <si>
    <t>Additional Shorage</t>
  </si>
  <si>
    <t>Alternatives 1 &amp; 2</t>
  </si>
  <si>
    <t>2025-2026 Additional Shortage (1,000 af)</t>
  </si>
  <si>
    <t>Lake Mead Volume (maf)</t>
  </si>
  <si>
    <t>LB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</si>
</sst>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/>
    <xf numFmtId="0" fontId="5" fillId="0" borderId="0" xfId="0" quotePrefix="1" applyFont="1"/>
    <xf numFmtId="0" fontId="5" fillId="4" borderId="0" xfId="0" applyFont="1" applyFill="1"/>
    <xf numFmtId="0" fontId="5" fillId="5" borderId="0" xfId="0" applyFont="1" applyFill="1"/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5" fillId="0" borderId="0" xfId="0" applyNumberFormat="1" applyFont="1"/>
    <xf numFmtId="10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165" fontId="0" fillId="0" borderId="2" xfId="0" applyNumberFormat="1" applyBorder="1" applyAlignment="1"/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AA2FC-AA4A-4DF8-8E08-F4F6A77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15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br.gov/ColoradoRiverBasin/documents/NearTermColoradoRiverOperations/20230400-Near-termColoradoRiverOperations-DraftEIS-508.pdf,%20p.%204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6FDA-A485-46B3-A579-17A4BB86DCC0}">
  <dimension ref="A1:O33"/>
  <sheetViews>
    <sheetView topLeftCell="G10" zoomScale="160" zoomScaleNormal="160" workbookViewId="0">
      <selection activeCell="K12" sqref="K12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9" max="9" width="11.816406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0"/>
      <c r="C1" s="20"/>
      <c r="D1" s="20"/>
      <c r="E1" s="20"/>
      <c r="F1" s="20"/>
      <c r="G1" s="20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0">
        <v>2.8</v>
      </c>
      <c r="L9" s="20">
        <v>0.3</v>
      </c>
      <c r="M9" s="20">
        <v>4.4000000000000004</v>
      </c>
      <c r="N9" s="20">
        <v>1.5</v>
      </c>
      <c r="O9" s="20">
        <f>SUM(K9:N9)</f>
        <v>9</v>
      </c>
    </row>
    <row r="10" spans="1:15" ht="15.5" customHeight="1" x14ac:dyDescent="0.35">
      <c r="A10" s="1" t="s">
        <v>33</v>
      </c>
      <c r="I10" s="1" t="s">
        <v>32</v>
      </c>
      <c r="K10" s="53" t="str">
        <f>'SEIS-Cuts'!I7</f>
        <v>Alternative 1 - Priority</v>
      </c>
      <c r="L10" s="53"/>
      <c r="M10" s="53"/>
      <c r="N10" s="53"/>
      <c r="O10" s="53"/>
    </row>
    <row r="11" spans="1:15" s="21" customFormat="1" ht="43.5" x14ac:dyDescent="0.35">
      <c r="A11" s="3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6" t="s">
        <v>30</v>
      </c>
      <c r="J11" s="26" t="s">
        <v>31</v>
      </c>
      <c r="K11" s="26" t="str">
        <f t="shared" ref="K11:M11" si="0">C11</f>
        <v>Arizona</v>
      </c>
      <c r="L11" s="26" t="str">
        <f t="shared" si="0"/>
        <v>Nevada</v>
      </c>
      <c r="M11" s="26" t="str">
        <f t="shared" si="0"/>
        <v>California</v>
      </c>
      <c r="N11" s="26" t="str">
        <f>F11</f>
        <v>Mexico</v>
      </c>
      <c r="O11" s="26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4">
        <f>LowerBasinCuts!I5/1000</f>
        <v>0.72</v>
      </c>
      <c r="D12" s="24">
        <f>LowerBasinCuts!J5/1000</f>
        <v>0.03</v>
      </c>
      <c r="E12" s="24">
        <f>LowerBasinCuts!K5/1000</f>
        <v>0.35</v>
      </c>
      <c r="F12" s="12">
        <f>LowerBasinCuts!O5</f>
        <v>0.27500000000000002</v>
      </c>
      <c r="G12" s="24">
        <f>SUM(C12:F12)</f>
        <v>1.375</v>
      </c>
      <c r="I12" s="22" t="str">
        <f>'SEIS-Cuts'!A10</f>
        <v>1,090–&gt;1,075</v>
      </c>
      <c r="J12" s="6">
        <f>'SEIS-Cuts'!B10</f>
        <v>10.857008</v>
      </c>
      <c r="K12" s="23">
        <f>(K$9-'SEIS-Cuts'!O10/1000)/($O$9-'SEIS-Cuts'!$N10/1000)</f>
        <v>0.27454545454545454</v>
      </c>
      <c r="L12" s="23">
        <f>(L$9-'SEIS-Cuts'!P10/1000)/($O$9-'SEIS-Cuts'!$N10/1000)</f>
        <v>3.2272727272727265E-2</v>
      </c>
      <c r="M12" s="23">
        <f>(M$9-'SEIS-Cuts'!Q10/1000)/($O$9-'SEIS-Cuts'!$N10/1000)</f>
        <v>0.5</v>
      </c>
      <c r="N12" s="23">
        <f t="shared" ref="K12:O19" si="2">(N$9-F12)/($O$9-SUM($C12:$F12))</f>
        <v>0.16065573770491803</v>
      </c>
      <c r="O12" s="23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4">
        <f>LowerBasinCuts!I6/1000</f>
        <v>0.64</v>
      </c>
      <c r="D13" s="24">
        <f>LowerBasinCuts!J6/1000</f>
        <v>2.7E-2</v>
      </c>
      <c r="E13" s="24">
        <f>LowerBasinCuts!K6/1000</f>
        <v>0.35</v>
      </c>
      <c r="F13" s="12">
        <f>LowerBasinCuts!O6</f>
        <v>0.17100000000000001</v>
      </c>
      <c r="G13" s="24">
        <f t="shared" ref="G13:G14" si="3">SUM(C13:F13)</f>
        <v>1.1879999999999999</v>
      </c>
      <c r="I13" s="22" t="str">
        <f>'SEIS-Cuts'!A11</f>
        <v>1,075–1,050</v>
      </c>
      <c r="J13" s="6">
        <f>'SEIS-Cuts'!B11</f>
        <v>9.6009879999900001</v>
      </c>
      <c r="K13" s="23">
        <f>(K$9-'SEIS-Cuts'!O11/1000)/($O$9-'SEIS-Cuts'!$N11/1000)</f>
        <v>0.20987362702255816</v>
      </c>
      <c r="L13" s="23">
        <f>(L$9-'SEIS-Cuts'!P11/1000)/($O$9-'SEIS-Cuts'!$N11/1000)</f>
        <v>3.0353135703318764E-2</v>
      </c>
      <c r="M13" s="23">
        <f>(M$9-'SEIS-Cuts'!Q11/1000)/($O$9-'SEIS-Cuts'!$N11/1000)</f>
        <v>0.51966458013464034</v>
      </c>
      <c r="N13" s="23">
        <f t="shared" si="2"/>
        <v>0.17012288786482332</v>
      </c>
      <c r="O13" s="23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4">
        <f>LowerBasinCuts!I7/1000</f>
        <v>0.64</v>
      </c>
      <c r="D14" s="24">
        <f>LowerBasinCuts!J7/1000</f>
        <v>2.7E-2</v>
      </c>
      <c r="E14" s="24">
        <f>LowerBasinCuts!K7/1000</f>
        <v>0.3</v>
      </c>
      <c r="F14" s="12">
        <f>LowerBasinCuts!O7</f>
        <v>0.16200000000000001</v>
      </c>
      <c r="G14" s="24">
        <f t="shared" si="3"/>
        <v>1.129</v>
      </c>
      <c r="I14" s="22" t="str">
        <f>'SEIS-Cuts'!A12</f>
        <v>&lt;1,050–&gt;1,045</v>
      </c>
      <c r="J14" s="6">
        <f>'SEIS-Cuts'!B12</f>
        <v>7.6828779999999997</v>
      </c>
      <c r="K14" s="23">
        <f>(K$9-'SEIS-Cuts'!O12/1000)/($O$9-'SEIS-Cuts'!$N12/1000)</f>
        <v>0.19265179530001192</v>
      </c>
      <c r="L14" s="23">
        <f>(L$9-'SEIS-Cuts'!P12/1000)/($O$9-'SEIS-Cuts'!$N12/1000)</f>
        <v>2.9941548371704645E-2</v>
      </c>
      <c r="M14" s="23">
        <f>(M$9-'SEIS-Cuts'!Q12/1000)/($O$9-'SEIS-Cuts'!$N12/1000)</f>
        <v>0.52487176428486226</v>
      </c>
      <c r="N14" s="23">
        <f t="shared" si="2"/>
        <v>0.16999110659382544</v>
      </c>
      <c r="O14" s="23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4">
        <f>LowerBasinCuts!I8/1000</f>
        <v>0.64</v>
      </c>
      <c r="D15" s="24">
        <f>LowerBasinCuts!J8/1000</f>
        <v>2.7E-2</v>
      </c>
      <c r="E15" s="24">
        <f>LowerBasinCuts!K8/1000</f>
        <v>0.25</v>
      </c>
      <c r="F15" s="12">
        <f>LowerBasinCuts!O8</f>
        <v>0.154</v>
      </c>
      <c r="G15" s="24">
        <f t="shared" ref="G15:G19" si="4">SUM(C15:F15)</f>
        <v>1.071</v>
      </c>
      <c r="I15" s="22" t="str">
        <f>'SEIS-Cuts'!A13</f>
        <v>1,045–&gt;1,040</v>
      </c>
      <c r="J15" s="6">
        <f>'SEIS-Cuts'!B13</f>
        <v>7.3260519999999998</v>
      </c>
      <c r="K15" s="23">
        <f>(K$9-'SEIS-Cuts'!O13/1000)/($O$9-'SEIS-Cuts'!$N13/1000)</f>
        <v>0.14307323837136013</v>
      </c>
      <c r="L15" s="23">
        <f>(L$9-'SEIS-Cuts'!P13/1000)/($O$9-'SEIS-Cuts'!$N13/1000)</f>
        <v>2.9118870540779024E-2</v>
      </c>
      <c r="M15" s="23">
        <f>(M$9-'SEIS-Cuts'!Q13/1000)/($O$9-'SEIS-Cuts'!$N13/1000)</f>
        <v>0.5294340098323459</v>
      </c>
      <c r="N15" s="23">
        <f t="shared" si="2"/>
        <v>0.16975658973388827</v>
      </c>
      <c r="O15" s="23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4">
        <f>LowerBasinCuts!I9/1000</f>
        <v>0.64</v>
      </c>
      <c r="D16" s="24">
        <f>LowerBasinCuts!J9/1000</f>
        <v>2.7E-2</v>
      </c>
      <c r="E16" s="24">
        <f>LowerBasinCuts!K9/1000</f>
        <v>0.2</v>
      </c>
      <c r="F16" s="12">
        <f>LowerBasinCuts!O9</f>
        <v>0.14599999999999999</v>
      </c>
      <c r="G16" s="24">
        <f t="shared" si="4"/>
        <v>1.0129999999999999</v>
      </c>
      <c r="I16" s="22" t="str">
        <f>'SEIS-Cuts'!A14</f>
        <v>1,040–&gt;1,035</v>
      </c>
      <c r="J16" s="6">
        <f>'SEIS-Cuts'!B14</f>
        <v>6.977665</v>
      </c>
      <c r="K16" s="23">
        <f>(K$9-'SEIS-Cuts'!O14/1000)/($O$9-'SEIS-Cuts'!$N14/1000)</f>
        <v>0.13556293081439877</v>
      </c>
      <c r="L16" s="23">
        <f>(L$9-'SEIS-Cuts'!P14/1000)/($O$9-'SEIS-Cuts'!$N14/1000)</f>
        <v>2.7699770232320651E-2</v>
      </c>
      <c r="M16" s="23">
        <f>(M$9-'SEIS-Cuts'!Q14/1000)/($O$9-'SEIS-Cuts'!$N14/1000)</f>
        <v>0.52821036507531272</v>
      </c>
      <c r="N16" s="23">
        <f t="shared" si="2"/>
        <v>0.16952547890321773</v>
      </c>
      <c r="O16" s="23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4">
        <f>LowerBasinCuts!I10/1000</f>
        <v>0.59199999999999997</v>
      </c>
      <c r="D17" s="24">
        <f>LowerBasinCuts!J10/1000</f>
        <v>2.5000000000000001E-2</v>
      </c>
      <c r="E17" s="24">
        <f>LowerBasinCuts!K10/1000</f>
        <v>0</v>
      </c>
      <c r="F17" s="12">
        <f>LowerBasinCuts!O10</f>
        <v>0.104</v>
      </c>
      <c r="G17" s="24">
        <f t="shared" si="4"/>
        <v>0.72099999999999997</v>
      </c>
      <c r="I17" s="22" t="str">
        <f>'SEIS-Cuts'!A15</f>
        <v>1,035–&gt;1,030</v>
      </c>
      <c r="J17" s="6">
        <f>'SEIS-Cuts'!B15</f>
        <v>6.6375080000000004</v>
      </c>
      <c r="K17" s="23">
        <f>(K$9-'SEIS-Cuts'!O15/1000)/($O$9-'SEIS-Cuts'!$N15/1000)</f>
        <v>0.13535559520774915</v>
      </c>
      <c r="L17" s="23">
        <f>(L$9-'SEIS-Cuts'!P15/1000)/($O$9-'SEIS-Cuts'!$N15/1000)</f>
        <v>2.7657405047157784E-2</v>
      </c>
      <c r="M17" s="23">
        <f>(M$9-'SEIS-Cuts'!Q15/1000)/($O$9-'SEIS-Cuts'!$N15/1000)</f>
        <v>0.52255926586795831</v>
      </c>
      <c r="N17" s="23">
        <f t="shared" si="2"/>
        <v>0.16861939847807705</v>
      </c>
      <c r="O17" s="23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4">
        <f>LowerBasinCuts!I11/1000</f>
        <v>0.51200000000000001</v>
      </c>
      <c r="D18" s="24">
        <f>LowerBasinCuts!J11/1000</f>
        <v>2.1000000000000001E-2</v>
      </c>
      <c r="E18" s="24">
        <f>LowerBasinCuts!K11/1000</f>
        <v>0</v>
      </c>
      <c r="F18" s="12">
        <f>LowerBasinCuts!O11</f>
        <v>0.08</v>
      </c>
      <c r="G18" s="24">
        <f t="shared" si="4"/>
        <v>0.61299999999999999</v>
      </c>
      <c r="I18" s="22" t="str">
        <f>'SEIS-Cuts'!A16</f>
        <v>1,030–1,025</v>
      </c>
      <c r="J18" s="6">
        <f>'SEIS-Cuts'!B16</f>
        <v>6.305377</v>
      </c>
      <c r="K18" s="23">
        <f>(K$9-'SEIS-Cuts'!O16/1000)/($O$9-'SEIS-Cuts'!$N16/1000)</f>
        <v>0.13535559520774915</v>
      </c>
      <c r="L18" s="23">
        <f>(L$9-'SEIS-Cuts'!P16/1000)/($O$9-'SEIS-Cuts'!$N16/1000)</f>
        <v>2.7657405047157784E-2</v>
      </c>
      <c r="M18" s="23">
        <f>(M$9-'SEIS-Cuts'!Q16/1000)/($O$9-'SEIS-Cuts'!$N16/1000)</f>
        <v>0.51618659189395877</v>
      </c>
      <c r="N18" s="23">
        <f t="shared" si="2"/>
        <v>0.16930964588052938</v>
      </c>
      <c r="O18" s="23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4">
        <f>LowerBasinCuts!I12/1000</f>
        <v>0.192</v>
      </c>
      <c r="D19" s="24">
        <f>LowerBasinCuts!J12/1000</f>
        <v>8.0000000000000002E-3</v>
      </c>
      <c r="E19" s="24">
        <f>LowerBasinCuts!K12/1000</f>
        <v>0</v>
      </c>
      <c r="F19" s="12">
        <f>LowerBasinCuts!O12</f>
        <v>4.1000000000000002E-2</v>
      </c>
      <c r="G19" s="24">
        <f t="shared" si="4"/>
        <v>0.24100000000000002</v>
      </c>
      <c r="I19" s="22" t="str">
        <f>'SEIS-Cuts'!A17</f>
        <v>&lt;1,025–1,000</v>
      </c>
      <c r="J19" s="6">
        <f>'SEIS-Cuts'!B17</f>
        <v>5.981122</v>
      </c>
      <c r="K19" s="23">
        <f>(K$9-'SEIS-Cuts'!O17/1000)/($O$9-'SEIS-Cuts'!$N17/1000)</f>
        <v>0.133938706015891</v>
      </c>
      <c r="L19" s="23">
        <f>(L$9-'SEIS-Cuts'!P17/1000)/($O$9-'SEIS-Cuts'!$N17/1000)</f>
        <v>2.7367890023962664E-2</v>
      </c>
      <c r="M19" s="23">
        <f>(M$9-'SEIS-Cuts'!Q17/1000)/($O$9-'SEIS-Cuts'!$N17/1000)</f>
        <v>0.51078320090805907</v>
      </c>
      <c r="N19" s="23">
        <f t="shared" si="2"/>
        <v>0.16657152642995776</v>
      </c>
      <c r="O19" s="23">
        <f t="shared" si="2"/>
        <v>1</v>
      </c>
    </row>
    <row r="20" spans="1:15" x14ac:dyDescent="0.35">
      <c r="I20" s="22" t="str">
        <f>'SEIS-Cuts'!A18</f>
        <v>&lt;1,000–975</v>
      </c>
      <c r="J20" s="6">
        <f>'SEIS-Cuts'!B18</f>
        <v>0</v>
      </c>
    </row>
    <row r="21" spans="1:15" x14ac:dyDescent="0.35">
      <c r="I21" s="22" t="str">
        <f>'SEIS-Cuts'!A19</f>
        <v>&lt;975–950</v>
      </c>
      <c r="J21" s="6">
        <f>'SEIS-Cuts'!B19</f>
        <v>0</v>
      </c>
    </row>
    <row r="22" spans="1:15" x14ac:dyDescent="0.35">
      <c r="A22" t="s">
        <v>29</v>
      </c>
      <c r="I22" s="22" t="str">
        <f>'SEIS-Cuts'!A20</f>
        <v>&lt;950</v>
      </c>
      <c r="J22" s="6">
        <f>'SEIS-Cuts'!B20</f>
        <v>0</v>
      </c>
    </row>
    <row r="23" spans="1:15" x14ac:dyDescent="0.35">
      <c r="A23">
        <v>1030</v>
      </c>
      <c r="B23" s="2" t="s">
        <v>28</v>
      </c>
    </row>
    <row r="24" spans="1:15" x14ac:dyDescent="0.35">
      <c r="I24" t="s">
        <v>26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5">D26-D27</f>
        <v>0.27299999999999996</v>
      </c>
      <c r="E28" s="7">
        <f t="shared" si="5"/>
        <v>4.0500000000000007</v>
      </c>
      <c r="F28" s="7">
        <f t="shared" si="5"/>
        <v>1.329</v>
      </c>
      <c r="G28" s="7">
        <f t="shared" si="5"/>
        <v>7.8120000000000003</v>
      </c>
    </row>
    <row r="29" spans="1:15" x14ac:dyDescent="0.35">
      <c r="A29" t="s">
        <v>25</v>
      </c>
      <c r="C29" s="19">
        <f>C28/$G$28</f>
        <v>0.27649769585253453</v>
      </c>
      <c r="D29" s="19">
        <f t="shared" ref="D29:G29" si="6">D28/$G$28</f>
        <v>3.4946236559139782E-2</v>
      </c>
      <c r="E29" s="19">
        <f t="shared" si="6"/>
        <v>0.51843317972350234</v>
      </c>
      <c r="F29" s="19">
        <f t="shared" si="6"/>
        <v>0.17012288786482332</v>
      </c>
      <c r="G29" s="19">
        <f t="shared" si="6"/>
        <v>1</v>
      </c>
    </row>
    <row r="32" spans="1:15" x14ac:dyDescent="0.35">
      <c r="A32" s="1" t="s">
        <v>37</v>
      </c>
    </row>
    <row r="33" spans="1:1" x14ac:dyDescent="0.35">
      <c r="A33" s="25" t="s">
        <v>36</v>
      </c>
    </row>
  </sheetData>
  <mergeCells count="1">
    <mergeCell ref="K10:O10"/>
  </mergeCells>
  <hyperlinks>
    <hyperlink ref="A33" r:id="rId1" display="https://github.com/dzeke/ColoradoRiverCoding/blob/main/BlogDrafts/2-AddReservoirInflowAsNewCriteriaToGiveLakeMeadManagersMoreFlexibilityAndIndependenceToConserveWater.docx?raw=true" xr:uid="{5A913A31-E046-4EED-AA98-BCBB99DE956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4DB0-23EB-4C62-A61F-1876A514D549}">
  <dimension ref="A1:AE37"/>
  <sheetViews>
    <sheetView tabSelected="1" topLeftCell="A8" zoomScaleNormal="100" workbookViewId="0">
      <pane xSplit="2" ySplit="2" topLeftCell="E10" activePane="bottomRight" state="frozen"/>
      <selection activeCell="A8" sqref="A8"/>
      <selection pane="topRight" activeCell="C8" sqref="C8"/>
      <selection pane="bottomLeft" activeCell="A10" sqref="A10"/>
      <selection pane="bottomRight" activeCell="R22" sqref="R22"/>
    </sheetView>
  </sheetViews>
  <sheetFormatPr defaultRowHeight="14.5" x14ac:dyDescent="0.35"/>
  <cols>
    <col min="1" max="1" width="14.7265625" customWidth="1"/>
    <col min="2" max="2" width="10.7265625" customWidth="1"/>
    <col min="21" max="21" width="9.6328125" customWidth="1"/>
    <col min="30" max="30" width="17" customWidth="1"/>
    <col min="31" max="31" width="11.90625" customWidth="1"/>
  </cols>
  <sheetData>
    <row r="1" spans="1:31" x14ac:dyDescent="0.35">
      <c r="A1" t="s">
        <v>45</v>
      </c>
    </row>
    <row r="2" spans="1:31" x14ac:dyDescent="0.35">
      <c r="A2" s="25" t="s">
        <v>46</v>
      </c>
      <c r="B2" s="25"/>
    </row>
    <row r="3" spans="1:31" x14ac:dyDescent="0.35">
      <c r="A3" s="25"/>
      <c r="B3" s="25"/>
    </row>
    <row r="4" spans="1:31" x14ac:dyDescent="0.35">
      <c r="A4" s="27" t="s">
        <v>39</v>
      </c>
      <c r="B4" s="27"/>
      <c r="U4" s="27" t="s">
        <v>79</v>
      </c>
    </row>
    <row r="5" spans="1:31" x14ac:dyDescent="0.35">
      <c r="A5" s="27" t="s">
        <v>40</v>
      </c>
      <c r="B5" s="27"/>
      <c r="U5" s="27" t="s">
        <v>80</v>
      </c>
    </row>
    <row r="6" spans="1:31" x14ac:dyDescent="0.35">
      <c r="A6" s="29" t="s">
        <v>47</v>
      </c>
      <c r="B6" s="29"/>
      <c r="U6" s="27" t="s">
        <v>81</v>
      </c>
    </row>
    <row r="7" spans="1:31" x14ac:dyDescent="0.35">
      <c r="A7" s="46" t="s">
        <v>48</v>
      </c>
      <c r="B7" s="50" t="s">
        <v>86</v>
      </c>
      <c r="C7" s="46" t="s">
        <v>59</v>
      </c>
      <c r="D7" s="46"/>
      <c r="E7" s="46"/>
      <c r="F7" s="46"/>
      <c r="G7" s="46"/>
      <c r="H7" s="46"/>
      <c r="I7" s="45" t="s">
        <v>78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 t="s">
        <v>82</v>
      </c>
      <c r="V7" s="45"/>
      <c r="W7" s="45"/>
      <c r="X7" s="45"/>
      <c r="Y7" s="45"/>
      <c r="Z7" s="45"/>
      <c r="AA7" s="45"/>
      <c r="AB7" s="45"/>
      <c r="AC7" s="45"/>
      <c r="AD7" s="45" t="s">
        <v>84</v>
      </c>
      <c r="AE7" s="45"/>
    </row>
    <row r="8" spans="1:31" ht="27" customHeight="1" x14ac:dyDescent="0.35">
      <c r="A8" s="46"/>
      <c r="B8" s="51"/>
      <c r="C8" s="46"/>
      <c r="D8" s="46"/>
      <c r="E8" s="46"/>
      <c r="F8" s="46"/>
      <c r="G8" s="46"/>
      <c r="H8" s="46"/>
      <c r="I8" s="47" t="s">
        <v>60</v>
      </c>
      <c r="J8" s="47"/>
      <c r="K8" s="47"/>
      <c r="L8" s="47"/>
      <c r="M8" s="47"/>
      <c r="N8" s="47"/>
      <c r="O8" s="47" t="s">
        <v>61</v>
      </c>
      <c r="P8" s="47"/>
      <c r="Q8" s="47"/>
      <c r="R8" s="47"/>
      <c r="S8" s="47"/>
      <c r="T8" s="47"/>
      <c r="U8" s="48" t="s">
        <v>73</v>
      </c>
      <c r="V8" s="48"/>
      <c r="W8" s="48"/>
      <c r="X8" s="48"/>
      <c r="Y8" s="48"/>
      <c r="Z8" s="48" t="s">
        <v>77</v>
      </c>
      <c r="AA8" s="48"/>
      <c r="AB8" s="48"/>
      <c r="AC8" s="48"/>
      <c r="AD8" s="43" t="s">
        <v>85</v>
      </c>
      <c r="AE8" s="44"/>
    </row>
    <row r="9" spans="1:31" x14ac:dyDescent="0.35">
      <c r="A9" s="42"/>
      <c r="B9" s="42"/>
      <c r="C9" s="38" t="s">
        <v>41</v>
      </c>
      <c r="D9" s="38" t="s">
        <v>42</v>
      </c>
      <c r="E9" s="38" t="s">
        <v>43</v>
      </c>
      <c r="F9" s="38" t="s">
        <v>87</v>
      </c>
      <c r="G9" s="38" t="s">
        <v>4</v>
      </c>
      <c r="H9" s="38" t="s">
        <v>21</v>
      </c>
      <c r="I9" s="38" t="s">
        <v>41</v>
      </c>
      <c r="J9" s="38" t="s">
        <v>42</v>
      </c>
      <c r="K9" s="38" t="s">
        <v>43</v>
      </c>
      <c r="L9" s="38" t="s">
        <v>87</v>
      </c>
      <c r="M9" s="38" t="s">
        <v>4</v>
      </c>
      <c r="N9" s="38" t="s">
        <v>21</v>
      </c>
      <c r="O9" s="38" t="s">
        <v>41</v>
      </c>
      <c r="P9" s="38" t="s">
        <v>42</v>
      </c>
      <c r="Q9" s="38" t="s">
        <v>43</v>
      </c>
      <c r="R9" s="38" t="s">
        <v>87</v>
      </c>
      <c r="S9" s="38" t="s">
        <v>4</v>
      </c>
      <c r="T9" s="38" t="s">
        <v>21</v>
      </c>
      <c r="U9" s="38" t="s">
        <v>72</v>
      </c>
      <c r="V9" s="39" t="s">
        <v>41</v>
      </c>
      <c r="W9" s="38" t="s">
        <v>42</v>
      </c>
      <c r="X9" s="38" t="s">
        <v>43</v>
      </c>
      <c r="Y9" s="38" t="s">
        <v>21</v>
      </c>
      <c r="Z9" s="38" t="s">
        <v>41</v>
      </c>
      <c r="AA9" s="38" t="s">
        <v>42</v>
      </c>
      <c r="AB9" s="38" t="s">
        <v>43</v>
      </c>
      <c r="AC9" s="38" t="s">
        <v>21</v>
      </c>
      <c r="AD9" s="40" t="s">
        <v>83</v>
      </c>
      <c r="AE9" s="41" t="s">
        <v>21</v>
      </c>
    </row>
    <row r="10" spans="1:31" x14ac:dyDescent="0.35">
      <c r="A10" s="32" t="s">
        <v>49</v>
      </c>
      <c r="B10" s="52">
        <v>10.857008</v>
      </c>
      <c r="C10" s="12">
        <v>192</v>
      </c>
      <c r="D10" s="12">
        <v>8</v>
      </c>
      <c r="E10" s="12">
        <v>0</v>
      </c>
      <c r="F10" s="12">
        <f>SUM(C10:E10)</f>
        <v>200</v>
      </c>
      <c r="G10" s="12">
        <v>41</v>
      </c>
      <c r="H10" s="12">
        <f>SUM(C10:G10)</f>
        <v>441</v>
      </c>
      <c r="I10" s="12">
        <v>192</v>
      </c>
      <c r="J10" s="12">
        <v>8</v>
      </c>
      <c r="K10" s="12">
        <v>0</v>
      </c>
      <c r="L10" s="12">
        <f>SUM(I10:K10)</f>
        <v>200</v>
      </c>
      <c r="M10" s="12">
        <v>0</v>
      </c>
      <c r="N10" s="12">
        <f>L10+M10</f>
        <v>200</v>
      </c>
      <c r="O10" s="12">
        <v>384</v>
      </c>
      <c r="P10" s="12">
        <v>16</v>
      </c>
      <c r="Q10" s="12">
        <v>0</v>
      </c>
      <c r="R10" s="12">
        <f>F10+L10</f>
        <v>400</v>
      </c>
      <c r="S10" s="12">
        <f>G10+M10</f>
        <v>41</v>
      </c>
      <c r="T10" s="12">
        <v>400</v>
      </c>
      <c r="U10" s="37">
        <v>2.6700000000000002E-2</v>
      </c>
      <c r="V10" s="12">
        <v>75</v>
      </c>
      <c r="W10" s="12">
        <v>8</v>
      </c>
      <c r="X10" s="12">
        <v>117</v>
      </c>
      <c r="Y10" s="12">
        <v>200</v>
      </c>
      <c r="Z10" s="12">
        <v>267</v>
      </c>
      <c r="AA10" s="12">
        <v>16</v>
      </c>
      <c r="AB10" s="12">
        <v>117</v>
      </c>
      <c r="AC10" s="12">
        <v>400</v>
      </c>
      <c r="AD10" s="12">
        <v>200</v>
      </c>
      <c r="AE10" s="12">
        <v>400</v>
      </c>
    </row>
    <row r="11" spans="1:31" x14ac:dyDescent="0.35">
      <c r="A11" s="32" t="s">
        <v>50</v>
      </c>
      <c r="B11" s="52">
        <v>9.6009879999900001</v>
      </c>
      <c r="C11" s="12">
        <v>512</v>
      </c>
      <c r="D11" s="12">
        <v>21</v>
      </c>
      <c r="E11" s="12">
        <v>0</v>
      </c>
      <c r="F11" s="12">
        <f t="shared" ref="F11:F20" si="0">SUM(C11:E11)</f>
        <v>533</v>
      </c>
      <c r="G11" s="12">
        <v>80</v>
      </c>
      <c r="H11" s="12">
        <f t="shared" ref="H11:H20" si="1">SUM(C11:G11)</f>
        <v>1146</v>
      </c>
      <c r="I11" s="12">
        <v>511</v>
      </c>
      <c r="J11" s="12">
        <v>22</v>
      </c>
      <c r="K11" s="12">
        <v>0</v>
      </c>
      <c r="L11" s="12">
        <f t="shared" ref="L11:L20" si="2">SUM(I11:K11)</f>
        <v>533</v>
      </c>
      <c r="M11" s="12">
        <v>0</v>
      </c>
      <c r="N11" s="12">
        <f t="shared" ref="N11:N20" si="3">L11+M11</f>
        <v>533</v>
      </c>
      <c r="O11" s="33">
        <v>1023</v>
      </c>
      <c r="P11" s="12">
        <v>43</v>
      </c>
      <c r="Q11" s="12">
        <v>0</v>
      </c>
      <c r="R11" s="12">
        <f t="shared" ref="R11:R20" si="4">F11+L11</f>
        <v>1066</v>
      </c>
      <c r="S11" s="12">
        <f t="shared" ref="S11:S20" si="5">G11+M11</f>
        <v>80</v>
      </c>
      <c r="T11" s="33">
        <v>1066</v>
      </c>
      <c r="U11" s="37">
        <v>7.1099999999999997E-2</v>
      </c>
      <c r="V11" s="12">
        <v>199</v>
      </c>
      <c r="W11" s="12">
        <v>21</v>
      </c>
      <c r="X11" s="12">
        <v>313</v>
      </c>
      <c r="Y11" s="12">
        <v>533</v>
      </c>
      <c r="Z11" s="12">
        <v>711</v>
      </c>
      <c r="AA11" s="12">
        <v>42</v>
      </c>
      <c r="AB11" s="12">
        <v>313</v>
      </c>
      <c r="AC11" s="33">
        <v>1066</v>
      </c>
      <c r="AD11" s="12">
        <v>533</v>
      </c>
      <c r="AE11" s="33">
        <v>1066</v>
      </c>
    </row>
    <row r="12" spans="1:31" x14ac:dyDescent="0.35">
      <c r="A12" s="18" t="s">
        <v>51</v>
      </c>
      <c r="B12" s="52">
        <v>7.6828779999999997</v>
      </c>
      <c r="C12" s="12">
        <v>592</v>
      </c>
      <c r="D12" s="12">
        <v>25</v>
      </c>
      <c r="E12" s="12">
        <v>0</v>
      </c>
      <c r="F12" s="12">
        <f t="shared" si="0"/>
        <v>617</v>
      </c>
      <c r="G12" s="12">
        <v>104</v>
      </c>
      <c r="H12" s="12">
        <f t="shared" si="1"/>
        <v>1338</v>
      </c>
      <c r="I12" s="12">
        <v>593</v>
      </c>
      <c r="J12" s="12">
        <v>24</v>
      </c>
      <c r="K12" s="12">
        <v>0</v>
      </c>
      <c r="L12" s="12">
        <f t="shared" si="2"/>
        <v>617</v>
      </c>
      <c r="M12" s="12">
        <v>0</v>
      </c>
      <c r="N12" s="12">
        <f t="shared" si="3"/>
        <v>617</v>
      </c>
      <c r="O12" s="33">
        <v>1185</v>
      </c>
      <c r="P12" s="12">
        <v>49</v>
      </c>
      <c r="Q12" s="12">
        <v>0</v>
      </c>
      <c r="R12" s="12">
        <f>F12+L12</f>
        <v>1234</v>
      </c>
      <c r="S12" s="12">
        <f t="shared" si="5"/>
        <v>104</v>
      </c>
      <c r="T12" s="33">
        <v>1234</v>
      </c>
      <c r="U12" s="37">
        <v>8.2299999999999998E-2</v>
      </c>
      <c r="V12" s="12">
        <v>230</v>
      </c>
      <c r="W12" s="12">
        <v>25</v>
      </c>
      <c r="X12" s="12">
        <v>362</v>
      </c>
      <c r="Y12" s="12">
        <v>617</v>
      </c>
      <c r="Z12" s="12">
        <v>822</v>
      </c>
      <c r="AA12" s="12">
        <v>50</v>
      </c>
      <c r="AB12" s="12">
        <v>362</v>
      </c>
      <c r="AC12" s="33">
        <v>1234</v>
      </c>
      <c r="AD12" s="12">
        <v>617</v>
      </c>
      <c r="AE12" s="33">
        <v>1234</v>
      </c>
    </row>
    <row r="13" spans="1:31" x14ac:dyDescent="0.35">
      <c r="A13" s="32" t="s">
        <v>52</v>
      </c>
      <c r="B13" s="52">
        <v>7.3260519999999998</v>
      </c>
      <c r="C13" s="12">
        <v>640</v>
      </c>
      <c r="D13" s="12">
        <v>27</v>
      </c>
      <c r="E13" s="12">
        <v>200</v>
      </c>
      <c r="F13" s="12">
        <f t="shared" si="0"/>
        <v>867</v>
      </c>
      <c r="G13" s="12">
        <v>146</v>
      </c>
      <c r="H13" s="12">
        <f t="shared" si="1"/>
        <v>1880</v>
      </c>
      <c r="I13" s="33">
        <v>1025</v>
      </c>
      <c r="J13" s="12">
        <v>42</v>
      </c>
      <c r="K13" s="34">
        <v>0</v>
      </c>
      <c r="L13" s="12">
        <f t="shared" si="2"/>
        <v>1067</v>
      </c>
      <c r="M13" s="12">
        <v>0</v>
      </c>
      <c r="N13" s="12">
        <f t="shared" si="3"/>
        <v>1067</v>
      </c>
      <c r="O13" s="33">
        <v>1665</v>
      </c>
      <c r="P13" s="12">
        <v>69</v>
      </c>
      <c r="Q13" s="12">
        <v>200</v>
      </c>
      <c r="R13" s="12">
        <f>F13+L13</f>
        <v>1934</v>
      </c>
      <c r="S13" s="12">
        <f t="shared" si="5"/>
        <v>146</v>
      </c>
      <c r="T13" s="35">
        <v>1734</v>
      </c>
      <c r="U13" s="37">
        <v>0.11559999999999999</v>
      </c>
      <c r="V13" s="12">
        <v>324</v>
      </c>
      <c r="W13" s="12">
        <v>35</v>
      </c>
      <c r="X13" s="12">
        <v>509</v>
      </c>
      <c r="Y13" s="12">
        <v>867</v>
      </c>
      <c r="Z13" s="12">
        <v>964</v>
      </c>
      <c r="AA13" s="12">
        <v>62</v>
      </c>
      <c r="AB13" s="12">
        <v>709</v>
      </c>
      <c r="AC13" s="33">
        <v>1734</v>
      </c>
      <c r="AD13" s="12">
        <v>867</v>
      </c>
      <c r="AE13" s="33">
        <v>1734</v>
      </c>
    </row>
    <row r="14" spans="1:31" x14ac:dyDescent="0.35">
      <c r="A14" s="32" t="s">
        <v>53</v>
      </c>
      <c r="B14" s="52">
        <v>6.977665</v>
      </c>
      <c r="C14" s="12">
        <v>640</v>
      </c>
      <c r="D14" s="12">
        <v>27</v>
      </c>
      <c r="E14" s="12">
        <v>250</v>
      </c>
      <c r="F14" s="12">
        <f t="shared" si="0"/>
        <v>917</v>
      </c>
      <c r="G14" s="12">
        <v>154</v>
      </c>
      <c r="H14" s="12">
        <f t="shared" si="1"/>
        <v>1988</v>
      </c>
      <c r="I14" s="33">
        <v>1098</v>
      </c>
      <c r="J14" s="12">
        <v>56</v>
      </c>
      <c r="K14" s="12">
        <v>12</v>
      </c>
      <c r="L14" s="12">
        <f t="shared" si="2"/>
        <v>1166</v>
      </c>
      <c r="M14" s="12">
        <v>0</v>
      </c>
      <c r="N14" s="12">
        <f t="shared" si="3"/>
        <v>1166</v>
      </c>
      <c r="O14" s="33">
        <v>1738</v>
      </c>
      <c r="P14" s="12">
        <v>83</v>
      </c>
      <c r="Q14" s="12">
        <v>262</v>
      </c>
      <c r="R14" s="12">
        <f t="shared" si="4"/>
        <v>2083</v>
      </c>
      <c r="S14" s="12">
        <f t="shared" si="5"/>
        <v>154</v>
      </c>
      <c r="T14" s="33">
        <v>2083</v>
      </c>
      <c r="U14" s="37">
        <v>0.1555</v>
      </c>
      <c r="V14" s="12">
        <v>435</v>
      </c>
      <c r="W14" s="12">
        <v>47</v>
      </c>
      <c r="X14" s="12">
        <v>684</v>
      </c>
      <c r="Y14" s="33">
        <v>1166</v>
      </c>
      <c r="Z14" s="33">
        <v>1075</v>
      </c>
      <c r="AA14" s="12">
        <v>74</v>
      </c>
      <c r="AB14" s="12">
        <v>934</v>
      </c>
      <c r="AC14" s="33">
        <v>2083</v>
      </c>
      <c r="AD14" s="33">
        <v>1166</v>
      </c>
      <c r="AE14" s="33">
        <v>2083</v>
      </c>
    </row>
    <row r="15" spans="1:31" x14ac:dyDescent="0.35">
      <c r="A15" s="32" t="s">
        <v>54</v>
      </c>
      <c r="B15" s="52">
        <v>6.6375080000000004</v>
      </c>
      <c r="C15" s="12">
        <v>640</v>
      </c>
      <c r="D15" s="12">
        <v>27</v>
      </c>
      <c r="E15" s="12">
        <v>300</v>
      </c>
      <c r="F15" s="12">
        <f t="shared" si="0"/>
        <v>967</v>
      </c>
      <c r="G15" s="12">
        <v>162</v>
      </c>
      <c r="H15" s="12">
        <f t="shared" si="1"/>
        <v>2096</v>
      </c>
      <c r="I15" s="33">
        <v>1098</v>
      </c>
      <c r="J15" s="12">
        <v>56</v>
      </c>
      <c r="K15" s="34">
        <v>0</v>
      </c>
      <c r="L15" s="12">
        <f t="shared" si="2"/>
        <v>1154</v>
      </c>
      <c r="M15" s="12">
        <v>0</v>
      </c>
      <c r="N15" s="12">
        <f t="shared" si="3"/>
        <v>1154</v>
      </c>
      <c r="O15" s="33">
        <v>1738</v>
      </c>
      <c r="P15" s="12">
        <v>83</v>
      </c>
      <c r="Q15" s="12">
        <v>300</v>
      </c>
      <c r="R15" s="12">
        <f t="shared" si="4"/>
        <v>2121</v>
      </c>
      <c r="S15" s="12">
        <f t="shared" si="5"/>
        <v>162</v>
      </c>
      <c r="T15" s="35">
        <v>2083</v>
      </c>
      <c r="U15" s="37">
        <v>0.14879999999999999</v>
      </c>
      <c r="V15" s="12">
        <v>417</v>
      </c>
      <c r="W15" s="12">
        <v>45</v>
      </c>
      <c r="X15" s="12">
        <v>655</v>
      </c>
      <c r="Y15" s="33">
        <v>1116</v>
      </c>
      <c r="Z15" s="33">
        <v>1057</v>
      </c>
      <c r="AA15" s="12">
        <v>72</v>
      </c>
      <c r="AB15" s="12">
        <v>955</v>
      </c>
      <c r="AC15" s="33">
        <v>2083</v>
      </c>
      <c r="AD15" s="33">
        <v>1283</v>
      </c>
      <c r="AE15" s="33">
        <v>2250</v>
      </c>
    </row>
    <row r="16" spans="1:31" x14ac:dyDescent="0.35">
      <c r="A16" s="32" t="s">
        <v>55</v>
      </c>
      <c r="B16" s="52">
        <v>6.305377</v>
      </c>
      <c r="C16" s="12">
        <v>640</v>
      </c>
      <c r="D16" s="12">
        <v>27</v>
      </c>
      <c r="E16" s="12">
        <v>350</v>
      </c>
      <c r="F16" s="12">
        <f t="shared" si="0"/>
        <v>1017</v>
      </c>
      <c r="G16" s="12">
        <v>171</v>
      </c>
      <c r="H16" s="12">
        <f t="shared" si="1"/>
        <v>2205</v>
      </c>
      <c r="I16" s="33">
        <v>1098</v>
      </c>
      <c r="J16" s="12">
        <v>56</v>
      </c>
      <c r="K16" s="34">
        <v>0</v>
      </c>
      <c r="L16" s="12">
        <f t="shared" si="2"/>
        <v>1154</v>
      </c>
      <c r="M16" s="12">
        <v>0</v>
      </c>
      <c r="N16" s="12">
        <f t="shared" si="3"/>
        <v>1154</v>
      </c>
      <c r="O16" s="33">
        <v>1738</v>
      </c>
      <c r="P16" s="12">
        <v>83</v>
      </c>
      <c r="Q16" s="12">
        <v>350</v>
      </c>
      <c r="R16" s="12">
        <f t="shared" si="4"/>
        <v>2171</v>
      </c>
      <c r="S16" s="12">
        <f t="shared" si="5"/>
        <v>171</v>
      </c>
      <c r="T16" s="35">
        <v>2083</v>
      </c>
      <c r="U16" s="37">
        <v>0.1421</v>
      </c>
      <c r="V16" s="12">
        <v>398</v>
      </c>
      <c r="W16" s="12">
        <v>43</v>
      </c>
      <c r="X16" s="12">
        <v>625</v>
      </c>
      <c r="Y16" s="33">
        <v>1066</v>
      </c>
      <c r="Z16" s="33">
        <v>1038</v>
      </c>
      <c r="AA16" s="12">
        <v>70</v>
      </c>
      <c r="AB16" s="12">
        <v>975</v>
      </c>
      <c r="AC16" s="33">
        <v>2083</v>
      </c>
      <c r="AD16" s="33">
        <v>1483</v>
      </c>
      <c r="AE16" s="33">
        <v>2500</v>
      </c>
    </row>
    <row r="17" spans="1:31" x14ac:dyDescent="0.35">
      <c r="A17" s="18" t="s">
        <v>56</v>
      </c>
      <c r="B17" s="52">
        <v>5.981122</v>
      </c>
      <c r="C17" s="12">
        <v>720</v>
      </c>
      <c r="D17" s="12">
        <v>30</v>
      </c>
      <c r="E17" s="12">
        <v>350</v>
      </c>
      <c r="F17" s="12">
        <f t="shared" si="0"/>
        <v>1100</v>
      </c>
      <c r="G17" s="12">
        <v>275</v>
      </c>
      <c r="H17" s="12">
        <f t="shared" si="1"/>
        <v>2475</v>
      </c>
      <c r="I17" s="33">
        <v>1018</v>
      </c>
      <c r="J17" s="12">
        <v>53</v>
      </c>
      <c r="K17" s="34">
        <v>0</v>
      </c>
      <c r="L17" s="12">
        <f t="shared" si="2"/>
        <v>1071</v>
      </c>
      <c r="M17" s="12">
        <v>0</v>
      </c>
      <c r="N17" s="12">
        <f t="shared" si="3"/>
        <v>1071</v>
      </c>
      <c r="O17" s="33">
        <v>1738</v>
      </c>
      <c r="P17" s="12">
        <v>83</v>
      </c>
      <c r="Q17" s="12">
        <v>350</v>
      </c>
      <c r="R17" s="12">
        <f t="shared" si="4"/>
        <v>2171</v>
      </c>
      <c r="S17" s="12">
        <f t="shared" si="5"/>
        <v>275</v>
      </c>
      <c r="T17" s="35">
        <v>2083</v>
      </c>
      <c r="U17" s="37">
        <v>0.13109999999999999</v>
      </c>
      <c r="V17" s="12">
        <v>367</v>
      </c>
      <c r="W17" s="12">
        <v>39</v>
      </c>
      <c r="X17" s="12">
        <v>577</v>
      </c>
      <c r="Y17" s="12">
        <v>983</v>
      </c>
      <c r="Z17" s="33">
        <v>1087</v>
      </c>
      <c r="AA17" s="12">
        <v>69</v>
      </c>
      <c r="AB17" s="12">
        <v>927</v>
      </c>
      <c r="AC17" s="33">
        <v>2083</v>
      </c>
      <c r="AD17" s="33">
        <v>1900</v>
      </c>
      <c r="AE17" s="33">
        <v>3000</v>
      </c>
    </row>
    <row r="18" spans="1:31" x14ac:dyDescent="0.35">
      <c r="A18" s="18" t="s">
        <v>57</v>
      </c>
      <c r="B18" s="18"/>
      <c r="C18" s="12">
        <v>720</v>
      </c>
      <c r="D18" s="12">
        <v>30</v>
      </c>
      <c r="E18" s="12">
        <v>350</v>
      </c>
      <c r="F18" s="12">
        <f t="shared" si="0"/>
        <v>1100</v>
      </c>
      <c r="G18" s="12">
        <v>275</v>
      </c>
      <c r="H18" s="12">
        <f t="shared" si="1"/>
        <v>2475</v>
      </c>
      <c r="I18" s="33">
        <v>1018</v>
      </c>
      <c r="J18" s="12">
        <v>53</v>
      </c>
      <c r="K18" s="34">
        <v>0</v>
      </c>
      <c r="L18" s="12">
        <f t="shared" si="2"/>
        <v>1071</v>
      </c>
      <c r="M18" s="12">
        <v>0</v>
      </c>
      <c r="N18" s="12">
        <f t="shared" si="3"/>
        <v>1071</v>
      </c>
      <c r="O18" s="33">
        <v>1738</v>
      </c>
      <c r="P18" s="12">
        <v>83</v>
      </c>
      <c r="Q18" s="12">
        <v>350</v>
      </c>
      <c r="R18" s="12">
        <f t="shared" si="4"/>
        <v>2171</v>
      </c>
      <c r="S18" s="12">
        <f t="shared" si="5"/>
        <v>275</v>
      </c>
      <c r="T18" s="35">
        <v>2083</v>
      </c>
      <c r="U18" s="37">
        <v>0.13109999999999999</v>
      </c>
      <c r="V18" s="12">
        <v>367</v>
      </c>
      <c r="W18" s="12">
        <v>39</v>
      </c>
      <c r="X18" s="12">
        <v>577</v>
      </c>
      <c r="Y18" s="12">
        <v>983</v>
      </c>
      <c r="Z18" s="33">
        <v>1087</v>
      </c>
      <c r="AA18" s="12">
        <v>69</v>
      </c>
      <c r="AB18" s="12">
        <v>927</v>
      </c>
      <c r="AC18" s="33">
        <v>2083</v>
      </c>
      <c r="AD18" s="33">
        <v>2233</v>
      </c>
      <c r="AE18" s="33">
        <v>3333</v>
      </c>
    </row>
    <row r="19" spans="1:31" x14ac:dyDescent="0.35">
      <c r="A19" s="18" t="s">
        <v>58</v>
      </c>
      <c r="B19" s="18"/>
      <c r="C19" s="12">
        <v>720</v>
      </c>
      <c r="D19" s="12">
        <v>30</v>
      </c>
      <c r="E19" s="12">
        <v>350</v>
      </c>
      <c r="F19" s="12">
        <f t="shared" si="0"/>
        <v>1100</v>
      </c>
      <c r="G19" s="12">
        <v>275</v>
      </c>
      <c r="H19" s="12">
        <f t="shared" si="1"/>
        <v>2475</v>
      </c>
      <c r="I19" s="33">
        <v>1018</v>
      </c>
      <c r="J19" s="12">
        <v>53</v>
      </c>
      <c r="K19" s="34">
        <v>0</v>
      </c>
      <c r="L19" s="12">
        <f t="shared" si="2"/>
        <v>1071</v>
      </c>
      <c r="M19" s="12">
        <v>0</v>
      </c>
      <c r="N19" s="12">
        <f t="shared" si="3"/>
        <v>1071</v>
      </c>
      <c r="O19" s="33">
        <v>1738</v>
      </c>
      <c r="P19" s="12">
        <v>83</v>
      </c>
      <c r="Q19" s="12">
        <v>350</v>
      </c>
      <c r="R19" s="12">
        <f t="shared" si="4"/>
        <v>2171</v>
      </c>
      <c r="S19" s="12">
        <f t="shared" si="5"/>
        <v>275</v>
      </c>
      <c r="T19" s="35">
        <v>2083</v>
      </c>
      <c r="U19" s="37">
        <v>0.13109999999999999</v>
      </c>
      <c r="V19" s="12">
        <v>367</v>
      </c>
      <c r="W19" s="12">
        <v>39</v>
      </c>
      <c r="X19" s="12">
        <v>577</v>
      </c>
      <c r="Y19" s="12">
        <v>983</v>
      </c>
      <c r="Z19" s="33">
        <v>1087</v>
      </c>
      <c r="AA19" s="12">
        <v>69</v>
      </c>
      <c r="AB19" s="12">
        <v>927</v>
      </c>
      <c r="AC19" s="33">
        <v>2083</v>
      </c>
      <c r="AD19" s="33">
        <v>2567</v>
      </c>
      <c r="AE19" s="33">
        <v>3667</v>
      </c>
    </row>
    <row r="20" spans="1:31" x14ac:dyDescent="0.35">
      <c r="A20" s="18" t="s">
        <v>44</v>
      </c>
      <c r="B20" s="18"/>
      <c r="C20" s="12">
        <v>720</v>
      </c>
      <c r="D20" s="12">
        <v>30</v>
      </c>
      <c r="E20" s="12">
        <v>350</v>
      </c>
      <c r="F20" s="54">
        <f t="shared" si="0"/>
        <v>1100</v>
      </c>
      <c r="G20" s="12">
        <v>275</v>
      </c>
      <c r="H20" s="12">
        <f t="shared" si="1"/>
        <v>2475</v>
      </c>
      <c r="I20" s="33">
        <v>1018</v>
      </c>
      <c r="J20" s="12">
        <v>53</v>
      </c>
      <c r="K20" s="34">
        <v>0</v>
      </c>
      <c r="L20" s="12">
        <f t="shared" si="2"/>
        <v>1071</v>
      </c>
      <c r="M20" s="12">
        <v>0</v>
      </c>
      <c r="N20" s="12">
        <f t="shared" si="3"/>
        <v>1071</v>
      </c>
      <c r="O20" s="33">
        <v>1738</v>
      </c>
      <c r="P20" s="12">
        <v>83</v>
      </c>
      <c r="Q20" s="12">
        <v>350</v>
      </c>
      <c r="R20" s="12">
        <f t="shared" si="4"/>
        <v>2171</v>
      </c>
      <c r="S20" s="12">
        <f t="shared" si="5"/>
        <v>275</v>
      </c>
      <c r="T20" s="35">
        <v>2083</v>
      </c>
      <c r="U20" s="37">
        <v>0.13109999999999999</v>
      </c>
      <c r="V20" s="12">
        <v>367</v>
      </c>
      <c r="W20" s="12">
        <v>39</v>
      </c>
      <c r="X20" s="12">
        <v>577</v>
      </c>
      <c r="Y20" s="12">
        <v>983</v>
      </c>
      <c r="Z20" s="33">
        <v>1087</v>
      </c>
      <c r="AA20" s="12">
        <v>69</v>
      </c>
      <c r="AB20" s="12">
        <v>927</v>
      </c>
      <c r="AC20" s="33">
        <v>2083</v>
      </c>
      <c r="AD20" s="33">
        <v>2900</v>
      </c>
      <c r="AE20" s="33">
        <v>4000</v>
      </c>
    </row>
    <row r="21" spans="1:31" x14ac:dyDescent="0.35">
      <c r="F21" s="55"/>
      <c r="H21">
        <f>H10-G10</f>
        <v>400</v>
      </c>
      <c r="N21" s="12"/>
      <c r="R21" s="33">
        <f>R20-T20</f>
        <v>88</v>
      </c>
      <c r="U21" s="27" t="s">
        <v>74</v>
      </c>
    </row>
    <row r="22" spans="1:31" x14ac:dyDescent="0.35">
      <c r="A22" s="27" t="s">
        <v>62</v>
      </c>
      <c r="B22" s="27"/>
      <c r="F22" s="55"/>
      <c r="R22" s="12"/>
      <c r="U22" s="27" t="s">
        <v>75</v>
      </c>
    </row>
    <row r="23" spans="1:31" x14ac:dyDescent="0.35">
      <c r="A23" s="27" t="s">
        <v>63</v>
      </c>
      <c r="B23" s="27"/>
      <c r="F23" s="55"/>
      <c r="R23" s="12"/>
      <c r="U23" s="27" t="s">
        <v>76</v>
      </c>
    </row>
    <row r="24" spans="1:31" x14ac:dyDescent="0.35">
      <c r="A24" s="27" t="s">
        <v>64</v>
      </c>
      <c r="B24" s="27"/>
      <c r="F24" s="55"/>
      <c r="R24" s="12"/>
      <c r="V24" s="36"/>
      <c r="X24" s="28"/>
    </row>
    <row r="25" spans="1:31" x14ac:dyDescent="0.35">
      <c r="A25" s="30" t="s">
        <v>65</v>
      </c>
      <c r="B25" s="30"/>
      <c r="F25" s="55"/>
      <c r="R25" s="12"/>
      <c r="V25" s="27"/>
    </row>
    <row r="26" spans="1:31" x14ac:dyDescent="0.35">
      <c r="A26" s="30" t="s">
        <v>66</v>
      </c>
      <c r="B26" s="30"/>
      <c r="F26" s="55"/>
      <c r="R26" s="12"/>
      <c r="V26" s="36"/>
    </row>
    <row r="27" spans="1:31" x14ac:dyDescent="0.35">
      <c r="A27" s="31" t="s">
        <v>67</v>
      </c>
      <c r="B27" s="31"/>
      <c r="F27" s="55"/>
      <c r="R27" s="12"/>
      <c r="U27" s="28"/>
      <c r="V27" s="36"/>
    </row>
    <row r="28" spans="1:31" x14ac:dyDescent="0.35">
      <c r="A28" s="31" t="s">
        <v>68</v>
      </c>
      <c r="B28" s="31"/>
      <c r="F28" s="55"/>
      <c r="R28" s="12"/>
      <c r="U28" s="28"/>
      <c r="V28" s="36"/>
      <c r="W28" s="28"/>
      <c r="AB28" s="28"/>
    </row>
    <row r="29" spans="1:31" x14ac:dyDescent="0.35">
      <c r="A29" s="31" t="s">
        <v>69</v>
      </c>
      <c r="B29" s="31"/>
      <c r="F29" s="55"/>
      <c r="R29" s="12"/>
      <c r="V29" s="36"/>
      <c r="X29" s="28"/>
      <c r="AB29" s="28"/>
    </row>
    <row r="30" spans="1:31" x14ac:dyDescent="0.35">
      <c r="A30" s="31" t="s">
        <v>70</v>
      </c>
      <c r="B30" s="31"/>
      <c r="F30" s="55"/>
      <c r="R30" s="12"/>
      <c r="U30" s="28"/>
      <c r="V30" s="27"/>
      <c r="X30" s="28"/>
      <c r="AB30" s="28"/>
    </row>
    <row r="31" spans="1:31" x14ac:dyDescent="0.35">
      <c r="A31" s="31" t="s">
        <v>71</v>
      </c>
      <c r="B31" s="31"/>
      <c r="F31" s="55"/>
      <c r="R31" s="12"/>
      <c r="U31" s="28"/>
      <c r="V31" s="27"/>
      <c r="AA31" s="28"/>
      <c r="AB31" s="28"/>
    </row>
    <row r="32" spans="1:31" x14ac:dyDescent="0.35">
      <c r="U32" s="28"/>
      <c r="V32" s="27"/>
      <c r="AA32" s="28"/>
      <c r="AB32" s="28"/>
    </row>
    <row r="33" spans="21:28" x14ac:dyDescent="0.35">
      <c r="U33" s="28"/>
      <c r="V33" s="27"/>
      <c r="W33" s="28"/>
      <c r="Z33" s="28"/>
      <c r="AA33" s="28"/>
      <c r="AB33" s="28"/>
    </row>
    <row r="34" spans="21:28" x14ac:dyDescent="0.35">
      <c r="W34" s="28"/>
      <c r="Z34" s="28"/>
      <c r="AA34" s="28"/>
      <c r="AB34" s="28"/>
    </row>
    <row r="35" spans="21:28" x14ac:dyDescent="0.35">
      <c r="Z35" s="28"/>
      <c r="AA35" s="28"/>
      <c r="AB35" s="28"/>
    </row>
    <row r="36" spans="21:28" x14ac:dyDescent="0.35">
      <c r="Z36" s="28"/>
      <c r="AA36" s="28"/>
      <c r="AB36" s="28"/>
    </row>
    <row r="37" spans="21:28" x14ac:dyDescent="0.35">
      <c r="Z37" s="28"/>
      <c r="AA37" s="28"/>
      <c r="AB37" s="28"/>
    </row>
  </sheetData>
  <sortState xmlns:xlrd2="http://schemas.microsoft.com/office/spreadsheetml/2017/richdata2" ref="B10:B17">
    <sortCondition descending="1" ref="B10:B17"/>
  </sortState>
  <mergeCells count="11">
    <mergeCell ref="A7:A8"/>
    <mergeCell ref="I8:N8"/>
    <mergeCell ref="O8:T8"/>
    <mergeCell ref="U8:Y8"/>
    <mergeCell ref="Z8:AC8"/>
    <mergeCell ref="B7:B8"/>
    <mergeCell ref="AD8:AE8"/>
    <mergeCell ref="AD7:AE7"/>
    <mergeCell ref="I7:T7"/>
    <mergeCell ref="U7:AC7"/>
    <mergeCell ref="C7:H8"/>
  </mergeCells>
  <hyperlinks>
    <hyperlink ref="A2" r:id="rId1" xr:uid="{37A0A559-A066-48B0-9816-F9F7E3B09C1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33"/>
  <sheetViews>
    <sheetView topLeftCell="A12" zoomScale="160" zoomScaleNormal="160" workbookViewId="0">
      <selection activeCell="D20" sqref="D20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0"/>
      <c r="C1" s="20"/>
      <c r="D1" s="20"/>
      <c r="E1" s="20"/>
      <c r="F1" s="20"/>
      <c r="G1" s="20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0">
        <v>2.8</v>
      </c>
      <c r="L9" s="20">
        <v>0.3</v>
      </c>
      <c r="M9" s="20">
        <v>4.4000000000000004</v>
      </c>
      <c r="N9" s="20">
        <v>1.5</v>
      </c>
      <c r="O9" s="20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1" customFormat="1" ht="43.5" x14ac:dyDescent="0.35">
      <c r="A11" s="3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6" t="s">
        <v>30</v>
      </c>
      <c r="J11" s="26" t="s">
        <v>31</v>
      </c>
      <c r="K11" s="26" t="str">
        <f t="shared" ref="K11:M11" si="0">C11</f>
        <v>Arizona</v>
      </c>
      <c r="L11" s="26" t="str">
        <f t="shared" si="0"/>
        <v>Nevada</v>
      </c>
      <c r="M11" s="26" t="str">
        <f t="shared" si="0"/>
        <v>California</v>
      </c>
      <c r="N11" s="26" t="str">
        <f>F11</f>
        <v>Mexico</v>
      </c>
      <c r="O11" s="26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4">
        <f>LowerBasinCuts!I5/1000</f>
        <v>0.72</v>
      </c>
      <c r="D12" s="24">
        <f>LowerBasinCuts!J5/1000</f>
        <v>0.03</v>
      </c>
      <c r="E12" s="24">
        <f>LowerBasinCuts!K5/1000</f>
        <v>0.35</v>
      </c>
      <c r="F12" s="12">
        <f>LowerBasinCuts!O5</f>
        <v>0.27500000000000002</v>
      </c>
      <c r="G12" s="24">
        <f>SUM(C12:F12)</f>
        <v>1.375</v>
      </c>
      <c r="I12" s="22">
        <f>A12</f>
        <v>1025</v>
      </c>
      <c r="J12" s="11">
        <f>B12</f>
        <v>5.981122</v>
      </c>
      <c r="K12" s="23">
        <f t="shared" ref="K12:O19" si="2">(K$9-C12)/($O$9-SUM($C12:$F12))</f>
        <v>0.27278688524590167</v>
      </c>
      <c r="L12" s="23">
        <f t="shared" si="2"/>
        <v>3.5409836065573776E-2</v>
      </c>
      <c r="M12" s="23">
        <f t="shared" si="2"/>
        <v>0.53114754098360661</v>
      </c>
      <c r="N12" s="23">
        <f t="shared" si="2"/>
        <v>0.16065573770491803</v>
      </c>
      <c r="O12" s="23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4">
        <f>LowerBasinCuts!I6/1000</f>
        <v>0.64</v>
      </c>
      <c r="D13" s="24">
        <f>LowerBasinCuts!J6/1000</f>
        <v>2.7E-2</v>
      </c>
      <c r="E13" s="24">
        <f>LowerBasinCuts!K6/1000</f>
        <v>0.35</v>
      </c>
      <c r="F13" s="12">
        <f>LowerBasinCuts!O6</f>
        <v>0.17100000000000001</v>
      </c>
      <c r="G13" s="24">
        <f t="shared" ref="G13:G14" si="3">SUM(C13:F13)</f>
        <v>1.1879999999999999</v>
      </c>
      <c r="I13" s="22">
        <f t="shared" ref="I13:I19" si="4">A13</f>
        <v>1030</v>
      </c>
      <c r="J13" s="11">
        <f t="shared" ref="J13:J19" si="5">B13</f>
        <v>6.305377</v>
      </c>
      <c r="K13" s="23">
        <f t="shared" si="2"/>
        <v>0.27649769585253453</v>
      </c>
      <c r="L13" s="23">
        <f t="shared" si="2"/>
        <v>3.4946236559139782E-2</v>
      </c>
      <c r="M13" s="23">
        <f t="shared" si="2"/>
        <v>0.51843317972350234</v>
      </c>
      <c r="N13" s="23">
        <f t="shared" si="2"/>
        <v>0.17012288786482332</v>
      </c>
      <c r="O13" s="23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4">
        <f>LowerBasinCuts!I7/1000</f>
        <v>0.64</v>
      </c>
      <c r="D14" s="24">
        <f>LowerBasinCuts!J7/1000</f>
        <v>2.7E-2</v>
      </c>
      <c r="E14" s="24">
        <f>LowerBasinCuts!K7/1000</f>
        <v>0.3</v>
      </c>
      <c r="F14" s="12">
        <f>LowerBasinCuts!O7</f>
        <v>0.16200000000000001</v>
      </c>
      <c r="G14" s="24">
        <f t="shared" si="3"/>
        <v>1.129</v>
      </c>
      <c r="I14" s="22">
        <f t="shared" si="4"/>
        <v>1035</v>
      </c>
      <c r="J14" s="11">
        <f t="shared" si="5"/>
        <v>6.6375080000000004</v>
      </c>
      <c r="K14" s="23">
        <f t="shared" si="2"/>
        <v>0.27442510481514415</v>
      </c>
      <c r="L14" s="23">
        <f t="shared" si="2"/>
        <v>3.4684284080802943E-2</v>
      </c>
      <c r="M14" s="23">
        <f t="shared" si="2"/>
        <v>0.52089950451022748</v>
      </c>
      <c r="N14" s="23">
        <f t="shared" si="2"/>
        <v>0.16999110659382544</v>
      </c>
      <c r="O14" s="23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4">
        <f>LowerBasinCuts!I8/1000</f>
        <v>0.64</v>
      </c>
      <c r="D15" s="24">
        <f>LowerBasinCuts!J8/1000</f>
        <v>2.7E-2</v>
      </c>
      <c r="E15" s="24">
        <f>LowerBasinCuts!K8/1000</f>
        <v>0.25</v>
      </c>
      <c r="F15" s="12">
        <f>LowerBasinCuts!O8</f>
        <v>0.154</v>
      </c>
      <c r="G15" s="24">
        <f t="shared" ref="G15:G19" si="6">SUM(C15:F15)</f>
        <v>1.071</v>
      </c>
      <c r="I15" s="22">
        <f t="shared" si="4"/>
        <v>1040</v>
      </c>
      <c r="J15" s="11">
        <f t="shared" si="5"/>
        <v>6.977665</v>
      </c>
      <c r="K15" s="23">
        <f t="shared" si="2"/>
        <v>0.27241770715096475</v>
      </c>
      <c r="L15" s="23">
        <f t="shared" si="2"/>
        <v>3.4430571320469158E-2</v>
      </c>
      <c r="M15" s="23">
        <f t="shared" si="2"/>
        <v>0.52339513179467778</v>
      </c>
      <c r="N15" s="23">
        <f t="shared" si="2"/>
        <v>0.16975658973388827</v>
      </c>
      <c r="O15" s="23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4">
        <f>LowerBasinCuts!I9/1000</f>
        <v>0.64</v>
      </c>
      <c r="D16" s="24">
        <f>LowerBasinCuts!J9/1000</f>
        <v>2.7E-2</v>
      </c>
      <c r="E16" s="24">
        <f>LowerBasinCuts!K9/1000</f>
        <v>0.2</v>
      </c>
      <c r="F16" s="12">
        <f>LowerBasinCuts!O9</f>
        <v>0.14599999999999999</v>
      </c>
      <c r="G16" s="24">
        <f t="shared" si="6"/>
        <v>1.0129999999999999</v>
      </c>
      <c r="I16" s="22">
        <f t="shared" si="4"/>
        <v>1045</v>
      </c>
      <c r="J16" s="11">
        <f t="shared" si="5"/>
        <v>7.3260519999999998</v>
      </c>
      <c r="K16" s="23">
        <f t="shared" si="2"/>
        <v>0.27043946412920994</v>
      </c>
      <c r="L16" s="23">
        <f t="shared" si="2"/>
        <v>3.4180543382997364E-2</v>
      </c>
      <c r="M16" s="23">
        <f t="shared" si="2"/>
        <v>0.52585451358457491</v>
      </c>
      <c r="N16" s="23">
        <f t="shared" si="2"/>
        <v>0.16952547890321773</v>
      </c>
      <c r="O16" s="23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4">
        <f>LowerBasinCuts!I10/1000</f>
        <v>0.59199999999999997</v>
      </c>
      <c r="D17" s="24">
        <f>LowerBasinCuts!J10/1000</f>
        <v>2.5000000000000001E-2</v>
      </c>
      <c r="E17" s="24">
        <f>LowerBasinCuts!K10/1000</f>
        <v>0</v>
      </c>
      <c r="F17" s="12">
        <f>LowerBasinCuts!O10</f>
        <v>0.104</v>
      </c>
      <c r="G17" s="24">
        <f t="shared" si="6"/>
        <v>0.72099999999999997</v>
      </c>
      <c r="I17" s="22">
        <f t="shared" si="4"/>
        <v>1050</v>
      </c>
      <c r="J17" s="11">
        <f t="shared" si="5"/>
        <v>7.6828779999999997</v>
      </c>
      <c r="K17" s="23">
        <f t="shared" si="2"/>
        <v>0.26669887667592701</v>
      </c>
      <c r="L17" s="23">
        <f t="shared" si="2"/>
        <v>3.3216572049764463E-2</v>
      </c>
      <c r="M17" s="23">
        <f t="shared" si="2"/>
        <v>0.53146515279623152</v>
      </c>
      <c r="N17" s="23">
        <f t="shared" si="2"/>
        <v>0.16861939847807705</v>
      </c>
      <c r="O17" s="23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4">
        <f>LowerBasinCuts!I11/1000</f>
        <v>0.51200000000000001</v>
      </c>
      <c r="D18" s="24">
        <f>LowerBasinCuts!J11/1000</f>
        <v>2.1000000000000001E-2</v>
      </c>
      <c r="E18" s="24">
        <f>LowerBasinCuts!K11/1000</f>
        <v>0</v>
      </c>
      <c r="F18" s="12">
        <f>LowerBasinCuts!O11</f>
        <v>0.08</v>
      </c>
      <c r="G18" s="24">
        <f t="shared" si="6"/>
        <v>0.61299999999999999</v>
      </c>
      <c r="I18" s="22">
        <f t="shared" si="4"/>
        <v>1075</v>
      </c>
      <c r="J18" s="11">
        <f t="shared" si="5"/>
        <v>9.6009879999900001</v>
      </c>
      <c r="K18" s="23">
        <f t="shared" si="2"/>
        <v>0.27280314772862763</v>
      </c>
      <c r="L18" s="23">
        <f t="shared" si="2"/>
        <v>3.3265768451174432E-2</v>
      </c>
      <c r="M18" s="23">
        <f t="shared" si="2"/>
        <v>0.52462143793966853</v>
      </c>
      <c r="N18" s="23">
        <f t="shared" si="2"/>
        <v>0.16930964588052938</v>
      </c>
      <c r="O18" s="23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4">
        <f>LowerBasinCuts!I12/1000</f>
        <v>0.192</v>
      </c>
      <c r="D19" s="24">
        <f>LowerBasinCuts!J12/1000</f>
        <v>8.0000000000000002E-3</v>
      </c>
      <c r="E19" s="24">
        <f>LowerBasinCuts!K12/1000</f>
        <v>0</v>
      </c>
      <c r="F19" s="12">
        <f>LowerBasinCuts!O12</f>
        <v>4.1000000000000002E-2</v>
      </c>
      <c r="G19" s="24">
        <f t="shared" si="6"/>
        <v>0.24100000000000002</v>
      </c>
      <c r="I19" s="22">
        <f t="shared" si="4"/>
        <v>1090</v>
      </c>
      <c r="J19" s="11">
        <f t="shared" si="5"/>
        <v>10.857008</v>
      </c>
      <c r="K19" s="23">
        <f t="shared" si="2"/>
        <v>0.29775088480420137</v>
      </c>
      <c r="L19" s="23">
        <f t="shared" si="2"/>
        <v>3.3337138942801686E-2</v>
      </c>
      <c r="M19" s="23">
        <f t="shared" si="2"/>
        <v>0.50234044982303916</v>
      </c>
      <c r="N19" s="23">
        <f t="shared" si="2"/>
        <v>0.16657152642995776</v>
      </c>
      <c r="O19" s="23">
        <f t="shared" si="2"/>
        <v>1</v>
      </c>
    </row>
    <row r="20" spans="1:15" x14ac:dyDescent="0.35">
      <c r="I20" t="s">
        <v>26</v>
      </c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19">
        <f>C28/$G$28</f>
        <v>0.27649769585253453</v>
      </c>
      <c r="D29" s="19">
        <f t="shared" ref="D29:G29" si="8">D28/$G$28</f>
        <v>3.4946236559139782E-2</v>
      </c>
      <c r="E29" s="19">
        <f t="shared" si="8"/>
        <v>0.51843317972350234</v>
      </c>
      <c r="F29" s="19">
        <f t="shared" si="8"/>
        <v>0.17012288786482332</v>
      </c>
      <c r="G29" s="19">
        <f t="shared" si="8"/>
        <v>1</v>
      </c>
    </row>
    <row r="32" spans="1:15" x14ac:dyDescent="0.35">
      <c r="A32" s="1" t="s">
        <v>37</v>
      </c>
    </row>
    <row r="33" spans="1:1" x14ac:dyDescent="0.35">
      <c r="A33" s="25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topLeftCell="A3" zoomScale="150" zoomScaleNormal="150" workbookViewId="0">
      <selection activeCell="A5" sqref="A5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49" t="s">
        <v>1</v>
      </c>
      <c r="E3" s="49"/>
      <c r="F3" s="49" t="s">
        <v>2</v>
      </c>
      <c r="G3" s="49"/>
      <c r="H3" s="49"/>
      <c r="I3" s="49" t="s">
        <v>3</v>
      </c>
      <c r="J3" s="49"/>
      <c r="K3" s="49"/>
      <c r="M3" s="49" t="s">
        <v>4</v>
      </c>
      <c r="N3" s="49"/>
      <c r="O3" s="49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0"/>
    </row>
    <row r="16" spans="1:16" x14ac:dyDescent="0.35">
      <c r="A16" t="s">
        <v>16</v>
      </c>
    </row>
    <row r="17" spans="1:16" x14ac:dyDescent="0.35">
      <c r="A17" s="17">
        <v>1091</v>
      </c>
    </row>
    <row r="18" spans="1:16" x14ac:dyDescent="0.35">
      <c r="A18" s="5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8">
        <v>955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ShareOfInflow-SEIS</vt:lpstr>
      <vt:lpstr>SEIS-Cuts</vt:lpstr>
      <vt:lpstr>ShareOfInflow-DCP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2023-05-22T18:35:45Z</dcterms:modified>
</cp:coreProperties>
</file>