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6EFD70E3-0229-4E4E-9187-5F29F3CED6CB}" xr6:coauthVersionLast="47" xr6:coauthVersionMax="47" xr10:uidLastSave="{00000000-0000-0000-0000-000000000000}"/>
  <bookViews>
    <workbookView xWindow="28680" yWindow="-1995" windowWidth="20640" windowHeight="11040" firstSheet="3" activeTab="9" xr2:uid="{00000000-000D-0000-FFFF-FFFF00000000}"/>
  </bookViews>
  <sheets>
    <sheet name="ReadMe" sheetId="6" r:id="rId1"/>
    <sheet name="Balances" sheetId="1" r:id="rId2"/>
    <sheet name="Deposits" sheetId="7" r:id="rId3"/>
    <sheet name="TotalCreditsDebits" sheetId="10" r:id="rId4"/>
    <sheet name="Capacities" sheetId="5" r:id="rId5"/>
    <sheet name="Example1-Credit" sheetId="8" r:id="rId6"/>
    <sheet name="Example2-Debit" sheetId="9" r:id="rId7"/>
    <sheet name="BasinConservationPrograms" sheetId="11" r:id="rId8"/>
    <sheet name="DCPLogs" sheetId="4" r:id="rId9"/>
    <sheet name="AllocateAvailableWater" sheetId="12" r:id="rId10"/>
    <sheet name="By User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2" l="1"/>
  <c r="K9" i="12"/>
  <c r="K10" i="12"/>
  <c r="K11" i="12"/>
  <c r="K8" i="12"/>
  <c r="J8" i="12"/>
  <c r="J9" i="12"/>
  <c r="J10" i="12"/>
  <c r="J11" i="12"/>
  <c r="J7" i="12"/>
  <c r="D14" i="12"/>
  <c r="D16" i="12" s="1"/>
  <c r="M10" i="12" s="1"/>
  <c r="E14" i="12"/>
  <c r="E16" i="12" s="1"/>
  <c r="N10" i="12" s="1"/>
  <c r="F14" i="12"/>
  <c r="F16" i="12" s="1"/>
  <c r="O10" i="12" s="1"/>
  <c r="C14" i="12"/>
  <c r="L8" i="12" s="1"/>
  <c r="G13" i="12"/>
  <c r="G9" i="12"/>
  <c r="G10" i="12"/>
  <c r="G8" i="12"/>
  <c r="C6" i="11"/>
  <c r="H10" i="4"/>
  <c r="H11" i="4"/>
  <c r="H12" i="4"/>
  <c r="H13" i="4"/>
  <c r="H14" i="4"/>
  <c r="H9" i="4"/>
  <c r="G1" i="4"/>
  <c r="C9" i="11"/>
  <c r="E9" i="11"/>
  <c r="E1" i="10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O8" i="12" l="1"/>
  <c r="N8" i="12"/>
  <c r="F15" i="12"/>
  <c r="O9" i="12" s="1"/>
  <c r="M8" i="12"/>
  <c r="G14" i="12"/>
  <c r="D17" i="12"/>
  <c r="M11" i="12" s="1"/>
  <c r="C16" i="12"/>
  <c r="F17" i="12"/>
  <c r="O11" i="12" s="1"/>
  <c r="C15" i="12"/>
  <c r="L9" i="12" s="1"/>
  <c r="E15" i="12"/>
  <c r="N9" i="12" s="1"/>
  <c r="C17" i="12"/>
  <c r="L11" i="12" s="1"/>
  <c r="L13" i="12" s="1"/>
  <c r="E17" i="12"/>
  <c r="N11" i="12" s="1"/>
  <c r="D15" i="12"/>
  <c r="M9" i="12" s="1"/>
  <c r="P7" i="12"/>
  <c r="B8" i="10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O13" i="12" l="1"/>
  <c r="T13" i="12" s="1"/>
  <c r="M13" i="12"/>
  <c r="R13" i="12" s="1"/>
  <c r="N13" i="12"/>
  <c r="S13" i="12" s="1"/>
  <c r="P8" i="12"/>
  <c r="Q13" i="12"/>
  <c r="P9" i="12"/>
  <c r="G16" i="12"/>
  <c r="L10" i="12"/>
  <c r="P10" i="12" s="1"/>
  <c r="P11" i="12"/>
  <c r="P13" i="12" s="1"/>
  <c r="G17" i="12"/>
  <c r="G15" i="12"/>
  <c r="T7" i="12"/>
  <c r="S10" i="12"/>
  <c r="T11" i="12"/>
  <c r="T8" i="12"/>
  <c r="Q7" i="12"/>
  <c r="R9" i="12"/>
  <c r="R7" i="12"/>
  <c r="S7" i="12"/>
  <c r="R11" i="12"/>
  <c r="F15" i="1"/>
  <c r="U13" i="12" l="1"/>
  <c r="T10" i="12"/>
  <c r="T9" i="12"/>
  <c r="S8" i="12"/>
  <c r="Q11" i="12"/>
  <c r="Q9" i="12"/>
  <c r="S9" i="12"/>
  <c r="R8" i="12"/>
  <c r="S11" i="12"/>
  <c r="Q8" i="12"/>
  <c r="R10" i="12"/>
  <c r="U7" i="12"/>
  <c r="Q10" i="12"/>
  <c r="H4" i="4"/>
  <c r="I4" i="4" s="1"/>
  <c r="H5" i="4"/>
  <c r="I5" i="4" s="1"/>
  <c r="H3" i="4"/>
  <c r="I3" i="4" s="1"/>
  <c r="U11" i="12" l="1"/>
  <c r="U9" i="12"/>
  <c r="U8" i="12"/>
  <c r="U10" i="12"/>
  <c r="B3" i="7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B13" i="7" l="1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<sst xmlns="http://schemas.openxmlformats.org/spreadsheetml/2006/main" count="284" uniqueCount="148">
  <si>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</si>
  <si>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</si>
  <si>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</si>
  <si>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</si>
  <si>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</si>
  <si>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</si>
  <si>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</si>
  <si>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</si>
  <si>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</si>
  <si>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</si>
  <si>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</si>
  <si>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</si>
  <si>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</si>
  <si>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</si>
  <si>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</si>
  <si>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</si>
  <si>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</si>
  <si>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</si>
  <si>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</si>
  <si>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</si>
  <si>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</si>
  <si>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</si>
  <si>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</si>
  <si>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</si>
  <si>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</si>
  <si>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</si>
  <si>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</si>
  <si>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</si>
  <si>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</si>
  <si>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</si>
  <si>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</si>
  <si>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</si>
  <si>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</si>
  <si>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</si>
  <si>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</si>
  <si>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</si>
  <si>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</si>
  <si>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</si>
  <si>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</si>
  <si>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</si>
  <si>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</si>
  <si>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</si>
  <si>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</si>
  <si>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</si>
  <si>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</si>
  <si>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</si>
  <si>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</si>
  <si>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</si>
  <si>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</si>
  <si>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</si>
  <si>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</si>
  <si>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</si>
  <si>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</si>
  <si>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</si>
  <si>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</si>
  <si>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</si>
  <si>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</si>
  <si>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</si>
  <si>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</si>
  <si>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</si>
  <si>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</si>
  <si>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Annual deposits and withdraws calculated as the year to year difference in balances.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</si>
  <si>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</si>
  <si>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</si>
  <si>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</si>
  <si>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</si>
  <si>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</si>
  <si>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</si>
  <si>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</si>
  <si>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</si>
  <si>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</si>
  <si>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</si>
  <si>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</si>
  <si>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</si>
  <si>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</si>
  <si>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</si>
  <si>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</si>
  <si>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</si>
  <si>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</si>
  <si>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</si>
  <si>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</si>
  <si>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</si>
  <si>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</si>
  <si>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Compensation ($ per acre-foot)</t>
  </si>
  <si>
    <t>Lake Mead Water Conservation Accounts</t>
  </si>
  <si>
    <t>None</t>
  </si>
  <si>
    <t>2015 to 2019</t>
  </si>
  <si>
    <t>2021 to 2022</t>
  </si>
  <si>
    <t>$77 to $240</t>
  </si>
  <si>
    <t>$150 to $611</t>
  </si>
  <si>
    <t>2015 to 2017</t>
  </si>
  <si>
    <t>$161 to $670</t>
  </si>
  <si>
    <t>2019 to 2023</t>
  </si>
  <si>
    <t>Mandatory Conservation - Not ICS</t>
  </si>
  <si>
    <t>500+ Plan - Lower Basin</t>
  </si>
  <si>
    <t>Compensation ($ million)</t>
  </si>
  <si>
    <t>Volume (million acre-feet)</t>
  </si>
  <si>
    <t>2007 to 2023</t>
  </si>
  <si>
    <t>System Conservation Pilot Programs</t>
  </si>
  <si>
    <t xml:space="preserve">    Lower Basin</t>
  </si>
  <si>
    <t xml:space="preserve">    Upper Basin</t>
  </si>
  <si>
    <t>Example of water conservation program credit using Arizona in 2018</t>
  </si>
  <si>
    <t>Example of water conservation program debit using California in 2022.</t>
  </si>
  <si>
    <t>Balances</t>
  </si>
  <si>
    <t>Deposits</t>
  </si>
  <si>
    <t>Capacities</t>
  </si>
  <si>
    <t>Example1-Credit</t>
  </si>
  <si>
    <t>Example2-Debit</t>
  </si>
  <si>
    <t>DCPLogs</t>
  </si>
  <si>
    <t>ByUser</t>
  </si>
  <si>
    <t>TotalCreditsDebits</t>
  </si>
  <si>
    <t>Sum of all water conservation program credits and debits each year, plus total over all years</t>
  </si>
  <si>
    <t>BasinConservationPrograms</t>
  </si>
  <si>
    <t>Summary of water conserved by each Colorado River Basin conservation program</t>
  </si>
  <si>
    <t>Buschatzke, T., Hamby, J. B., and Entsminger, J. (2024). "Lower Basin Alternative for the Post-2026 Coordinated Operation of the Colorado River Basin." https://www.snwa.com/assets/pdf/lower-basin-alternative-letter-march2024.pdf [Accessed on: August 14, 2024].</t>
  </si>
  <si>
    <t>Use March 2024 Lower Basin Alternative shortages to divide available water among water accounts</t>
  </si>
  <si>
    <t>0.0 to 0.3</t>
  </si>
  <si>
    <t>0.3 to 1.5</t>
  </si>
  <si>
    <t>1.5 to 2.7</t>
  </si>
  <si>
    <t>To be determined</t>
  </si>
  <si>
    <t>Total Shortage (maf per year)</t>
  </si>
  <si>
    <t>Share of Available Water (maf per year)</t>
  </si>
  <si>
    <t>Percentage of Available Water</t>
  </si>
  <si>
    <t>Row</t>
  </si>
  <si>
    <t>[2]</t>
  </si>
  <si>
    <t>[3]</t>
  </si>
  <si>
    <t>[4]</t>
  </si>
  <si>
    <t>[5]</t>
  </si>
  <si>
    <t>[6]</t>
  </si>
  <si>
    <t>Total Shortage (maf per year) [A]</t>
  </si>
  <si>
    <t>Avaliable Water (maf per year) [B]</t>
  </si>
  <si>
    <t>Arizona [C]</t>
  </si>
  <si>
    <t>Nevada [D]</t>
  </si>
  <si>
    <t>California [E]</t>
  </si>
  <si>
    <t>Mexico [F]</t>
  </si>
  <si>
    <t>Total [G]</t>
  </si>
  <si>
    <t>Arizona [H]</t>
  </si>
  <si>
    <t>Nevada [I]</t>
  </si>
  <si>
    <t>California [J]</t>
  </si>
  <si>
    <t>Mexico [K]</t>
  </si>
  <si>
    <t>Total [L]</t>
  </si>
  <si>
    <t>As Volume (maf per year)</t>
  </si>
  <si>
    <t>[1]*</t>
  </si>
  <si>
    <t>[7]**</t>
  </si>
  <si>
    <t>** If percentage shares of total shortages for 0.3 to 1.5 maf per year are propegated to total shortages for 1.5 to 2.7 maf per year.</t>
  </si>
  <si>
    <t>* Historical allocations</t>
  </si>
  <si>
    <t>7.5 to 6.3</t>
  </si>
  <si>
    <t>As Percent of Total 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</si>
</sst>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6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6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166" fontId="5" fillId="0" borderId="1" xfId="2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0" borderId="1" xfId="2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  <xf numFmtId="166" fontId="5" fillId="0" borderId="1" xfId="2" applyNumberFormat="1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167" fontId="5" fillId="0" borderId="5" xfId="0" applyNumberFormat="1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167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166" fontId="5" fillId="0" borderId="0" xfId="2" applyNumberFormat="1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top"/>
    </xf>
    <xf numFmtId="166" fontId="5" fillId="0" borderId="0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left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C17"/>
  <sheetViews>
    <sheetView zoomScale="170" zoomScaleNormal="170" workbookViewId="0">
      <selection activeCell="A9" sqref="A9:A17"/>
    </sheetView>
  </sheetViews>
  <sheetFormatPr defaultRowHeight="14.5" x14ac:dyDescent="0.35"/>
  <cols>
    <col min="1" max="1" width="3.453125" customWidth="1"/>
    <col min="2" max="2" width="12.453125" customWidth="1"/>
    <col min="3" max="3" width="46.81640625" customWidth="1"/>
  </cols>
  <sheetData>
    <row r="1" spans="1:3" s="1" customFormat="1" x14ac:dyDescent="0.35">
      <c r="A1" s="1" t="s">
        <v>55</v>
      </c>
    </row>
    <row r="2" spans="1:3" s="1" customFormat="1" x14ac:dyDescent="0.35"/>
    <row r="3" spans="1:3" x14ac:dyDescent="0.35">
      <c r="A3" s="1" t="s">
        <v>0</v>
      </c>
      <c r="B3" s="1"/>
    </row>
    <row r="4" spans="1:3" x14ac:dyDescent="0.35">
      <c r="C4" t="s">
        <v>1</v>
      </c>
    </row>
    <row r="5" spans="1:3" x14ac:dyDescent="0.35">
      <c r="C5" t="s">
        <v>12</v>
      </c>
    </row>
    <row r="8" spans="1:3" x14ac:dyDescent="0.35">
      <c r="A8" s="16" t="s">
        <v>56</v>
      </c>
      <c r="B8" s="16"/>
      <c r="C8" s="16" t="s">
        <v>57</v>
      </c>
    </row>
    <row r="9" spans="1:3" x14ac:dyDescent="0.35">
      <c r="A9">
        <v>1</v>
      </c>
      <c r="B9" t="s">
        <v>103</v>
      </c>
      <c r="C9" t="s">
        <v>58</v>
      </c>
    </row>
    <row r="10" spans="1:3" x14ac:dyDescent="0.35">
      <c r="A10">
        <v>2</v>
      </c>
      <c r="B10" t="s">
        <v>104</v>
      </c>
      <c r="C10" t="s">
        <v>61</v>
      </c>
    </row>
    <row r="11" spans="1:3" x14ac:dyDescent="0.35">
      <c r="A11">
        <v>3</v>
      </c>
      <c r="B11" t="s">
        <v>110</v>
      </c>
      <c r="C11" t="s">
        <v>111</v>
      </c>
    </row>
    <row r="12" spans="1:3" x14ac:dyDescent="0.35">
      <c r="A12">
        <v>4</v>
      </c>
      <c r="B12" t="s">
        <v>105</v>
      </c>
      <c r="C12" t="s">
        <v>59</v>
      </c>
    </row>
    <row r="13" spans="1:3" x14ac:dyDescent="0.35">
      <c r="A13">
        <v>5</v>
      </c>
      <c r="B13" t="s">
        <v>106</v>
      </c>
      <c r="C13" t="s">
        <v>101</v>
      </c>
    </row>
    <row r="14" spans="1:3" x14ac:dyDescent="0.35">
      <c r="A14">
        <v>6</v>
      </c>
      <c r="B14" t="s">
        <v>107</v>
      </c>
      <c r="C14" t="s">
        <v>102</v>
      </c>
    </row>
    <row r="15" spans="1:3" x14ac:dyDescent="0.35">
      <c r="A15">
        <v>7</v>
      </c>
      <c r="B15" t="s">
        <v>112</v>
      </c>
      <c r="C15" t="s">
        <v>113</v>
      </c>
    </row>
    <row r="16" spans="1:3" x14ac:dyDescent="0.35">
      <c r="A16">
        <v>8</v>
      </c>
      <c r="B16" t="s">
        <v>108</v>
      </c>
      <c r="C16" t="s">
        <v>60</v>
      </c>
    </row>
    <row r="17" spans="1:3" x14ac:dyDescent="0.35">
      <c r="A17">
        <v>9</v>
      </c>
      <c r="B17" t="s">
        <v>109</v>
      </c>
      <c r="C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11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  <c r="G1" s="1" t="s">
        <v>23</v>
      </c>
      <c r="H1" s="1" t="s">
        <v>48</v>
      </c>
    </row>
    <row r="2" spans="1:8" s="1" customFormat="1" x14ac:dyDescent="0.35">
      <c r="A2" t="s">
        <v>54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53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52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39</v>
      </c>
      <c r="B15" s="13">
        <v>598742</v>
      </c>
      <c r="C15" s="13">
        <v>1375871</v>
      </c>
      <c r="D15" s="13">
        <v>865741</v>
      </c>
      <c r="E15" s="13">
        <f>E14+41000</f>
        <v>173975</v>
      </c>
      <c r="F15" s="2">
        <f t="shared" si="1"/>
        <v>2840354</v>
      </c>
      <c r="G15" s="14">
        <v>2020</v>
      </c>
      <c r="H15" s="11">
        <f>SUM(E15:F15)</f>
        <v>3014329</v>
      </c>
    </row>
    <row r="16" spans="1:8" x14ac:dyDescent="0.35">
      <c r="A16" t="s">
        <v>49</v>
      </c>
      <c r="B16" s="13">
        <v>684201</v>
      </c>
      <c r="C16" s="13">
        <v>1357085</v>
      </c>
      <c r="D16" s="13">
        <v>949658</v>
      </c>
      <c r="E16" s="13">
        <f>E15+41000</f>
        <v>214975</v>
      </c>
      <c r="F16" s="2">
        <f t="shared" si="1"/>
        <v>2990944</v>
      </c>
      <c r="G16" s="14">
        <v>2021</v>
      </c>
      <c r="H16" s="11">
        <f>SUM(E16:F16)</f>
        <v>3205919</v>
      </c>
    </row>
    <row r="17" spans="1:8" x14ac:dyDescent="0.35">
      <c r="A17" t="s">
        <v>50</v>
      </c>
      <c r="B17" s="13">
        <v>753423</v>
      </c>
      <c r="C17" s="13">
        <v>1245693</v>
      </c>
      <c r="D17" s="13">
        <v>1038765</v>
      </c>
      <c r="E17" s="13">
        <f>30000+E16</f>
        <v>244975</v>
      </c>
      <c r="F17" s="2">
        <f t="shared" si="1"/>
        <v>3037881</v>
      </c>
      <c r="G17" s="14">
        <v>2022</v>
      </c>
      <c r="H17" s="11">
        <f>SUM(E17:F17)</f>
        <v>3282856</v>
      </c>
    </row>
    <row r="18" spans="1:8" x14ac:dyDescent="0.35">
      <c r="A18" t="s">
        <v>51</v>
      </c>
      <c r="B18" s="18">
        <v>710589</v>
      </c>
      <c r="C18" s="18">
        <v>1661832</v>
      </c>
      <c r="D18" s="18">
        <v>955543</v>
      </c>
      <c r="E18" s="15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17" t="str" cm="1">
        <f t="array" ref="A1">Balances!G1:G1</f>
        <v>Year</v>
      </c>
      <c r="B1" s="17" t="s">
        <v>6</v>
      </c>
      <c r="C1" s="17" t="s">
        <v>3</v>
      </c>
      <c r="D1" s="17" t="s">
        <v>4</v>
      </c>
      <c r="E1" s="17" t="s">
        <v>5</v>
      </c>
      <c r="F1" s="17" t="s">
        <v>40</v>
      </c>
    </row>
    <row r="2" spans="1:6" x14ac:dyDescent="0.35">
      <c r="A2" s="12">
        <f>Balances!G2</f>
        <v>2007</v>
      </c>
      <c r="B2" s="13">
        <f>SUM(C2:F2)</f>
        <v>41398</v>
      </c>
      <c r="C2" s="13">
        <f>Balances!B2</f>
        <v>0</v>
      </c>
      <c r="D2" s="13">
        <f>Balances!C2</f>
        <v>41398</v>
      </c>
      <c r="E2" s="13">
        <f>Balances!D2</f>
        <v>0</v>
      </c>
      <c r="F2" s="13">
        <f>Balances!E3-Balances!E2</f>
        <v>0</v>
      </c>
    </row>
    <row r="3" spans="1:6" x14ac:dyDescent="0.35">
      <c r="A3" s="12">
        <f>Balances!G3</f>
        <v>2008</v>
      </c>
      <c r="B3" s="13">
        <f t="shared" ref="B3:B18" si="0">SUM(C3:F3)</f>
        <v>552175</v>
      </c>
      <c r="C3" s="13">
        <f>Balances!B3-Balances!B2</f>
        <v>100000</v>
      </c>
      <c r="D3" s="13">
        <f>Balances!C3-Balances!C2</f>
        <v>52175</v>
      </c>
      <c r="E3" s="13">
        <f>Balances!D3-Balances!D2</f>
        <v>400000</v>
      </c>
      <c r="F3" s="13">
        <f>Balances!E3-Balances!E2</f>
        <v>0</v>
      </c>
    </row>
    <row r="4" spans="1:6" x14ac:dyDescent="0.35">
      <c r="A4" s="12">
        <f>Balances!G4</f>
        <v>2009</v>
      </c>
      <c r="B4" s="13">
        <f t="shared" si="0"/>
        <v>63617</v>
      </c>
      <c r="C4" s="13">
        <f>Balances!B4-Balances!B3</f>
        <v>0</v>
      </c>
      <c r="D4" s="13">
        <f>Balances!C4-Balances!C3</f>
        <v>63617</v>
      </c>
      <c r="E4" s="13">
        <f>Balances!D4-Balances!D3</f>
        <v>0</v>
      </c>
      <c r="F4" s="13">
        <f>Balances!E4-Balances!E3</f>
        <v>0</v>
      </c>
    </row>
    <row r="5" spans="1:6" x14ac:dyDescent="0.35">
      <c r="A5" s="12">
        <f>Balances!G5</f>
        <v>2010</v>
      </c>
      <c r="B5" s="13">
        <f t="shared" si="0"/>
        <v>158151</v>
      </c>
      <c r="C5" s="13">
        <f>Balances!B5-Balances!B4</f>
        <v>2094</v>
      </c>
      <c r="D5" s="13">
        <f>Balances!C5-Balances!C4</f>
        <v>104800</v>
      </c>
      <c r="E5" s="13">
        <f>Balances!D5-Balances!D4</f>
        <v>51257</v>
      </c>
      <c r="F5" s="13">
        <f>Balances!E5-Balances!E4</f>
        <v>0</v>
      </c>
    </row>
    <row r="6" spans="1:6" x14ac:dyDescent="0.35">
      <c r="A6" s="12">
        <f>Balances!G6</f>
        <v>2011</v>
      </c>
      <c r="B6" s="13">
        <f t="shared" si="0"/>
        <v>211059</v>
      </c>
      <c r="C6" s="13">
        <f>Balances!B6-Balances!B5</f>
        <v>956</v>
      </c>
      <c r="D6" s="13">
        <f>Balances!C6-Balances!C5</f>
        <v>178688</v>
      </c>
      <c r="E6" s="13">
        <f>Balances!D6-Balances!D5</f>
        <v>31415</v>
      </c>
      <c r="F6" s="13">
        <f>Balances!E6-Balances!E5</f>
        <v>0</v>
      </c>
    </row>
    <row r="7" spans="1:6" x14ac:dyDescent="0.35">
      <c r="A7" s="12">
        <f>Balances!G7</f>
        <v>2012</v>
      </c>
      <c r="B7" s="13">
        <f t="shared" si="0"/>
        <v>169240</v>
      </c>
      <c r="C7" s="13">
        <f>Balances!B7-Balances!B6</f>
        <v>0</v>
      </c>
      <c r="D7" s="13">
        <f>Balances!C7-Balances!C6</f>
        <v>139108</v>
      </c>
      <c r="E7" s="13">
        <f>Balances!D7-Balances!D6</f>
        <v>30132</v>
      </c>
      <c r="F7" s="13">
        <f>Balances!E7-Balances!E6</f>
        <v>0</v>
      </c>
    </row>
    <row r="8" spans="1:6" x14ac:dyDescent="0.35">
      <c r="A8" s="12">
        <f>Balances!G8</f>
        <v>2013</v>
      </c>
      <c r="B8" s="13">
        <f t="shared" si="0"/>
        <v>-77476</v>
      </c>
      <c r="C8" s="13">
        <f>Balances!B8-Balances!B7</f>
        <v>0</v>
      </c>
      <c r="D8" s="13">
        <f>Balances!C8-Balances!C7</f>
        <v>-105723</v>
      </c>
      <c r="E8" s="13">
        <f>Balances!D8-Balances!D7</f>
        <v>28247</v>
      </c>
      <c r="F8" s="13">
        <f>Balances!E8-Balances!E7</f>
        <v>0</v>
      </c>
    </row>
    <row r="9" spans="1:6" x14ac:dyDescent="0.35">
      <c r="A9" s="12">
        <f>Balances!G9</f>
        <v>2014</v>
      </c>
      <c r="B9" s="13">
        <f t="shared" si="0"/>
        <v>-281264</v>
      </c>
      <c r="C9" s="13">
        <f>Balances!B9-Balances!B8</f>
        <v>0</v>
      </c>
      <c r="D9" s="13">
        <f>Balances!C9-Balances!C8</f>
        <v>-304978</v>
      </c>
      <c r="E9" s="13">
        <f>Balances!D9-Balances!D8</f>
        <v>23714</v>
      </c>
      <c r="F9" s="13">
        <f>Balances!E9-Balances!E8</f>
        <v>0</v>
      </c>
    </row>
    <row r="10" spans="1:6" x14ac:dyDescent="0.35">
      <c r="A10" s="12">
        <f>Balances!G10</f>
        <v>2015</v>
      </c>
      <c r="B10" s="13">
        <f t="shared" si="0"/>
        <v>-125036</v>
      </c>
      <c r="C10" s="13">
        <f>Balances!B10-Balances!B9</f>
        <v>0</v>
      </c>
      <c r="D10" s="13">
        <f>Balances!C10-Balances!C9</f>
        <v>-71294</v>
      </c>
      <c r="E10" s="13">
        <f>Balances!D10-Balances!D9</f>
        <v>-53742</v>
      </c>
      <c r="F10" s="13">
        <f>Balances!E10-Balances!E9</f>
        <v>0</v>
      </c>
    </row>
    <row r="11" spans="1:6" x14ac:dyDescent="0.35">
      <c r="A11" s="12">
        <f>Balances!G11</f>
        <v>2016</v>
      </c>
      <c r="B11" s="13">
        <f t="shared" si="0"/>
        <v>37814</v>
      </c>
      <c r="C11" s="13">
        <f>Balances!B11-Balances!B10</f>
        <v>0</v>
      </c>
      <c r="D11" s="13">
        <f>Balances!C11-Balances!C10</f>
        <v>17275</v>
      </c>
      <c r="E11" s="13">
        <f>Balances!D11-Balances!D10</f>
        <v>20539</v>
      </c>
      <c r="F11" s="13">
        <f>Balances!E11-Balances!E10</f>
        <v>0</v>
      </c>
    </row>
    <row r="12" spans="1:6" x14ac:dyDescent="0.35">
      <c r="A12" s="12">
        <f>Balances!G12</f>
        <v>2017</v>
      </c>
      <c r="B12" s="13">
        <f t="shared" si="0"/>
        <v>511813</v>
      </c>
      <c r="C12" s="13">
        <f>Balances!B12-Balances!B11</f>
        <v>23750</v>
      </c>
      <c r="D12" s="13">
        <f>Balances!C12-Balances!C11</f>
        <v>437312</v>
      </c>
      <c r="E12" s="13">
        <f>Balances!D12-Balances!D11</f>
        <v>50751</v>
      </c>
      <c r="F12" s="13">
        <f>Balances!E12-Balances!E11</f>
        <v>0</v>
      </c>
    </row>
    <row r="13" spans="1:6" x14ac:dyDescent="0.35">
      <c r="A13" s="12">
        <f>Balances!G13</f>
        <v>2018</v>
      </c>
      <c r="B13" s="13">
        <f t="shared" si="0"/>
        <v>480441</v>
      </c>
      <c r="C13" s="13">
        <f>Balances!B13-Balances!B12</f>
        <v>216252</v>
      </c>
      <c r="D13" s="13">
        <f>Balances!C13-Balances!C12</f>
        <v>146054</v>
      </c>
      <c r="E13" s="13">
        <f>Balances!D13-Balances!D12</f>
        <v>118135</v>
      </c>
      <c r="F13" s="13">
        <f>Balances!E13-Balances!E12</f>
        <v>0</v>
      </c>
    </row>
    <row r="14" spans="1:6" x14ac:dyDescent="0.35">
      <c r="A14" s="12">
        <f>Balances!G14</f>
        <v>2019</v>
      </c>
      <c r="B14" s="13">
        <f t="shared" si="0"/>
        <v>703670</v>
      </c>
      <c r="C14" s="13">
        <f>Balances!B14-Balances!B13</f>
        <v>130452</v>
      </c>
      <c r="D14" s="13">
        <f>Balances!C14-Balances!C13</f>
        <v>354778</v>
      </c>
      <c r="E14" s="13">
        <f>Balances!D14-Balances!D13</f>
        <v>85465</v>
      </c>
      <c r="F14" s="13">
        <f>Balances!E14-Balances!E13</f>
        <v>132975</v>
      </c>
    </row>
    <row r="15" spans="1:6" x14ac:dyDescent="0.35">
      <c r="A15" s="12">
        <f>Balances!G15</f>
        <v>2020</v>
      </c>
      <c r="B15" s="13">
        <f t="shared" si="0"/>
        <v>568727</v>
      </c>
      <c r="C15" s="13">
        <f>Balances!B15-Balances!B14</f>
        <v>125238</v>
      </c>
      <c r="D15" s="13">
        <f>Balances!C15-Balances!C14</f>
        <v>322661</v>
      </c>
      <c r="E15" s="13">
        <f>Balances!D15-Balances!D14</f>
        <v>79828</v>
      </c>
      <c r="F15" s="13">
        <f>Balances!E15-Balances!E14</f>
        <v>41000</v>
      </c>
    </row>
    <row r="16" spans="1:6" x14ac:dyDescent="0.35">
      <c r="A16" s="12">
        <f>Balances!G16</f>
        <v>2021</v>
      </c>
      <c r="B16" s="13">
        <f t="shared" si="0"/>
        <v>191590</v>
      </c>
      <c r="C16" s="13">
        <f>Balances!B16-Balances!B15</f>
        <v>85459</v>
      </c>
      <c r="D16" s="13">
        <f>Balances!C16-Balances!C15</f>
        <v>-18786</v>
      </c>
      <c r="E16" s="13">
        <f>Balances!D16-Balances!D15</f>
        <v>83917</v>
      </c>
      <c r="F16" s="13">
        <f>Balances!E16-Balances!E15</f>
        <v>41000</v>
      </c>
    </row>
    <row r="17" spans="1:6" x14ac:dyDescent="0.35">
      <c r="A17" s="12">
        <f>Balances!G17</f>
        <v>2022</v>
      </c>
      <c r="B17" s="13">
        <f t="shared" si="0"/>
        <v>76937</v>
      </c>
      <c r="C17" s="13">
        <f>Balances!B17-Balances!B16</f>
        <v>69222</v>
      </c>
      <c r="D17" s="13">
        <f>Balances!C17-Balances!C16</f>
        <v>-111392</v>
      </c>
      <c r="E17" s="13">
        <f>Balances!D17-Balances!D16</f>
        <v>89107</v>
      </c>
      <c r="F17" s="13">
        <f>Balances!E17-Balances!E16</f>
        <v>30000</v>
      </c>
    </row>
    <row r="18" spans="1:6" x14ac:dyDescent="0.35">
      <c r="A18" s="12">
        <f>Balances!G18</f>
        <v>2023</v>
      </c>
      <c r="B18" s="13">
        <f t="shared" si="0"/>
        <v>256083</v>
      </c>
      <c r="C18" s="13">
        <f>Balances!B18-Balances!B17</f>
        <v>-42834</v>
      </c>
      <c r="D18" s="13">
        <f>Balances!C18-Balances!C17</f>
        <v>416139</v>
      </c>
      <c r="E18" s="13">
        <f>Balances!D18-Balances!D17</f>
        <v>-83222</v>
      </c>
      <c r="F18" s="13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17" t="s">
        <v>78</v>
      </c>
      <c r="C3" s="17" t="s">
        <v>79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39" t="s">
        <v>19</v>
      </c>
      <c r="B11" s="39"/>
      <c r="C11" s="39"/>
      <c r="D11" s="39"/>
      <c r="E11" s="39"/>
      <c r="F11" s="39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0"/>
      <c r="B1" s="21" t="s">
        <v>67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40" t="s">
        <v>2</v>
      </c>
      <c r="B4" s="40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2700000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Balances!B12</f>
        <v>126800</v>
      </c>
    </row>
    <row r="7" spans="1:3" ht="15.5" x14ac:dyDescent="0.35">
      <c r="A7" s="26" t="s">
        <v>70</v>
      </c>
      <c r="B7" s="27" t="s">
        <v>64</v>
      </c>
      <c r="C7" s="22">
        <f>C5-C8</f>
        <v>2483748</v>
      </c>
    </row>
    <row r="8" spans="1:3" ht="15.5" x14ac:dyDescent="0.35">
      <c r="A8" s="26" t="s">
        <v>71</v>
      </c>
      <c r="B8" s="27" t="s">
        <v>73</v>
      </c>
      <c r="C8" s="22">
        <f>Deposits!C13</f>
        <v>216252</v>
      </c>
    </row>
    <row r="9" spans="1:3" ht="15.5" x14ac:dyDescent="0.35">
      <c r="A9" s="26" t="s">
        <v>72</v>
      </c>
      <c r="B9" s="27" t="s">
        <v>74</v>
      </c>
      <c r="C9" s="24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1" t="s">
        <v>75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40" t="s">
        <v>2</v>
      </c>
      <c r="B4" s="40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4400000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Balances!C16</f>
        <v>1357085</v>
      </c>
    </row>
    <row r="7" spans="1:3" ht="15.5" x14ac:dyDescent="0.35">
      <c r="A7" s="26" t="s">
        <v>70</v>
      </c>
      <c r="B7" s="27" t="s">
        <v>64</v>
      </c>
      <c r="C7" s="22">
        <f>C5 + ABS(Deposits!D17)</f>
        <v>4511392</v>
      </c>
    </row>
    <row r="8" spans="1:3" ht="15.5" x14ac:dyDescent="0.35">
      <c r="A8" s="26" t="s">
        <v>71</v>
      </c>
      <c r="B8" s="27" t="s">
        <v>76</v>
      </c>
      <c r="C8" s="22">
        <f>C7-C5</f>
        <v>111392</v>
      </c>
    </row>
    <row r="9" spans="1:3" ht="15.5" x14ac:dyDescent="0.35">
      <c r="A9" s="26" t="s">
        <v>72</v>
      </c>
      <c r="B9" s="27" t="s">
        <v>77</v>
      </c>
      <c r="C9" s="24">
        <f>C6-C8</f>
        <v>1245693</v>
      </c>
    </row>
    <row r="10" spans="1:3" ht="15.5" x14ac:dyDescent="0.35">
      <c r="A10" s="30"/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E10"/>
  <sheetViews>
    <sheetView topLeftCell="A3" zoomScale="160" zoomScaleNormal="160" workbookViewId="0">
      <selection activeCell="A19" sqref="A19"/>
    </sheetView>
  </sheetViews>
  <sheetFormatPr defaultRowHeight="14.5" x14ac:dyDescent="0.35"/>
  <cols>
    <col min="1" max="1" width="34.08984375" customWidth="1"/>
    <col min="2" max="2" width="13.36328125" customWidth="1"/>
    <col min="3" max="3" width="14.26953125" customWidth="1"/>
    <col min="4" max="4" width="14.6328125" customWidth="1"/>
    <col min="5" max="5" width="14.54296875" customWidth="1"/>
  </cols>
  <sheetData>
    <row r="1" spans="1:5" x14ac:dyDescent="0.35">
      <c r="A1" t="s">
        <v>81</v>
      </c>
    </row>
    <row r="2" spans="1:5" x14ac:dyDescent="0.35">
      <c r="A2" t="s">
        <v>80</v>
      </c>
    </row>
    <row r="3" spans="1:5" ht="32" customHeight="1" x14ac:dyDescent="0.35">
      <c r="A3" s="34" t="s">
        <v>80</v>
      </c>
      <c r="B3" s="35" t="s">
        <v>82</v>
      </c>
      <c r="C3" s="35" t="s">
        <v>96</v>
      </c>
      <c r="D3" s="35" t="s">
        <v>83</v>
      </c>
      <c r="E3" s="35" t="s">
        <v>95</v>
      </c>
    </row>
    <row r="4" spans="1:5" s="37" customFormat="1" ht="15" customHeight="1" x14ac:dyDescent="0.35">
      <c r="A4" s="36" t="s">
        <v>84</v>
      </c>
      <c r="B4" s="32" t="s">
        <v>97</v>
      </c>
      <c r="C4" s="31">
        <v>4.0999999999999996</v>
      </c>
      <c r="D4" s="32" t="s">
        <v>85</v>
      </c>
      <c r="E4" s="32" t="s">
        <v>85</v>
      </c>
    </row>
    <row r="5" spans="1:5" s="37" customFormat="1" x14ac:dyDescent="0.35">
      <c r="A5" s="36" t="s">
        <v>94</v>
      </c>
      <c r="B5" s="32" t="s">
        <v>87</v>
      </c>
      <c r="C5" s="31">
        <v>1</v>
      </c>
      <c r="D5" s="33">
        <v>200</v>
      </c>
      <c r="E5" s="38">
        <v>200</v>
      </c>
    </row>
    <row r="6" spans="1:5" s="37" customFormat="1" x14ac:dyDescent="0.35">
      <c r="A6" s="36" t="s">
        <v>93</v>
      </c>
      <c r="B6" s="32" t="s">
        <v>92</v>
      </c>
      <c r="C6" s="31">
        <f>DCPLogs!G1/1000000</f>
        <v>0.63121000000000005</v>
      </c>
      <c r="D6" s="32" t="s">
        <v>85</v>
      </c>
      <c r="E6" s="38" t="s">
        <v>85</v>
      </c>
    </row>
    <row r="7" spans="1:5" s="37" customFormat="1" x14ac:dyDescent="0.35">
      <c r="A7" s="37" t="s">
        <v>98</v>
      </c>
    </row>
    <row r="8" spans="1:5" s="37" customFormat="1" x14ac:dyDescent="0.35">
      <c r="A8" s="36" t="s">
        <v>99</v>
      </c>
      <c r="B8" s="32" t="s">
        <v>86</v>
      </c>
      <c r="C8" s="31">
        <v>0.17499999999999999</v>
      </c>
      <c r="D8" s="32" t="s">
        <v>88</v>
      </c>
      <c r="E8" s="38">
        <v>29.8</v>
      </c>
    </row>
    <row r="9" spans="1:5" s="37" customFormat="1" x14ac:dyDescent="0.35">
      <c r="A9" s="36" t="s">
        <v>100</v>
      </c>
      <c r="B9" s="32">
        <v>2023</v>
      </c>
      <c r="C9" s="31">
        <f>(2517+4633+15091+15571)/1000000</f>
        <v>3.7811999999999998E-2</v>
      </c>
      <c r="D9" s="32" t="s">
        <v>89</v>
      </c>
      <c r="E9" s="38">
        <f>0.992+1.205+5.344+8.335</f>
        <v>15.876000000000001</v>
      </c>
    </row>
    <row r="10" spans="1:5" s="37" customFormat="1" x14ac:dyDescent="0.35">
      <c r="A10" s="36" t="s">
        <v>100</v>
      </c>
      <c r="B10" s="32" t="s">
        <v>90</v>
      </c>
      <c r="C10" s="31">
        <v>2.2116E-2</v>
      </c>
      <c r="D10" s="32" t="s">
        <v>91</v>
      </c>
      <c r="E10" s="38">
        <v>4.5599999999999996</v>
      </c>
    </row>
  </sheetData>
  <sortState xmlns:xlrd2="http://schemas.microsoft.com/office/spreadsheetml/2017/richdata2" ref="A4:E10">
    <sortCondition descending="1" ref="C4:C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1:I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:H14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1.08984375" bestFit="1" customWidth="1"/>
    <col min="7" max="8" width="11.1796875" bestFit="1" customWidth="1"/>
    <col min="9" max="9" width="10.1796875" bestFit="1" customWidth="1"/>
  </cols>
  <sheetData>
    <row r="1" spans="1:9" x14ac:dyDescent="0.35">
      <c r="G1" s="11">
        <f>SUM(G3:G14)</f>
        <v>631210</v>
      </c>
    </row>
    <row r="2" spans="1:9" x14ac:dyDescent="0.35">
      <c r="A2" t="s">
        <v>30</v>
      </c>
      <c r="B2" t="s">
        <v>29</v>
      </c>
      <c r="C2" t="s">
        <v>23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35">
      <c r="A3" t="s">
        <v>3</v>
      </c>
      <c r="B3" t="s">
        <v>47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47</v>
      </c>
      <c r="C6">
        <v>2021</v>
      </c>
      <c r="D6" s="2">
        <v>203392</v>
      </c>
      <c r="F6" s="2">
        <v>48296</v>
      </c>
      <c r="G6" s="2">
        <v>155096</v>
      </c>
      <c r="H6">
        <v>203392</v>
      </c>
    </row>
    <row r="7" spans="1:9" x14ac:dyDescent="0.35">
      <c r="A7" t="s">
        <v>4</v>
      </c>
      <c r="C7">
        <v>2021</v>
      </c>
      <c r="D7" s="2">
        <v>0</v>
      </c>
      <c r="F7" s="11">
        <v>0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  <c r="F8" s="11">
        <v>8000</v>
      </c>
      <c r="H8" s="11">
        <v>8000</v>
      </c>
    </row>
    <row r="9" spans="1:9" x14ac:dyDescent="0.35">
      <c r="A9" t="s">
        <v>3</v>
      </c>
      <c r="C9">
        <v>2022</v>
      </c>
      <c r="D9" s="2">
        <v>192000</v>
      </c>
      <c r="F9">
        <v>57061</v>
      </c>
      <c r="G9">
        <v>134940</v>
      </c>
      <c r="H9">
        <f>SUM(E9:G9)</f>
        <v>192001</v>
      </c>
    </row>
    <row r="10" spans="1:9" x14ac:dyDescent="0.35">
      <c r="A10" t="s">
        <v>5</v>
      </c>
      <c r="C10">
        <v>2022</v>
      </c>
      <c r="D10" s="2">
        <v>8000</v>
      </c>
      <c r="G10">
        <v>8000</v>
      </c>
      <c r="H10">
        <f t="shared" ref="H10:H14" si="2">SUM(E10:G10)</f>
        <v>8000</v>
      </c>
    </row>
    <row r="11" spans="1:9" x14ac:dyDescent="0.35">
      <c r="A11" t="s">
        <v>4</v>
      </c>
      <c r="C11">
        <v>2022</v>
      </c>
      <c r="D11" s="2">
        <v>0</v>
      </c>
      <c r="H11">
        <f t="shared" si="2"/>
        <v>0</v>
      </c>
    </row>
    <row r="12" spans="1:9" x14ac:dyDescent="0.35">
      <c r="A12" t="s">
        <v>3</v>
      </c>
      <c r="C12">
        <v>2023</v>
      </c>
      <c r="D12" s="2">
        <v>192000</v>
      </c>
      <c r="G12">
        <v>192000</v>
      </c>
      <c r="H12">
        <f t="shared" si="2"/>
        <v>192000</v>
      </c>
    </row>
    <row r="13" spans="1:9" x14ac:dyDescent="0.35">
      <c r="A13" t="s">
        <v>5</v>
      </c>
      <c r="C13">
        <v>2023</v>
      </c>
      <c r="D13" s="2">
        <v>8000</v>
      </c>
      <c r="G13">
        <v>8000</v>
      </c>
      <c r="H13">
        <f t="shared" si="2"/>
        <v>8000</v>
      </c>
    </row>
    <row r="14" spans="1:9" x14ac:dyDescent="0.35">
      <c r="A14" t="s">
        <v>4</v>
      </c>
      <c r="C14">
        <v>2023</v>
      </c>
      <c r="D14" s="2">
        <v>0</v>
      </c>
      <c r="H14">
        <f t="shared" si="2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CD49-F28E-4E8F-9EC7-325148866036}">
  <dimension ref="A1:U32"/>
  <sheetViews>
    <sheetView tabSelected="1" topLeftCell="E6" zoomScale="170" zoomScaleNormal="170" workbookViewId="0">
      <selection activeCell="B6" sqref="B6:G18"/>
    </sheetView>
  </sheetViews>
  <sheetFormatPr defaultRowHeight="14.5" x14ac:dyDescent="0.35"/>
  <cols>
    <col min="1" max="1" width="5.36328125" customWidth="1"/>
    <col min="2" max="2" width="14.453125" customWidth="1"/>
    <col min="3" max="3" width="8.1796875" customWidth="1"/>
    <col min="4" max="4" width="7.90625" customWidth="1"/>
    <col min="5" max="5" width="9.26953125" customWidth="1"/>
    <col min="6" max="6" width="7.7265625" customWidth="1"/>
    <col min="7" max="7" width="7.1796875" customWidth="1"/>
    <col min="8" max="8" width="8" customWidth="1"/>
    <col min="9" max="9" width="5.08984375" customWidth="1"/>
    <col min="10" max="10" width="13.453125" customWidth="1"/>
    <col min="11" max="11" width="12.08984375" customWidth="1"/>
    <col min="12" max="12" width="8" customWidth="1"/>
    <col min="13" max="13" width="7.81640625" customWidth="1"/>
    <col min="14" max="14" width="10.08984375" customWidth="1"/>
    <col min="16" max="16" width="6.81640625" customWidth="1"/>
    <col min="19" max="19" width="9.26953125" customWidth="1"/>
    <col min="21" max="21" width="7.26953125" style="12" customWidth="1"/>
  </cols>
  <sheetData>
    <row r="1" spans="1:21" x14ac:dyDescent="0.35">
      <c r="A1" s="1" t="s">
        <v>115</v>
      </c>
    </row>
    <row r="3" spans="1:21" x14ac:dyDescent="0.35">
      <c r="A3" t="s">
        <v>114</v>
      </c>
    </row>
    <row r="4" spans="1:21" ht="21" customHeight="1" x14ac:dyDescent="0.35"/>
    <row r="5" spans="1:21" ht="16.5" customHeight="1" x14ac:dyDescent="0.35">
      <c r="I5" s="69" t="s">
        <v>123</v>
      </c>
      <c r="J5" s="69" t="s">
        <v>129</v>
      </c>
      <c r="K5" s="69" t="s">
        <v>130</v>
      </c>
      <c r="L5" s="43" t="s">
        <v>121</v>
      </c>
      <c r="M5" s="44"/>
      <c r="N5" s="44"/>
      <c r="O5" s="44"/>
      <c r="P5" s="45"/>
      <c r="Q5" s="71" t="s">
        <v>122</v>
      </c>
      <c r="R5" s="72"/>
      <c r="S5" s="72"/>
      <c r="T5" s="72"/>
      <c r="U5" s="73"/>
    </row>
    <row r="6" spans="1:21" s="41" customFormat="1" ht="27.5" customHeight="1" x14ac:dyDescent="0.3">
      <c r="B6" s="42" t="s">
        <v>120</v>
      </c>
      <c r="C6" s="42" t="s">
        <v>3</v>
      </c>
      <c r="D6" s="42" t="s">
        <v>5</v>
      </c>
      <c r="E6" s="42" t="s">
        <v>4</v>
      </c>
      <c r="F6" s="42" t="s">
        <v>40</v>
      </c>
      <c r="G6" s="42" t="s">
        <v>6</v>
      </c>
      <c r="I6" s="70"/>
      <c r="J6" s="70"/>
      <c r="K6" s="70"/>
      <c r="L6" s="55" t="s">
        <v>131</v>
      </c>
      <c r="M6" s="55" t="s">
        <v>132</v>
      </c>
      <c r="N6" s="55" t="s">
        <v>133</v>
      </c>
      <c r="O6" s="55" t="s">
        <v>134</v>
      </c>
      <c r="P6" s="55" t="s">
        <v>135</v>
      </c>
      <c r="Q6" s="56" t="s">
        <v>136</v>
      </c>
      <c r="R6" s="56" t="s">
        <v>137</v>
      </c>
      <c r="S6" s="56" t="s">
        <v>138</v>
      </c>
      <c r="T6" s="56" t="s">
        <v>139</v>
      </c>
      <c r="U6" s="56" t="s">
        <v>140</v>
      </c>
    </row>
    <row r="7" spans="1:21" s="41" customFormat="1" ht="13" customHeight="1" x14ac:dyDescent="0.3">
      <c r="B7" s="43" t="s">
        <v>147</v>
      </c>
      <c r="C7" s="44"/>
      <c r="D7" s="44"/>
      <c r="E7" s="44"/>
      <c r="F7" s="44"/>
      <c r="G7" s="45"/>
      <c r="I7" s="57" t="s">
        <v>142</v>
      </c>
      <c r="J7" s="57">
        <f>B13</f>
        <v>0</v>
      </c>
      <c r="K7" s="58">
        <v>9</v>
      </c>
      <c r="L7" s="59">
        <v>2.8</v>
      </c>
      <c r="M7" s="59">
        <v>0.3</v>
      </c>
      <c r="N7" s="59">
        <v>4.4000000000000004</v>
      </c>
      <c r="O7" s="59">
        <v>1.5</v>
      </c>
      <c r="P7" s="59">
        <f>SUM(L7:O7)</f>
        <v>9</v>
      </c>
      <c r="Q7" s="60">
        <f>L7/$K7</f>
        <v>0.31111111111111112</v>
      </c>
      <c r="R7" s="60">
        <f>M7/$K7</f>
        <v>3.3333333333333333E-2</v>
      </c>
      <c r="S7" s="60">
        <f>N7/$K7</f>
        <v>0.48888888888888893</v>
      </c>
      <c r="T7" s="60">
        <f>O7/$K7</f>
        <v>0.16666666666666666</v>
      </c>
      <c r="U7" s="74">
        <f>SUM(Q7:T7)</f>
        <v>1</v>
      </c>
    </row>
    <row r="8" spans="1:21" s="46" customFormat="1" ht="14" x14ac:dyDescent="0.3">
      <c r="B8" s="47">
        <v>0</v>
      </c>
      <c r="C8" s="48">
        <v>0</v>
      </c>
      <c r="D8" s="48">
        <v>0</v>
      </c>
      <c r="E8" s="48">
        <v>0</v>
      </c>
      <c r="F8" s="48">
        <v>0</v>
      </c>
      <c r="G8" s="48">
        <f>SUM(C8:F8)</f>
        <v>0</v>
      </c>
      <c r="I8" s="57" t="s">
        <v>124</v>
      </c>
      <c r="J8" s="57">
        <f>B14</f>
        <v>0.3</v>
      </c>
      <c r="K8" s="61">
        <f>K$7-J8</f>
        <v>8.6999999999999993</v>
      </c>
      <c r="L8" s="54">
        <f>L$7-C14</f>
        <v>2.5599999999999996</v>
      </c>
      <c r="M8" s="54">
        <f>M$7-D14</f>
        <v>0.29000999999999999</v>
      </c>
      <c r="N8" s="54">
        <f>N$7-E14</f>
        <v>4.4000000000000004</v>
      </c>
      <c r="O8" s="54">
        <f>O$7-F14</f>
        <v>1.4499900000000001</v>
      </c>
      <c r="P8" s="59">
        <f t="shared" ref="P8:P11" si="0">SUM(L8:O8)</f>
        <v>8.6999999999999993</v>
      </c>
      <c r="Q8" s="60">
        <f>L8/$K8</f>
        <v>0.29425287356321839</v>
      </c>
      <c r="R8" s="60">
        <f>M8/$K8</f>
        <v>3.3334482758620693E-2</v>
      </c>
      <c r="S8" s="60">
        <f>N8/$K8</f>
        <v>0.50574712643678166</v>
      </c>
      <c r="T8" s="60">
        <f>O8/$K8</f>
        <v>0.16666551724137935</v>
      </c>
      <c r="U8" s="74">
        <f t="shared" ref="U8:U13" si="1">SUM(Q8:T8)</f>
        <v>1</v>
      </c>
    </row>
    <row r="9" spans="1:21" s="46" customFormat="1" ht="14" x14ac:dyDescent="0.3">
      <c r="B9" s="47" t="s">
        <v>116</v>
      </c>
      <c r="C9" s="49">
        <v>0.8</v>
      </c>
      <c r="D9" s="49">
        <v>3.3300000000000003E-2</v>
      </c>
      <c r="E9" s="49">
        <v>0</v>
      </c>
      <c r="F9" s="49">
        <v>0.16669999999999999</v>
      </c>
      <c r="G9" s="49">
        <f t="shared" ref="G9:G10" si="2">SUM(C9:F9)</f>
        <v>1</v>
      </c>
      <c r="I9" s="57" t="s">
        <v>125</v>
      </c>
      <c r="J9" s="57">
        <f>B15</f>
        <v>0.4</v>
      </c>
      <c r="K9" s="61">
        <f>K$7-J9</f>
        <v>8.6</v>
      </c>
      <c r="L9" s="54">
        <f>L$7-C15</f>
        <v>2.51667</v>
      </c>
      <c r="M9" s="54">
        <f>M$7-D15</f>
        <v>0.28667999999999999</v>
      </c>
      <c r="N9" s="54">
        <f>N$7-E15</f>
        <v>4.3633300000000004</v>
      </c>
      <c r="O9" s="54">
        <f>O$7-F15</f>
        <v>1.4333199999999999</v>
      </c>
      <c r="P9" s="59">
        <f t="shared" si="0"/>
        <v>8.6</v>
      </c>
      <c r="Q9" s="60">
        <f>L9/$K9</f>
        <v>0.29263604651162789</v>
      </c>
      <c r="R9" s="60">
        <f>M9/$K9</f>
        <v>3.3334883720930235E-2</v>
      </c>
      <c r="S9" s="60">
        <f>N9/$K9</f>
        <v>0.50736395348837215</v>
      </c>
      <c r="T9" s="60">
        <f>O9/$K9</f>
        <v>0.16666511627906977</v>
      </c>
      <c r="U9" s="74">
        <f t="shared" si="1"/>
        <v>1</v>
      </c>
    </row>
    <row r="10" spans="1:21" s="46" customFormat="1" ht="14" x14ac:dyDescent="0.3">
      <c r="B10" s="47" t="s">
        <v>117</v>
      </c>
      <c r="C10" s="49">
        <v>0.43330000000000002</v>
      </c>
      <c r="D10" s="49">
        <v>3.3300000000000003E-2</v>
      </c>
      <c r="E10" s="49">
        <v>0.36670000000000003</v>
      </c>
      <c r="F10" s="49">
        <v>0.16669999999999999</v>
      </c>
      <c r="G10" s="49">
        <f t="shared" si="2"/>
        <v>1</v>
      </c>
      <c r="I10" s="57" t="s">
        <v>126</v>
      </c>
      <c r="J10" s="57">
        <f>B16</f>
        <v>1</v>
      </c>
      <c r="K10" s="61">
        <f>K$7-J10</f>
        <v>8</v>
      </c>
      <c r="L10" s="54">
        <f>L$7-C16</f>
        <v>2.2566899999999999</v>
      </c>
      <c r="M10" s="54">
        <f>M$7-D16</f>
        <v>0.26669999999999999</v>
      </c>
      <c r="N10" s="54">
        <f>N$7-E16</f>
        <v>4.1433100000000005</v>
      </c>
      <c r="O10" s="54">
        <f>O$7-F16</f>
        <v>1.3332999999999999</v>
      </c>
      <c r="P10" s="59">
        <f t="shared" si="0"/>
        <v>8</v>
      </c>
      <c r="Q10" s="60">
        <f>L10/$K10</f>
        <v>0.28208624999999998</v>
      </c>
      <c r="R10" s="60">
        <f>M10/$K10</f>
        <v>3.3337499999999999E-2</v>
      </c>
      <c r="S10" s="60">
        <f>N10/$K10</f>
        <v>0.51791375000000006</v>
      </c>
      <c r="T10" s="60">
        <f>O10/$K10</f>
        <v>0.16666249999999999</v>
      </c>
      <c r="U10" s="74">
        <f t="shared" si="1"/>
        <v>1</v>
      </c>
    </row>
    <row r="11" spans="1:21" s="46" customFormat="1" ht="14" x14ac:dyDescent="0.3">
      <c r="B11" s="47" t="s">
        <v>118</v>
      </c>
      <c r="C11" s="50" t="s">
        <v>119</v>
      </c>
      <c r="D11" s="50"/>
      <c r="E11" s="50"/>
      <c r="F11" s="50"/>
      <c r="G11" s="50"/>
      <c r="I11" s="57" t="s">
        <v>127</v>
      </c>
      <c r="J11" s="57">
        <f>B17</f>
        <v>1.5</v>
      </c>
      <c r="K11" s="61">
        <f>K$7-J11</f>
        <v>7.5</v>
      </c>
      <c r="L11" s="54">
        <f>L$7-C17</f>
        <v>2.0400399999999999</v>
      </c>
      <c r="M11" s="54">
        <f>M$7-D17</f>
        <v>0.25004999999999999</v>
      </c>
      <c r="N11" s="54">
        <f>N$7-E17</f>
        <v>3.9599600000000001</v>
      </c>
      <c r="O11" s="54">
        <f>O$7-F17</f>
        <v>1.2499500000000001</v>
      </c>
      <c r="P11" s="59">
        <f t="shared" si="0"/>
        <v>7.5</v>
      </c>
      <c r="Q11" s="60">
        <f>L11/$K11</f>
        <v>0.27200533333333332</v>
      </c>
      <c r="R11" s="60">
        <f>M11/$K11</f>
        <v>3.3340000000000002E-2</v>
      </c>
      <c r="S11" s="60">
        <f>N11/$K11</f>
        <v>0.52799466666666672</v>
      </c>
      <c r="T11" s="60">
        <f>O11/$K11</f>
        <v>0.16666</v>
      </c>
      <c r="U11" s="74">
        <f t="shared" si="1"/>
        <v>1</v>
      </c>
    </row>
    <row r="12" spans="1:21" s="46" customFormat="1" ht="14" x14ac:dyDescent="0.3">
      <c r="B12" s="51" t="s">
        <v>141</v>
      </c>
      <c r="C12" s="52"/>
      <c r="D12" s="52"/>
      <c r="E12" s="52"/>
      <c r="F12" s="52"/>
      <c r="G12" s="52"/>
      <c r="I12" s="57" t="s">
        <v>128</v>
      </c>
      <c r="J12" s="57" t="s">
        <v>118</v>
      </c>
      <c r="K12" s="61" t="s">
        <v>146</v>
      </c>
      <c r="L12" s="62" t="s">
        <v>119</v>
      </c>
      <c r="M12" s="63"/>
      <c r="N12" s="63"/>
      <c r="O12" s="63"/>
      <c r="P12" s="64"/>
      <c r="Q12" s="62" t="s">
        <v>119</v>
      </c>
      <c r="R12" s="63"/>
      <c r="S12" s="63"/>
      <c r="T12" s="63"/>
      <c r="U12" s="64"/>
    </row>
    <row r="13" spans="1:21" s="46" customFormat="1" ht="14" x14ac:dyDescent="0.3">
      <c r="B13" s="47">
        <v>0</v>
      </c>
      <c r="C13" s="53">
        <v>0</v>
      </c>
      <c r="D13" s="53">
        <v>0</v>
      </c>
      <c r="E13" s="53">
        <v>0</v>
      </c>
      <c r="F13" s="53">
        <v>0</v>
      </c>
      <c r="G13" s="53">
        <f>SUM(C13:F13)</f>
        <v>0</v>
      </c>
      <c r="I13" s="57" t="s">
        <v>143</v>
      </c>
      <c r="J13" s="57">
        <v>2.7</v>
      </c>
      <c r="K13" s="61">
        <f>K$7-J13</f>
        <v>6.3</v>
      </c>
      <c r="L13" s="54">
        <f>L11-C10*($K11-$K13)</f>
        <v>1.5200799999999997</v>
      </c>
      <c r="M13" s="54">
        <f>M11-D10*($K11-$K13)</f>
        <v>0.21009</v>
      </c>
      <c r="N13" s="54">
        <f>N11-E10*($K11-$K13)</f>
        <v>3.5199199999999999</v>
      </c>
      <c r="O13" s="54">
        <f>O11-F10*($K11-$K13)</f>
        <v>1.0499100000000001</v>
      </c>
      <c r="P13" s="54">
        <f>P11-G10*($K11-$K13)</f>
        <v>6.3</v>
      </c>
      <c r="Q13" s="60">
        <f>L13/$K13</f>
        <v>0.24128253968253963</v>
      </c>
      <c r="R13" s="60">
        <f>M13/$K13</f>
        <v>3.334761904761905E-2</v>
      </c>
      <c r="S13" s="60">
        <f>N13/$K13</f>
        <v>0.55871746031746028</v>
      </c>
      <c r="T13" s="60">
        <f>O13/$K13</f>
        <v>0.16665238095238097</v>
      </c>
      <c r="U13" s="74">
        <f t="shared" si="1"/>
        <v>1</v>
      </c>
    </row>
    <row r="14" spans="1:21" s="46" customFormat="1" ht="14" x14ac:dyDescent="0.3">
      <c r="B14" s="47">
        <v>0.3</v>
      </c>
      <c r="C14" s="54">
        <f>$B14*C9</f>
        <v>0.24</v>
      </c>
      <c r="D14" s="54">
        <f>$B14*D9</f>
        <v>9.9900000000000006E-3</v>
      </c>
      <c r="E14" s="54">
        <f>$B14*E9</f>
        <v>0</v>
      </c>
      <c r="F14" s="54">
        <f>$B14*F9</f>
        <v>5.0009999999999992E-2</v>
      </c>
      <c r="G14" s="54">
        <f>SUM(C14:F14)</f>
        <v>0.3</v>
      </c>
      <c r="I14" s="77" t="s">
        <v>145</v>
      </c>
      <c r="J14" s="68"/>
      <c r="K14" s="65"/>
      <c r="L14" s="66"/>
      <c r="M14" s="66"/>
      <c r="N14" s="66"/>
      <c r="O14" s="66"/>
      <c r="P14" s="66"/>
      <c r="Q14" s="67"/>
      <c r="R14" s="67"/>
      <c r="S14" s="67"/>
      <c r="T14" s="67"/>
      <c r="U14" s="75"/>
    </row>
    <row r="15" spans="1:21" s="46" customFormat="1" ht="14" x14ac:dyDescent="0.3">
      <c r="B15" s="47">
        <v>0.4</v>
      </c>
      <c r="C15" s="54">
        <f>C$14+C$10*($B15-$B$14)</f>
        <v>0.28333000000000003</v>
      </c>
      <c r="D15" s="54">
        <f>D$14+D$10*($B15-$B$14)</f>
        <v>1.3320000000000002E-2</v>
      </c>
      <c r="E15" s="54">
        <f>E$14+E$10*($B15-$B$14)</f>
        <v>3.6670000000000015E-2</v>
      </c>
      <c r="F15" s="54">
        <f>F$14+F$10*($B15-$B$14)</f>
        <v>6.6679999999999989E-2</v>
      </c>
      <c r="G15" s="54">
        <f>SUM(C15:F15)</f>
        <v>0.4</v>
      </c>
      <c r="I15" s="68" t="s">
        <v>144</v>
      </c>
      <c r="J15" s="68"/>
      <c r="U15" s="76"/>
    </row>
    <row r="16" spans="1:21" s="46" customFormat="1" ht="14" x14ac:dyDescent="0.3">
      <c r="B16" s="47">
        <v>1</v>
      </c>
      <c r="C16" s="54">
        <f>C$14+C$10*($B16-$B$14)</f>
        <v>0.54330999999999996</v>
      </c>
      <c r="D16" s="54">
        <f>D$14+D$10*($B16-$B$14)</f>
        <v>3.3300000000000003E-2</v>
      </c>
      <c r="E16" s="54">
        <f>E$14+E$10*($B16-$B$14)</f>
        <v>0.25669000000000003</v>
      </c>
      <c r="F16" s="54">
        <f>F$14+F$10*($B16-$B$14)</f>
        <v>0.16669999999999999</v>
      </c>
      <c r="G16" s="54">
        <f t="shared" ref="G16:G17" si="3">SUM(C16:F16)</f>
        <v>0.99999999999999989</v>
      </c>
      <c r="U16" s="76"/>
    </row>
    <row r="17" spans="2:21" s="46" customFormat="1" ht="14" x14ac:dyDescent="0.3">
      <c r="B17" s="47">
        <v>1.5</v>
      </c>
      <c r="C17" s="54">
        <f>C$14+C$10*($B17-$B$14)</f>
        <v>0.75995999999999997</v>
      </c>
      <c r="D17" s="54">
        <f>D$14+D$10*($B17-$B$14)</f>
        <v>4.9950000000000001E-2</v>
      </c>
      <c r="E17" s="54">
        <f>E$14+E$10*($B17-$B$14)</f>
        <v>0.44004000000000004</v>
      </c>
      <c r="F17" s="54">
        <f>F$14+F$10*($B17-$B$14)</f>
        <v>0.25004999999999994</v>
      </c>
      <c r="G17" s="54">
        <f t="shared" si="3"/>
        <v>1.5</v>
      </c>
      <c r="U17" s="76"/>
    </row>
    <row r="18" spans="2:21" s="46" customFormat="1" ht="14" x14ac:dyDescent="0.3">
      <c r="B18" s="47" t="s">
        <v>118</v>
      </c>
      <c r="C18" s="50" t="s">
        <v>119</v>
      </c>
      <c r="D18" s="50"/>
      <c r="E18" s="50"/>
      <c r="F18" s="50"/>
      <c r="G18" s="50"/>
      <c r="U18" s="76"/>
    </row>
    <row r="19" spans="2:21" s="46" customFormat="1" ht="14" x14ac:dyDescent="0.3">
      <c r="U19" s="76"/>
    </row>
    <row r="20" spans="2:21" s="46" customFormat="1" ht="14" x14ac:dyDescent="0.3">
      <c r="U20" s="76"/>
    </row>
    <row r="21" spans="2:21" s="46" customFormat="1" ht="14" x14ac:dyDescent="0.3">
      <c r="U21" s="76"/>
    </row>
    <row r="22" spans="2:21" s="46" customFormat="1" ht="17.5" customHeight="1" x14ac:dyDescent="0.3">
      <c r="U22" s="76"/>
    </row>
    <row r="23" spans="2:21" s="46" customFormat="1" ht="27.5" customHeight="1" x14ac:dyDescent="0.3">
      <c r="U23" s="76"/>
    </row>
    <row r="24" spans="2:21" s="46" customFormat="1" ht="14" x14ac:dyDescent="0.3">
      <c r="U24" s="76"/>
    </row>
    <row r="25" spans="2:21" s="46" customFormat="1" ht="14" x14ac:dyDescent="0.3">
      <c r="U25" s="76"/>
    </row>
    <row r="26" spans="2:21" s="46" customFormat="1" ht="14" x14ac:dyDescent="0.3">
      <c r="U26" s="76"/>
    </row>
    <row r="27" spans="2:21" s="46" customFormat="1" ht="14" x14ac:dyDescent="0.3">
      <c r="U27" s="76"/>
    </row>
    <row r="28" spans="2:21" s="46" customFormat="1" ht="14" x14ac:dyDescent="0.3">
      <c r="U28" s="76"/>
    </row>
    <row r="29" spans="2:21" s="46" customFormat="1" ht="14" x14ac:dyDescent="0.3">
      <c r="U29" s="76"/>
    </row>
    <row r="30" spans="2:21" s="46" customFormat="1" ht="14" x14ac:dyDescent="0.3">
      <c r="U30" s="76"/>
    </row>
    <row r="31" spans="2:21" s="46" customFormat="1" ht="14" x14ac:dyDescent="0.3">
      <c r="U31" s="76"/>
    </row>
    <row r="32" spans="2:21" s="46" customFormat="1" ht="14" x14ac:dyDescent="0.3">
      <c r="U32" s="76"/>
    </row>
  </sheetData>
  <mergeCells count="11">
    <mergeCell ref="J5:J6"/>
    <mergeCell ref="I5:I6"/>
    <mergeCell ref="K5:K6"/>
    <mergeCell ref="L5:P5"/>
    <mergeCell ref="Q5:U5"/>
    <mergeCell ref="B7:G7"/>
    <mergeCell ref="B12:G12"/>
    <mergeCell ref="C18:G18"/>
    <mergeCell ref="C11:G11"/>
    <mergeCell ref="L12:P12"/>
    <mergeCell ref="Q12:U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topLeftCell="A2"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Balances</vt:lpstr>
      <vt:lpstr>Deposits</vt:lpstr>
      <vt:lpstr>TotalCreditsDebits</vt:lpstr>
      <vt:lpstr>Capacities</vt:lpstr>
      <vt:lpstr>Example1-Credit</vt:lpstr>
      <vt:lpstr>Example2-Debit</vt:lpstr>
      <vt:lpstr>BasinConservationPrograms</vt:lpstr>
      <vt:lpstr>DCPLogs</vt:lpstr>
      <vt:lpstr>AllocateAvailableWater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2024-08-16T21:47:52Z</dcterms:modified>
</cp:coreProperties>
</file>