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B99C8CBF-102E-4274-86FD-3B4940EDF12A}" xr6:coauthVersionLast="47" xr6:coauthVersionMax="47" xr10:uidLastSave="{00000000-0000-0000-0000-000000000000}"/>
  <bookViews>
    <workbookView xWindow="-57720" yWindow="-120" windowWidth="29040" windowHeight="15720" activeTab="1"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AllocateAvailableWater" sheetId="61" r:id="rId7"/>
    <sheet name="SplitInflow"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47" l="1"/>
  <c r="A20" i="47"/>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D42" i="47"/>
  <c r="E42" i="47"/>
  <c r="F42" i="47"/>
  <c r="G42" i="47"/>
  <c r="D50" i="47"/>
  <c r="E50" i="47"/>
  <c r="F50" i="47"/>
  <c r="G50" i="47"/>
  <c r="C50" i="47"/>
  <c r="C42" i="47"/>
  <c r="C32" i="47"/>
  <c r="C19" i="47"/>
  <c r="L10" i="61" l="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3" i="47" s="1"/>
  <c r="N59" i="57"/>
  <c r="N27" i="57"/>
  <c r="C21" i="47" l="1"/>
  <c r="A1" i="60"/>
  <c r="C33" i="60"/>
  <c r="C21" i="60"/>
  <c r="B21" i="60"/>
  <c r="C36" i="47" l="1"/>
  <c r="C46" i="47" s="1"/>
  <c r="C37" i="47"/>
  <c r="C47" i="47" s="1"/>
  <c r="C34" i="47"/>
  <c r="C35" i="47"/>
  <c r="C45" i="47" s="1"/>
  <c r="B38" i="47"/>
  <c r="C38" i="47" s="1"/>
  <c r="C44" i="47"/>
  <c r="H73" i="57"/>
  <c r="I73" i="57"/>
  <c r="J73" i="57"/>
  <c r="K73" i="57"/>
  <c r="L73" i="57"/>
  <c r="H65" i="57"/>
  <c r="I65" i="57"/>
  <c r="J65" i="57"/>
  <c r="K65" i="57"/>
  <c r="L65" i="57"/>
  <c r="C28" i="57"/>
  <c r="E116" i="47"/>
  <c r="F116" i="47"/>
  <c r="G116" i="47"/>
  <c r="H49" i="57" l="1"/>
  <c r="I49" i="57"/>
  <c r="J49" i="57"/>
  <c r="K49" i="57"/>
  <c r="L49" i="57"/>
  <c r="E49" i="47"/>
  <c r="F49" i="47"/>
  <c r="G49" i="47"/>
  <c r="H49" i="47"/>
  <c r="I49" i="47"/>
  <c r="J49" i="47"/>
  <c r="K49" i="47"/>
  <c r="L49"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F30" i="57" l="1"/>
  <c r="F73" i="57"/>
  <c r="F65" i="57"/>
  <c r="F49" i="57"/>
  <c r="F56" i="57"/>
  <c r="F57" i="57"/>
  <c r="F81" i="57"/>
  <c r="E73" i="57"/>
  <c r="E65" i="57"/>
  <c r="E49" i="57"/>
  <c r="E56" i="57"/>
  <c r="E57" i="57"/>
  <c r="E81" i="57"/>
  <c r="L56" i="57"/>
  <c r="I56" i="57"/>
  <c r="K56" i="57"/>
  <c r="J56" i="57"/>
  <c r="H56" i="57"/>
  <c r="I57" i="57"/>
  <c r="J57" i="57"/>
  <c r="H57" i="57"/>
  <c r="L57" i="57"/>
  <c r="K57" i="57"/>
  <c r="G73" i="57"/>
  <c r="G65" i="57"/>
  <c r="G49" i="57"/>
  <c r="G56" i="57"/>
  <c r="G57" i="57"/>
  <c r="G81" i="57"/>
  <c r="E31" i="57"/>
  <c r="I123" i="57"/>
  <c r="H130" i="57"/>
  <c r="F29" i="57"/>
  <c r="F134" i="57" s="1"/>
  <c r="A129" i="57"/>
  <c r="J129" i="57" s="1"/>
  <c r="A54" i="57"/>
  <c r="G54" i="57" s="1"/>
  <c r="E30" i="57"/>
  <c r="A33" i="57"/>
  <c r="K33" i="57" s="1"/>
  <c r="A60" i="57"/>
  <c r="A61" i="57" s="1"/>
  <c r="F61" i="57" s="1"/>
  <c r="F115" i="57"/>
  <c r="A122" i="57"/>
  <c r="K122" i="57" s="1"/>
  <c r="A37" i="57"/>
  <c r="H37" i="57" s="1"/>
  <c r="A55" i="57"/>
  <c r="A92" i="57"/>
  <c r="G115" i="57"/>
  <c r="H115" i="57"/>
  <c r="A47" i="57"/>
  <c r="L47" i="57" s="1"/>
  <c r="H48" i="57"/>
  <c r="I48" i="57"/>
  <c r="L48" i="57"/>
  <c r="A34" i="57"/>
  <c r="I34" i="57" s="1"/>
  <c r="G30" i="57"/>
  <c r="A110" i="57"/>
  <c r="L110" i="57" s="1"/>
  <c r="G31" i="57"/>
  <c r="B34" i="57"/>
  <c r="F31" i="57"/>
  <c r="A52" i="57"/>
  <c r="F52" i="57" s="1"/>
  <c r="C40" i="57"/>
  <c r="C32" i="57"/>
  <c r="A114" i="57"/>
  <c r="L114" i="57" s="1"/>
  <c r="K36" i="57"/>
  <c r="L36" i="57"/>
  <c r="A76" i="57"/>
  <c r="A119" i="57"/>
  <c r="H119" i="57" s="1"/>
  <c r="A113" i="57"/>
  <c r="F113" i="57" s="1"/>
  <c r="A45" i="57"/>
  <c r="J45" i="57" s="1"/>
  <c r="A126" i="57"/>
  <c r="J126" i="57" s="1"/>
  <c r="A53" i="57"/>
  <c r="F53" i="57" s="1"/>
  <c r="A111" i="57"/>
  <c r="H111" i="57" s="1"/>
  <c r="A35" i="57"/>
  <c r="L35" i="57" s="1"/>
  <c r="A84" i="57"/>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J123" i="57"/>
  <c r="B38" i="57"/>
  <c r="C38" i="57" s="1"/>
  <c r="B33" i="57"/>
  <c r="K38" i="57"/>
  <c r="J38" i="57"/>
  <c r="H38" i="57"/>
  <c r="L38" i="57"/>
  <c r="I112" i="57"/>
  <c r="H112" i="57"/>
  <c r="G112" i="57"/>
  <c r="F112" i="57"/>
  <c r="E112" i="57"/>
  <c r="J33" i="57"/>
  <c r="H123" i="57"/>
  <c r="G123" i="57"/>
  <c r="F123" i="57"/>
  <c r="E123" i="57"/>
  <c r="L123" i="57"/>
  <c r="I115" i="57"/>
  <c r="J130" i="57"/>
  <c r="J115" i="57"/>
  <c r="K130" i="57"/>
  <c r="L130" i="57"/>
  <c r="J36" i="57"/>
  <c r="J48" i="57"/>
  <c r="L115" i="57"/>
  <c r="J122" i="57"/>
  <c r="C36" i="57"/>
  <c r="E115" i="57"/>
  <c r="B25" i="57"/>
  <c r="F118" i="57" l="1"/>
  <c r="I33" i="57"/>
  <c r="C33" i="57"/>
  <c r="J113" i="57"/>
  <c r="L113" i="57"/>
  <c r="I113" i="57"/>
  <c r="C34" i="57"/>
  <c r="J119" i="57"/>
  <c r="L34" i="57"/>
  <c r="J111" i="57"/>
  <c r="K34" i="57"/>
  <c r="F110" i="57"/>
  <c r="G110" i="57"/>
  <c r="J110" i="57"/>
  <c r="A85" i="57"/>
  <c r="L125" i="57"/>
  <c r="H33" i="57"/>
  <c r="I54" i="57"/>
  <c r="J54" i="57"/>
  <c r="K54" i="57"/>
  <c r="L54" i="57"/>
  <c r="H54" i="57"/>
  <c r="E54" i="57"/>
  <c r="G53" i="57"/>
  <c r="F54" i="57"/>
  <c r="J118" i="57"/>
  <c r="H51" i="57"/>
  <c r="K52" i="57"/>
  <c r="J51" i="57"/>
  <c r="K51" i="57"/>
  <c r="I51" i="57"/>
  <c r="L52" i="57"/>
  <c r="H52" i="57"/>
  <c r="J52" i="57"/>
  <c r="I52" i="57"/>
  <c r="L51" i="57"/>
  <c r="E52" i="57"/>
  <c r="F51" i="57"/>
  <c r="A62" i="57"/>
  <c r="A63" i="57" s="1"/>
  <c r="L61" i="57"/>
  <c r="K61" i="57"/>
  <c r="H61" i="57"/>
  <c r="J61" i="57"/>
  <c r="I61" i="57"/>
  <c r="G51" i="57"/>
  <c r="E61" i="57"/>
  <c r="G61" i="57"/>
  <c r="E51" i="57"/>
  <c r="H53" i="57"/>
  <c r="J53" i="57"/>
  <c r="K53" i="57"/>
  <c r="L53" i="57"/>
  <c r="I53" i="57"/>
  <c r="G52" i="57"/>
  <c r="E53" i="57"/>
  <c r="I129" i="57"/>
  <c r="E55" i="57"/>
  <c r="L55" i="57"/>
  <c r="G55" i="57"/>
  <c r="H55" i="57"/>
  <c r="F55" i="57"/>
  <c r="I55" i="57"/>
  <c r="J55" i="57"/>
  <c r="K55" i="57"/>
  <c r="C42" i="57"/>
  <c r="C44" i="57" s="1"/>
  <c r="A69" i="57"/>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G119" i="57"/>
  <c r="F111" i="57"/>
  <c r="L111" i="57"/>
  <c r="K114" i="57"/>
  <c r="H44" i="57"/>
  <c r="I125" i="57"/>
  <c r="K127" i="57"/>
  <c r="I120" i="57"/>
  <c r="I35" i="57"/>
  <c r="C113" i="57"/>
  <c r="K113" i="57"/>
  <c r="E113" i="57"/>
  <c r="J44" i="57"/>
  <c r="G113" i="57"/>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H50" i="47"/>
  <c r="I50" i="47"/>
  <c r="J50" i="47"/>
  <c r="K50" i="47"/>
  <c r="L50" i="47"/>
  <c r="A64" i="57" l="1"/>
  <c r="K64" i="57" s="1"/>
  <c r="A102" i="57"/>
  <c r="A104" i="57" s="1"/>
  <c r="K104" i="57" s="1"/>
  <c r="L101" i="57"/>
  <c r="I101" i="57"/>
  <c r="H101" i="57"/>
  <c r="J101" i="57"/>
  <c r="K101" i="57"/>
  <c r="G101" i="57"/>
  <c r="F101" i="57"/>
  <c r="E101" i="57"/>
  <c r="A86" i="57"/>
  <c r="A88" i="57" s="1"/>
  <c r="I88" i="57" s="1"/>
  <c r="A78" i="57"/>
  <c r="A80" i="57" s="1"/>
  <c r="K80" i="57" s="1"/>
  <c r="A70" i="57"/>
  <c r="A72" i="57" s="1"/>
  <c r="L72" i="57" s="1"/>
  <c r="L69" i="57"/>
  <c r="I69" i="57"/>
  <c r="H69" i="57"/>
  <c r="J69" i="57"/>
  <c r="K69" i="57"/>
  <c r="E69" i="57"/>
  <c r="F69" i="57"/>
  <c r="G69" i="57"/>
  <c r="C43" i="57"/>
  <c r="C46" i="57"/>
  <c r="C48" i="57"/>
  <c r="C45" i="57"/>
  <c r="C47" i="57"/>
  <c r="A95" i="57"/>
  <c r="F95" i="57" s="1"/>
  <c r="G96" i="57"/>
  <c r="M114" i="57"/>
  <c r="F96" i="57"/>
  <c r="J96" i="57"/>
  <c r="I96" i="57"/>
  <c r="M113" i="57"/>
  <c r="H96" i="57"/>
  <c r="K96" i="57"/>
  <c r="L63" i="57"/>
  <c r="K63" i="57"/>
  <c r="I63" i="57"/>
  <c r="H63" i="57"/>
  <c r="E63" i="57"/>
  <c r="G63" i="57"/>
  <c r="M63" i="57"/>
  <c r="F63" i="57"/>
  <c r="J63" i="57"/>
  <c r="L88" i="57"/>
  <c r="A87" i="57"/>
  <c r="L104" i="57"/>
  <c r="J104" i="57"/>
  <c r="I104" i="57"/>
  <c r="A103" i="57"/>
  <c r="K72" i="57"/>
  <c r="H64" i="57"/>
  <c r="A65" i="57"/>
  <c r="L64" i="57"/>
  <c r="J64" i="57"/>
  <c r="A57" i="47"/>
  <c r="H104" i="57" l="1"/>
  <c r="J88" i="57"/>
  <c r="H88" i="57"/>
  <c r="A71" i="57"/>
  <c r="L71" i="57" s="1"/>
  <c r="J72" i="57"/>
  <c r="I80" i="57"/>
  <c r="L80" i="57"/>
  <c r="K88" i="57"/>
  <c r="I64" i="57"/>
  <c r="H80" i="57"/>
  <c r="I72" i="57"/>
  <c r="I57" i="47"/>
  <c r="G57" i="47"/>
  <c r="J57" i="47"/>
  <c r="K57" i="47"/>
  <c r="L57" i="47"/>
  <c r="E57" i="47"/>
  <c r="H57" i="47"/>
  <c r="F57"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103" i="57"/>
  <c r="K103" i="57"/>
  <c r="J103" i="57"/>
  <c r="I103" i="57"/>
  <c r="H103" i="57"/>
  <c r="F103" i="57"/>
  <c r="E103" i="57"/>
  <c r="G103" i="57"/>
  <c r="M103" i="57"/>
  <c r="A105" i="57"/>
  <c r="A106" i="57" s="1"/>
  <c r="K71" i="57"/>
  <c r="H71" i="57"/>
  <c r="J71" i="57"/>
  <c r="G71" i="57"/>
  <c r="E71" i="57"/>
  <c r="F71" i="57" l="1"/>
  <c r="I71" i="57"/>
  <c r="M71" i="57"/>
  <c r="H66" i="57"/>
  <c r="I66" i="57"/>
  <c r="K79" i="57"/>
  <c r="E79" i="57"/>
  <c r="F79" i="57"/>
  <c r="L79" i="57"/>
  <c r="J79" i="57"/>
  <c r="G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K55" i="47" l="1"/>
  <c r="E55" i="47"/>
  <c r="L55" i="47"/>
  <c r="F55" i="47"/>
  <c r="G55" i="47"/>
  <c r="H55" i="47"/>
  <c r="J55" i="47"/>
  <c r="I55" i="47"/>
  <c r="B22" i="57"/>
  <c r="B24" i="47"/>
  <c r="B24" i="57" s="1"/>
  <c r="F40" i="47"/>
  <c r="G40" i="47"/>
  <c r="H40" i="47"/>
  <c r="I40" i="47"/>
  <c r="J40" i="47"/>
  <c r="K40" i="47"/>
  <c r="L40" i="47"/>
  <c r="F41" i="47"/>
  <c r="G41" i="47"/>
  <c r="H41" i="47"/>
  <c r="I41" i="47"/>
  <c r="J41" i="47"/>
  <c r="K41" i="47"/>
  <c r="L41" i="47"/>
  <c r="C41" i="47"/>
  <c r="C40" i="47"/>
  <c r="G7" i="43" l="1"/>
  <c r="G8" i="43"/>
  <c r="G9" i="43"/>
  <c r="G10" i="43"/>
  <c r="G11" i="43"/>
  <c r="G6" i="43"/>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M86" i="47"/>
  <c r="M85" i="47"/>
  <c r="A84" i="47"/>
  <c r="M78" i="47"/>
  <c r="M77" i="47"/>
  <c r="A76" i="47"/>
  <c r="M70" i="47"/>
  <c r="M69" i="47"/>
  <c r="A68" i="47"/>
  <c r="M62" i="47"/>
  <c r="M61" i="47"/>
  <c r="A60" i="47"/>
  <c r="A61" i="47" s="1"/>
  <c r="A62" i="47" s="1"/>
  <c r="A63" i="47" s="1"/>
  <c r="A56" i="47"/>
  <c r="A54" i="47"/>
  <c r="A53" i="47"/>
  <c r="A52" i="47"/>
  <c r="A51" i="47"/>
  <c r="A48" i="47"/>
  <c r="K48" i="47" s="1"/>
  <c r="A47" i="47"/>
  <c r="F47" i="47" s="1"/>
  <c r="A46" i="47"/>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L31" i="47"/>
  <c r="K31" i="47"/>
  <c r="J31" i="47"/>
  <c r="I31" i="47"/>
  <c r="H31" i="47"/>
  <c r="G31" i="47"/>
  <c r="F31" i="47"/>
  <c r="E31" i="47"/>
  <c r="D31" i="47"/>
  <c r="D31" i="57" s="1"/>
  <c r="C31" i="47"/>
  <c r="L29" i="47"/>
  <c r="L134" i="47" s="1"/>
  <c r="K29" i="47"/>
  <c r="K134" i="47" s="1"/>
  <c r="J29" i="47"/>
  <c r="J134" i="47" s="1"/>
  <c r="I29" i="47"/>
  <c r="I134" i="47" s="1"/>
  <c r="H29" i="47"/>
  <c r="G29" i="47"/>
  <c r="F29" i="47"/>
  <c r="E29" i="47"/>
  <c r="D29" i="47"/>
  <c r="C29" i="47"/>
  <c r="A1" i="47"/>
  <c r="F9" i="43"/>
  <c r="E6" i="43"/>
  <c r="E7" i="43" s="1"/>
  <c r="E11" i="43"/>
  <c r="D33" i="47" l="1"/>
  <c r="C33" i="47"/>
  <c r="C43" i="47" s="1"/>
  <c r="C51" i="47" s="1"/>
  <c r="A93" i="47"/>
  <c r="A94" i="47" s="1"/>
  <c r="A95" i="47" s="1"/>
  <c r="J52" i="47"/>
  <c r="F52" i="47"/>
  <c r="I51" i="47"/>
  <c r="E51" i="47"/>
  <c r="H51" i="47"/>
  <c r="K52" i="47"/>
  <c r="G52" i="47"/>
  <c r="L52" i="47"/>
  <c r="L51" i="47"/>
  <c r="F51" i="47"/>
  <c r="I52" i="47"/>
  <c r="E52" i="47"/>
  <c r="H52" i="47"/>
  <c r="G51" i="47"/>
  <c r="J51" i="47"/>
  <c r="K51" i="47"/>
  <c r="K123" i="47"/>
  <c r="E53" i="47"/>
  <c r="J53" i="47"/>
  <c r="H53" i="47"/>
  <c r="I53" i="47"/>
  <c r="G53" i="47"/>
  <c r="K53" i="47"/>
  <c r="L53" i="47"/>
  <c r="F53" i="47"/>
  <c r="H54" i="47"/>
  <c r="J54" i="47"/>
  <c r="K54" i="47"/>
  <c r="I54" i="47"/>
  <c r="E54" i="47"/>
  <c r="G54" i="47"/>
  <c r="F54" i="47"/>
  <c r="L54" i="47"/>
  <c r="H56" i="47"/>
  <c r="E56" i="47"/>
  <c r="J56" i="47"/>
  <c r="K56" i="47"/>
  <c r="G56" i="47"/>
  <c r="L56" i="47"/>
  <c r="I56" i="47"/>
  <c r="F56" i="47"/>
  <c r="K46" i="47"/>
  <c r="F46" i="47"/>
  <c r="D29" i="57"/>
  <c r="D50" i="57" s="1"/>
  <c r="C31" i="57"/>
  <c r="B55" i="57" s="1"/>
  <c r="C29" i="57"/>
  <c r="F37" i="47"/>
  <c r="P51" i="47"/>
  <c r="P52" i="47"/>
  <c r="F114" i="47"/>
  <c r="G111" i="47"/>
  <c r="H114" i="47"/>
  <c r="I111" i="47"/>
  <c r="I129" i="47"/>
  <c r="C48" i="47"/>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H43" i="47"/>
  <c r="C115" i="47"/>
  <c r="L43" i="47"/>
  <c r="L113" i="47"/>
  <c r="F115" i="47"/>
  <c r="G47" i="47"/>
  <c r="D110" i="47"/>
  <c r="C113" i="47"/>
  <c r="I115" i="47"/>
  <c r="H47" i="47"/>
  <c r="H48" i="47"/>
  <c r="L110" i="47"/>
  <c r="D113" i="47"/>
  <c r="K115"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M114" i="47"/>
  <c r="A88" i="47"/>
  <c r="A87" i="47"/>
  <c r="C56" i="47"/>
  <c r="M115" i="47"/>
  <c r="M113" i="47"/>
  <c r="D116" i="47"/>
  <c r="C116" i="47"/>
  <c r="M112" i="47"/>
  <c r="M110" i="47"/>
  <c r="M111" i="47"/>
  <c r="A72" i="47"/>
  <c r="A96" i="47"/>
  <c r="A64" i="47"/>
  <c r="A80" i="47"/>
  <c r="A104"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A97" i="47" l="1"/>
  <c r="A98" i="47" s="1"/>
  <c r="C55" i="47"/>
  <c r="C54" i="47" s="1"/>
  <c r="C53" i="47" s="1"/>
  <c r="C55" i="57"/>
  <c r="C54" i="57" s="1"/>
  <c r="C49" i="57"/>
  <c r="M46" i="60"/>
  <c r="A105" i="47"/>
  <c r="A106" i="47" s="1"/>
  <c r="A73" i="47"/>
  <c r="A74" i="47" s="1"/>
  <c r="A81" i="47"/>
  <c r="A82" i="47" s="1"/>
  <c r="A66" i="47"/>
  <c r="A90"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4" i="47"/>
  <c r="C66" i="47" s="1"/>
  <c r="C125"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C81" i="57" l="1"/>
  <c r="C120" i="57" s="1"/>
  <c r="E41" i="57"/>
  <c r="E40" i="57"/>
  <c r="E42" i="57" s="1"/>
  <c r="D32" i="47"/>
  <c r="C133" i="47"/>
  <c r="C138" i="47" s="1"/>
  <c r="C136" i="47"/>
  <c r="C119" i="57" l="1"/>
  <c r="C82" i="57"/>
  <c r="C127" i="57" s="1"/>
  <c r="D35" i="57" s="1"/>
  <c r="E48" i="57"/>
  <c r="E47" i="57"/>
  <c r="E46" i="57"/>
  <c r="E43" i="57"/>
  <c r="E44" i="57"/>
  <c r="E45" i="57"/>
  <c r="F32" i="57"/>
  <c r="D40" i="47"/>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D15" i="7" l="1"/>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W16" i="7" l="1"/>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<sst xmlns="http://schemas.openxmlformats.org/spreadsheetml/2006/main" count="690" uniqueCount="378">
  <si>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</si>
  <si>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</si>
  <si>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</si>
  <si>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</si>
  <si>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</si>
  <si>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</si>
  <si>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</si>
  <si>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</si>
  <si>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</si>
  <si>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</si>
  <si>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</si>
  <si>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</si>
  <si>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</si>
  <si>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</si>
  <si>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</si>
  <si>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</si>
  <si>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</si>
  <si>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</si>
  <si>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</si>
  <si>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</si>
  <si>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</si>
  <si>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</si>
  <si>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</si>
  <si>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</si>
  <si>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</si>
  <si>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</si>
  <si>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</si>
  <si>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</si>
  <si>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</si>
  <si>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</si>
  <si>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</si>
  <si>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</si>
  <si>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</si>
  <si>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</si>
  <si>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</si>
  <si>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</si>
  <si>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</si>
  <si>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</si>
  <si>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</si>
  <si>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</si>
  <si>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</si>
  <si>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</si>
  <si>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</si>
  <si>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</si>
  <si>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</si>
  <si>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</si>
  <si>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</si>
  <si>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</si>
  <si>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</si>
  <si>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</si>
  <si>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</si>
  <si>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</si>
  <si>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</si>
  <si>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</si>
  <si>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</si>
  <si>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</si>
  <si>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</si>
  <si>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</si>
  <si>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</si>
  <si>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</si>
  <si>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</si>
  <si>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</si>
  <si>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</si>
  <si>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</si>
  <si>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</si>
  <si>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</si>
  <si>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</si>
  <si>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</si>
  <si>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</si>
  <si>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</si>
  <si>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</si>
  <si>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</si>
  <si>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</si>
  <si>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</si>
  <si>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</si>
  <si>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</si>
  <si>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</si>
  <si>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</si>
  <si>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</si>
  <si>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</si>
  <si>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</si>
  <si>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</si>
  <si>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</si>
  <si>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</si>
  <si>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</si>
  <si>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</si>
  <si>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</si>
  <si>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</si>
  <si>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</si>
  <si>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</si>
  <si>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</si>
  <si>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</si>
  <si>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</si>
  <si>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</si>
  <si>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</si>
  <si>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</si>
  <si>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</si>
  <si>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</si>
  <si>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</si>
  <si>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</si>
  <si>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</si>
  <si>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</si>
  <si>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</si>
  <si>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</si>
  <si>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</si>
  <si>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</si>
  <si>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</si>
  <si>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</si>
  <si>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</si>
  <si>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</si>
  <si>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</si>
  <si>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</si>
  <si>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</si>
  <si>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</si>
  <si>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</si>
  <si>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</si>
  <si>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</si>
  <si>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</si>
  <si>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</si>
  <si>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</si>
  <si>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</si>
  <si>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</si>
  <si>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</si>
  <si>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</si>
  <si>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</si>
  <si>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</si>
  <si>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</si>
  <si>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</si>
  <si>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</si>
  <si>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</si>
  <si>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Lookup table of Lower Basin and Mexico mandatory cuts versus Lake Mead elevation.</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</si>
  <si>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</si>
  <si>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</si>
  <si>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</si>
  <si>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</si>
  <si>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</si>
  <si>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</si>
  <si>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</si>
  <si>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</si>
  <si>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</si>
  <si>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</si>
  <si>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</si>
  <si>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</si>
  <si>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</si>
  <si>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</si>
  <si>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</si>
  <si>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</si>
  <si>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</si>
  <si>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</si>
  <si>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</si>
  <si>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</si>
  <si>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</si>
  <si>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</si>
  <si>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</si>
  <si>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</si>
  <si>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</si>
  <si>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</si>
  <si>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</si>
  <si>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</si>
  <si>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</si>
  <si>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</si>
  <si>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</si>
  <si>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</si>
  <si>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</si>
  <si>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</si>
  <si>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</si>
  <si>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</si>
  <si>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</si>
  <si>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</si>
  <si>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</si>
  <si>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</si>
  <si>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</si>
  <si>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</si>
  <si>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</si>
  <si>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</si>
  <si>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</si>
  <si>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</si>
  <si>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</si>
  <si>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</si>
  <si>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</si>
  <si>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</si>
  <si>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</si>
  <si>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</si>
  <si>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</si>
  <si>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</si>
  <si>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</si>
  <si>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</si>
  <si>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</si>
  <si>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</si>
  <si>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</si>
  <si>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</si>
  <si>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</si>
  <si>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</si>
  <si>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</si>
  <si>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</si>
  <si>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</si>
  <si>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</si>
  <si>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</si>
  <si>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</si>
  <si>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</si>
  <si>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</si>
  <si>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</si>
  <si>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</si>
  <si>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</si>
  <si>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</si>
  <si>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</si>
  <si>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</si>
  <si>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</si>
  <si>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</si>
  <si>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</si>
  <si>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</si>
  <si>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</si>
  <si>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</si>
  <si>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</si>
  <si>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</si>
  <si>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</si>
  <si>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</si>
  <si>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</si>
  <si>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</si>
  <si>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</si>
  <si>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</si>
  <si>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</si>
  <si>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</si>
  <si>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</si>
  <si>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</si>
  <si>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</si>
  <si>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</si>
  <si>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</si>
  <si>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</si>
  <si>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</si>
  <si>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</si>
  <si>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</si>
  <si>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</si>
  <si>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</si>
  <si>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</si>
  <si>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</si>
  <si>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</si>
  <si>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</si>
  <si>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</si>
  <si>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</si>
  <si>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</si>
  <si>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</si>
  <si>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</si>
  <si>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</si>
  <si>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</si>
  <si>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</si>
  <si>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</si>
  <si>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</si>
  <si>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</si>
  <si>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</si>
  <si>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</si>
  <si>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</si>
  <si>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</si>
  <si>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</si>
  <si>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</si>
  <si>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</si>
  <si>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https://github.com/dzeke/ColoradoRiverFutures/tree/master/ModelMusings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</si>
  <si>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</si>
  <si>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</si>
  <si>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</si>
  <si>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</si>
  <si>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</si>
  <si>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</si>
  <si>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</si>
  <si>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</si>
  <si>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</si>
  <si>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</si>
  <si>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</si>
  <si>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</si>
  <si>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</si>
  <si>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</si>
  <si>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</si>
  <si>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</si>
  <si>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</si>
  <si>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</si>
  <si>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</si>
  <si>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</si>
  <si>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</si>
  <si>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</si>
  <si>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</si>
  <si>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</si>
  <si>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</si>
  <si>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</si>
  <si>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</si>
  <si>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</si>
  <si>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</si>
  <si>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</si>
  <si>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</si>
  <si>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</si>
  <si>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</si>
  <si>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</si>
  <si>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</si>
  <si>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</si>
  <si>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</si>
  <si>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</si>
  <si>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</si>
  <si>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</si>
  <si>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</si>
  <si>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</si>
  <si>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</si>
  <si>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</si>
  <si>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</si>
  <si>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</si>
  <si>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</si>
  <si>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</si>
  <si>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</si>
  <si>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</si>
  <si>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</si>
  <si>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</si>
  <si>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</si>
  <si>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</si>
  <si>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Inflow assignments to each acount based on basin natural flow.</t>
  </si>
  <si>
    <t>LETS START (visual directions as pdf)</t>
  </si>
  <si>
    <t>A participant's individual choices such as strategy, conservation, consumption, and purchaces from the account.</t>
  </si>
  <si>
    <t>Account</t>
  </si>
  <si>
    <r>
      <t xml:space="preserve">b. Enter the Lake Powell natural flow for Year 1 in </t>
    </r>
    <r>
      <rPr>
        <b/>
        <sz val="11"/>
        <color rgb="FF00B050"/>
        <rFont val="Calibri"/>
        <family val="2"/>
        <scheme val="minor"/>
      </rPr>
      <t>Cell C28</t>
    </r>
    <r>
      <rPr>
        <sz val="11"/>
        <color theme="1"/>
        <rFont val="Calibri"/>
        <family val="2"/>
        <scheme val="minor"/>
      </rPr>
      <t>. Cells below will populate.</t>
    </r>
  </si>
  <si>
    <r>
      <t xml:space="preserve">d. Move to Year 2 (Column D). Enter Lake Powell natural flow in </t>
    </r>
    <r>
      <rPr>
        <b/>
        <sz val="11"/>
        <color rgb="FF00B050"/>
        <rFont val="Calibri"/>
        <family val="2"/>
        <scheme val="minor"/>
      </rPr>
      <t>Cell D28</t>
    </r>
    <r>
      <rPr>
        <sz val="11"/>
        <color theme="1"/>
        <rFont val="Calibri"/>
        <family val="2"/>
        <scheme val="minor"/>
      </rPr>
      <t>.</t>
    </r>
  </si>
  <si>
    <t>This tool gives users the opportunity to experiment with Colorado River basin accounts as a more adaptive option to reservoir equalization operations that expire in 2026. The purpose is provoke thought and discussion about more adaptive Colorado River operations.</t>
  </si>
  <si>
    <t>David E. Rosenberg (2022). "Colorado River Basin Accounts: Provoke Thought and Discussion about more Adaptive Operations." Utah State University, Logan, UT. https://github.com/dzeke/ColoradoRiverFutures/tree/master/ModelMusings. https://github.com/dzeke/ColoradoRiverFutures/tree/master/ModelMusings.</t>
  </si>
  <si>
    <t>Colorado River Basin Accounts: Provoke discussion about more adaptive operations</t>
  </si>
  <si>
    <t>California</t>
  </si>
  <si>
    <t>Arizona</t>
  </si>
  <si>
    <t>Nevada</t>
  </si>
  <si>
    <t>July 12, 2023 values</t>
  </si>
  <si>
    <t>Tribal Nations</t>
  </si>
  <si>
    <t>Vulnerability and Strategy</t>
  </si>
  <si>
    <t>1B. Make reservoir assumptions - Lake Mead</t>
  </si>
  <si>
    <t>Elevation (feet)</t>
  </si>
  <si>
    <t>Volume (maf)</t>
  </si>
  <si>
    <t xml:space="preserve">   Storage above Protect Elevation</t>
  </si>
  <si>
    <t>2. Specify Lake Mead Inflow</t>
  </si>
  <si>
    <t>3. Split existing reservoir storage (Year 1 only; Current ICS Account Balances).</t>
  </si>
  <si>
    <t>https://www.usbr.gov/lc/region/g4000/hourly/mead-elv.html</t>
  </si>
  <si>
    <t>Calculate Mead Evaporation</t>
  </si>
  <si>
    <t>End of 2023</t>
  </si>
  <si>
    <t xml:space="preserve">   Water Conservation Program (ICS) Total Balance</t>
  </si>
  <si>
    <t>Share of Evap.</t>
  </si>
  <si>
    <t>Use March 2024 Lower Basin Alternative shortages to divide available water among water accounts</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</si>
  <si>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</si>
  <si>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</si>
  <si>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</si>
  <si>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</si>
  <si>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</si>
  <si>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</si>
  <si>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</si>
  <si>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</si>
  <si>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</si>
  <si>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</si>
  <si>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</si>
  <si>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</si>
  <si>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</si>
  <si>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</si>
  <si>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</si>
  <si>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</si>
  <si>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</si>
  <si>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</si>
  <si>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</si>
  <si>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</si>
  <si>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</si>
  <si>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</si>
  <si>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</si>
  <si>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</si>
  <si>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</si>
  <si>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</si>
  <si>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</si>
  <si>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</si>
  <si>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</si>
  <si>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</si>
  <si>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</si>
  <si>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 If percentage shares of total shortages for 0.3 to 1.5 maf per year are continue to total shortages for 1.5 to 2.7 maf per year.</t>
  </si>
  <si>
    <t>Reclamation - Protect Zone</t>
  </si>
  <si>
    <t>49% to 53%</t>
  </si>
  <si>
    <t>1.0</t>
  </si>
  <si>
    <t>Update for Lake Mead. Water Accounts, Remove Powell, Modifications down to Row 50.</t>
  </si>
  <si>
    <t>Rosenberg</t>
  </si>
  <si>
    <t>Hours</t>
  </si>
  <si>
    <t>1.1</t>
  </si>
  <si>
    <t>Copied spreadsheet from Colorado River Basin Water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</si>
</sst>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4" formatCode="0.0%"/>
  </numFmts>
  <fonts count="2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309">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5" borderId="5" xfId="0" applyNumberFormat="1" applyFill="1" applyBorder="1" applyAlignment="1">
      <alignment vertical="top" wrapText="1"/>
    </xf>
    <xf numFmtId="171" fontId="0" fillId="5" borderId="5" xfId="0" applyNumberFormat="1" applyFill="1" applyBorder="1" applyAlignment="1">
      <alignment vertical="top"/>
    </xf>
    <xf numFmtId="171" fontId="0" fillId="5" borderId="17" xfId="0" applyNumberFormat="1" applyFill="1" applyBorder="1" applyAlignment="1">
      <alignment vertical="top"/>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0" fontId="0" fillId="0" borderId="0" xfId="0"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ill="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5" borderId="0" xfId="0" applyFill="1" applyAlignment="1">
      <alignment vertical="top" wrapText="1"/>
    </xf>
    <xf numFmtId="0" fontId="0" fillId="5" borderId="6" xfId="0"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 fontId="2" fillId="15" borderId="9" xfId="11"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5" borderId="20" xfId="0" applyFont="1" applyFill="1" applyBorder="1" applyAlignment="1">
      <alignment horizontal="center" vertical="center" wrapText="1"/>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4"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4"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4" fontId="20" fillId="0" borderId="9" xfId="0" applyNumberFormat="1" applyFont="1" applyBorder="1" applyAlignment="1">
      <alignment horizontal="center"/>
    </xf>
    <xf numFmtId="0" fontId="20" fillId="0" borderId="9" xfId="0" applyFont="1" applyBorder="1" applyAlignment="1">
      <alignment horizont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20" fillId="0" borderId="9" xfId="4" applyNumberFormat="1" applyFont="1" applyBorder="1" applyAlignment="1">
      <alignment horizontal="center"/>
    </xf>
    <xf numFmtId="174" fontId="20" fillId="0" borderId="9" xfId="0" applyNumberFormat="1" applyFont="1" applyBorder="1" applyAlignment="1">
      <alignment horizontal="center" vertical="top"/>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4" fontId="20" fillId="0" borderId="0" xfId="4" applyNumberFormat="1" applyFont="1" applyBorder="1" applyAlignment="1">
      <alignment horizontal="center" vertical="top"/>
    </xf>
    <xf numFmtId="174" fontId="20" fillId="0" borderId="0" xfId="0" applyNumberFormat="1" applyFont="1" applyAlignment="1">
      <alignment horizontal="center" vertical="top"/>
    </xf>
    <xf numFmtId="0" fontId="20" fillId="0" borderId="0" xfId="0" applyFont="1" applyAlignment="1">
      <alignment horizontal="center"/>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4.2</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4.7610489999999999</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1051.8824248254443</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6.8860000000000001</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2.607973673578349</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2.1313189655593479</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10.377906467189643</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1066.271048942499</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02" t="s">
        <v>319</v>
      </c>
      <c r="B1" s="202"/>
      <c r="C1" s="202"/>
      <c r="D1" s="202"/>
      <c r="E1" s="202"/>
      <c r="F1" s="202"/>
      <c r="G1" s="202"/>
      <c r="H1" s="202"/>
      <c r="I1" s="202"/>
      <c r="J1" s="202"/>
      <c r="K1" s="202"/>
      <c r="L1" s="202"/>
    </row>
    <row r="2" spans="1:18" x14ac:dyDescent="0.35">
      <c r="A2" s="1"/>
      <c r="B2" s="1"/>
      <c r="C2" s="2"/>
      <c r="D2"/>
    </row>
    <row r="3" spans="1:18" x14ac:dyDescent="0.35">
      <c r="A3" s="162" t="s">
        <v>264</v>
      </c>
      <c r="B3" s="163"/>
      <c r="C3" s="164"/>
      <c r="D3" s="165"/>
      <c r="E3" s="165"/>
      <c r="F3" s="165"/>
      <c r="G3" s="165"/>
      <c r="H3" s="165"/>
      <c r="I3" s="165"/>
      <c r="J3" s="165"/>
      <c r="K3" s="165"/>
      <c r="L3" s="166"/>
      <c r="N3" s="1"/>
    </row>
    <row r="4" spans="1:18" s="56" customFormat="1" ht="30.75" customHeight="1" x14ac:dyDescent="0.35">
      <c r="A4" s="199" t="s">
        <v>317</v>
      </c>
      <c r="B4" s="200"/>
      <c r="C4" s="200"/>
      <c r="D4" s="200"/>
      <c r="E4" s="200"/>
      <c r="F4" s="200"/>
      <c r="G4" s="200"/>
      <c r="H4" s="200"/>
      <c r="I4" s="200"/>
      <c r="J4" s="200"/>
      <c r="K4" s="200"/>
      <c r="L4" s="201"/>
      <c r="N4" s="198"/>
      <c r="O4" s="198"/>
      <c r="P4" s="198"/>
      <c r="Q4" s="198"/>
      <c r="R4" s="198"/>
    </row>
    <row r="5" spans="1:18" s="62" customFormat="1" ht="14.5" customHeight="1" x14ac:dyDescent="0.35">
      <c r="A5" s="119"/>
      <c r="B5" s="119"/>
      <c r="C5" s="119"/>
      <c r="D5" s="119"/>
      <c r="E5" s="119"/>
      <c r="F5" s="119"/>
      <c r="G5" s="119"/>
      <c r="H5" s="119"/>
      <c r="I5" s="119"/>
      <c r="J5" s="119"/>
      <c r="K5" s="119"/>
      <c r="L5" s="119"/>
    </row>
    <row r="6" spans="1:18" s="62" customFormat="1" ht="14.5" customHeight="1" x14ac:dyDescent="0.35">
      <c r="A6" s="220" t="s">
        <v>265</v>
      </c>
      <c r="B6" s="221"/>
      <c r="C6" s="221"/>
      <c r="D6" s="221"/>
      <c r="E6" s="221"/>
      <c r="F6" s="221"/>
      <c r="G6" s="221"/>
      <c r="H6" s="221"/>
      <c r="I6" s="221"/>
      <c r="J6" s="221"/>
      <c r="K6" s="221"/>
      <c r="L6" s="222"/>
    </row>
    <row r="7" spans="1:18" s="62" customFormat="1" ht="14.5" customHeight="1" x14ac:dyDescent="0.35">
      <c r="A7" s="214" t="s">
        <v>290</v>
      </c>
      <c r="B7" s="215"/>
      <c r="C7" s="215"/>
      <c r="D7" s="215"/>
      <c r="E7" s="215"/>
      <c r="F7" s="215"/>
      <c r="G7" s="215"/>
      <c r="H7" s="215"/>
      <c r="I7" s="215"/>
      <c r="J7" s="215"/>
      <c r="K7" s="215"/>
      <c r="L7" s="216"/>
    </row>
    <row r="8" spans="1:18" s="62" customFormat="1" ht="14.5" customHeight="1" x14ac:dyDescent="0.35">
      <c r="A8" s="223" t="s">
        <v>266</v>
      </c>
      <c r="B8" s="224"/>
      <c r="C8" s="224"/>
      <c r="D8" s="224"/>
      <c r="E8" s="224"/>
      <c r="F8" s="224"/>
      <c r="G8" s="224"/>
      <c r="H8" s="224"/>
      <c r="I8" s="224"/>
      <c r="J8" s="224"/>
      <c r="K8" s="224"/>
      <c r="L8" s="225"/>
    </row>
    <row r="9" spans="1:18" s="62" customFormat="1" ht="14.5" customHeight="1" x14ac:dyDescent="0.35">
      <c r="A9" s="223" t="s">
        <v>267</v>
      </c>
      <c r="B9" s="224"/>
      <c r="C9" s="224"/>
      <c r="D9" s="224"/>
      <c r="E9" s="224"/>
      <c r="F9" s="224"/>
      <c r="G9" s="224"/>
      <c r="H9" s="224"/>
      <c r="I9" s="224"/>
      <c r="J9" s="224"/>
      <c r="K9" s="224"/>
      <c r="L9" s="225"/>
    </row>
    <row r="10" spans="1:18" s="62" customFormat="1" ht="14.5" customHeight="1" x14ac:dyDescent="0.35">
      <c r="A10" s="226" t="s">
        <v>268</v>
      </c>
      <c r="B10" s="227"/>
      <c r="C10" s="227"/>
      <c r="D10" s="227"/>
      <c r="E10" s="227"/>
      <c r="F10" s="227"/>
      <c r="G10" s="227"/>
      <c r="H10" s="227"/>
      <c r="I10" s="227"/>
      <c r="J10" s="227"/>
      <c r="K10" s="227"/>
      <c r="L10" s="228"/>
    </row>
    <row r="11" spans="1:18" s="62" customFormat="1" ht="14.5" customHeight="1" x14ac:dyDescent="0.35">
      <c r="A11" s="119"/>
      <c r="B11" s="119"/>
      <c r="C11" s="119"/>
      <c r="D11" s="119"/>
      <c r="E11" s="119"/>
      <c r="F11" s="119"/>
      <c r="G11" s="119"/>
      <c r="H11" s="119"/>
      <c r="I11" s="119"/>
      <c r="J11" s="119"/>
      <c r="K11" s="119"/>
      <c r="L11" s="119"/>
    </row>
    <row r="12" spans="1:18" s="62" customFormat="1" ht="16.5" customHeight="1" x14ac:dyDescent="0.35">
      <c r="A12" s="207" t="s">
        <v>269</v>
      </c>
      <c r="B12" s="208"/>
      <c r="C12" s="208"/>
      <c r="D12" s="208"/>
      <c r="E12" s="208"/>
      <c r="F12" s="208"/>
      <c r="G12" s="208"/>
      <c r="H12" s="208"/>
      <c r="I12" s="208"/>
      <c r="J12" s="208"/>
      <c r="K12" s="208"/>
      <c r="L12" s="209"/>
      <c r="N12" s="1"/>
    </row>
    <row r="13" spans="1:18" s="62" customFormat="1" ht="16.5" customHeight="1" x14ac:dyDescent="0.35">
      <c r="A13" s="217" t="s">
        <v>282</v>
      </c>
      <c r="B13" s="218"/>
      <c r="C13" s="218"/>
      <c r="D13" s="218"/>
      <c r="E13" s="218"/>
      <c r="F13" s="218"/>
      <c r="G13" s="218"/>
      <c r="H13" s="218"/>
      <c r="I13" s="218"/>
      <c r="J13" s="218"/>
      <c r="K13" s="218"/>
      <c r="L13" s="219"/>
      <c r="N13" s="1"/>
    </row>
    <row r="14" spans="1:18" s="62" customFormat="1" ht="15" customHeight="1" x14ac:dyDescent="0.35">
      <c r="A14" s="168">
        <v>1</v>
      </c>
      <c r="B14" s="210" t="s">
        <v>281</v>
      </c>
      <c r="C14" s="210"/>
      <c r="D14" s="210"/>
      <c r="E14" s="210"/>
      <c r="F14" s="210"/>
      <c r="G14" s="210"/>
      <c r="H14" s="210"/>
      <c r="I14" s="210"/>
      <c r="J14" s="210"/>
      <c r="K14" s="210"/>
      <c r="L14" s="211"/>
    </row>
    <row r="15" spans="1:18" s="62" customFormat="1" ht="15" customHeight="1" x14ac:dyDescent="0.35">
      <c r="A15" s="168">
        <v>2</v>
      </c>
      <c r="B15" s="210" t="s">
        <v>275</v>
      </c>
      <c r="C15" s="210"/>
      <c r="D15" s="210"/>
      <c r="E15" s="210"/>
      <c r="F15" s="210"/>
      <c r="G15" s="210"/>
      <c r="H15" s="210"/>
      <c r="I15" s="210"/>
      <c r="J15" s="210"/>
      <c r="K15" s="210"/>
      <c r="L15" s="211"/>
      <c r="N15" s="112"/>
    </row>
    <row r="16" spans="1:18" s="62" customFormat="1" ht="15" customHeight="1" x14ac:dyDescent="0.35">
      <c r="A16" s="168">
        <v>3</v>
      </c>
      <c r="B16" s="210" t="s">
        <v>270</v>
      </c>
      <c r="C16" s="210"/>
      <c r="D16" s="210"/>
      <c r="E16" s="210"/>
      <c r="F16" s="210"/>
      <c r="G16" s="210"/>
      <c r="H16" s="210"/>
      <c r="I16" s="210"/>
      <c r="J16" s="210"/>
      <c r="K16" s="210"/>
      <c r="L16" s="211"/>
      <c r="N16" s="112"/>
    </row>
    <row r="17" spans="1:14" s="62" customFormat="1" ht="15" customHeight="1" x14ac:dyDescent="0.35">
      <c r="A17" s="168">
        <v>4</v>
      </c>
      <c r="B17" s="210" t="s">
        <v>271</v>
      </c>
      <c r="C17" s="210"/>
      <c r="D17" s="210"/>
      <c r="E17" s="210"/>
      <c r="F17" s="210"/>
      <c r="G17" s="210"/>
      <c r="H17" s="210"/>
      <c r="I17" s="210"/>
      <c r="J17" s="210"/>
      <c r="K17" s="210"/>
      <c r="L17" s="211"/>
      <c r="N17" s="112"/>
    </row>
    <row r="18" spans="1:14" s="62" customFormat="1" ht="15" customHeight="1" x14ac:dyDescent="0.35">
      <c r="A18" s="168">
        <v>5</v>
      </c>
      <c r="B18" s="210" t="s">
        <v>272</v>
      </c>
      <c r="C18" s="210"/>
      <c r="D18" s="210"/>
      <c r="E18" s="210"/>
      <c r="F18" s="210"/>
      <c r="G18" s="210"/>
      <c r="H18" s="210"/>
      <c r="I18" s="210"/>
      <c r="J18" s="210"/>
      <c r="K18" s="210"/>
      <c r="L18" s="211"/>
      <c r="N18" s="112"/>
    </row>
    <row r="19" spans="1:14" s="62" customFormat="1" ht="15" customHeight="1" x14ac:dyDescent="0.35">
      <c r="A19" s="168"/>
      <c r="B19" s="210" t="s">
        <v>273</v>
      </c>
      <c r="C19" s="210"/>
      <c r="D19" s="210"/>
      <c r="E19" s="210"/>
      <c r="F19" s="210"/>
      <c r="G19" s="210"/>
      <c r="H19" s="210"/>
      <c r="I19" s="210"/>
      <c r="J19" s="210"/>
      <c r="K19" s="210"/>
      <c r="L19" s="211"/>
      <c r="N19" s="112"/>
    </row>
    <row r="20" spans="1:14" s="62" customFormat="1" ht="15" customHeight="1" x14ac:dyDescent="0.35">
      <c r="A20" s="168"/>
      <c r="B20" s="210" t="s">
        <v>274</v>
      </c>
      <c r="C20" s="210"/>
      <c r="D20" s="210"/>
      <c r="E20" s="210"/>
      <c r="F20" s="210"/>
      <c r="G20" s="210"/>
      <c r="H20" s="210"/>
      <c r="I20" s="210"/>
      <c r="J20" s="210"/>
      <c r="K20" s="210"/>
      <c r="L20" s="211"/>
      <c r="N20" s="112"/>
    </row>
    <row r="21" spans="1:14" s="62" customFormat="1" ht="15" customHeight="1" x14ac:dyDescent="0.35">
      <c r="A21" s="231" t="s">
        <v>283</v>
      </c>
      <c r="B21" s="232"/>
      <c r="C21" s="232"/>
      <c r="D21" s="232"/>
      <c r="E21" s="232"/>
      <c r="F21" s="232"/>
      <c r="G21" s="232"/>
      <c r="H21" s="232"/>
      <c r="I21" s="232"/>
      <c r="J21" s="232"/>
      <c r="K21" s="232"/>
      <c r="L21" s="233"/>
      <c r="N21" s="112"/>
    </row>
    <row r="22" spans="1:14" s="62" customFormat="1" ht="15" customHeight="1" x14ac:dyDescent="0.35">
      <c r="A22" s="168">
        <v>1</v>
      </c>
      <c r="B22" s="210" t="s">
        <v>276</v>
      </c>
      <c r="C22" s="210"/>
      <c r="D22" s="210"/>
      <c r="E22" s="210"/>
      <c r="F22" s="210"/>
      <c r="G22" s="210"/>
      <c r="H22" s="210"/>
      <c r="I22" s="210"/>
      <c r="J22" s="210"/>
      <c r="K22" s="210"/>
      <c r="L22" s="211"/>
      <c r="N22" s="112"/>
    </row>
    <row r="23" spans="1:14" s="62" customFormat="1" ht="30.75" customHeight="1" x14ac:dyDescent="0.35">
      <c r="A23" s="168"/>
      <c r="B23" s="229" t="s">
        <v>277</v>
      </c>
      <c r="C23" s="229"/>
      <c r="D23" s="229"/>
      <c r="E23" s="229"/>
      <c r="F23" s="229"/>
      <c r="G23" s="229"/>
      <c r="H23" s="229"/>
      <c r="I23" s="229"/>
      <c r="J23" s="229"/>
      <c r="K23" s="229"/>
      <c r="L23" s="230"/>
      <c r="N23" s="112"/>
    </row>
    <row r="24" spans="1:14" s="62" customFormat="1" ht="15" customHeight="1" x14ac:dyDescent="0.35">
      <c r="A24" s="168"/>
      <c r="B24" s="229" t="s">
        <v>315</v>
      </c>
      <c r="C24" s="229"/>
      <c r="D24" s="229"/>
      <c r="E24" s="229"/>
      <c r="F24" s="229"/>
      <c r="G24" s="229"/>
      <c r="H24" s="229"/>
      <c r="I24" s="229"/>
      <c r="J24" s="229"/>
      <c r="K24" s="229"/>
      <c r="L24" s="230"/>
      <c r="N24" s="112"/>
    </row>
    <row r="25" spans="1:14" s="62" customFormat="1" ht="15" customHeight="1" x14ac:dyDescent="0.35">
      <c r="A25" s="168"/>
      <c r="B25" s="229" t="s">
        <v>278</v>
      </c>
      <c r="C25" s="229"/>
      <c r="D25" s="229"/>
      <c r="E25" s="229"/>
      <c r="F25" s="229"/>
      <c r="G25" s="229"/>
      <c r="H25" s="229"/>
      <c r="I25" s="229"/>
      <c r="J25" s="229"/>
      <c r="K25" s="229"/>
      <c r="L25" s="230"/>
      <c r="N25" s="112"/>
    </row>
    <row r="26" spans="1:14" s="62" customFormat="1" ht="16.5" customHeight="1" x14ac:dyDescent="0.35">
      <c r="A26" s="168"/>
      <c r="B26" s="210" t="s">
        <v>316</v>
      </c>
      <c r="C26" s="210"/>
      <c r="D26" s="210"/>
      <c r="E26" s="210"/>
      <c r="F26" s="210"/>
      <c r="G26" s="210"/>
      <c r="H26" s="210"/>
      <c r="I26" s="210"/>
      <c r="J26" s="210"/>
      <c r="K26" s="210"/>
      <c r="L26" s="211"/>
    </row>
    <row r="27" spans="1:14" s="62" customFormat="1" ht="15" customHeight="1" x14ac:dyDescent="0.35">
      <c r="A27" s="169">
        <v>2</v>
      </c>
      <c r="B27" s="210" t="s">
        <v>279</v>
      </c>
      <c r="C27" s="210"/>
      <c r="D27" s="210"/>
      <c r="E27" s="210"/>
      <c r="F27" s="210"/>
      <c r="G27" s="210"/>
      <c r="H27" s="210"/>
      <c r="I27" s="210"/>
      <c r="J27" s="210"/>
      <c r="K27" s="210"/>
      <c r="L27" s="211"/>
    </row>
    <row r="28" spans="1:14" s="62" customFormat="1" ht="30.75" customHeight="1" x14ac:dyDescent="0.35">
      <c r="A28" s="170">
        <v>3</v>
      </c>
      <c r="B28" s="212" t="s">
        <v>288</v>
      </c>
      <c r="C28" s="212"/>
      <c r="D28" s="212"/>
      <c r="E28" s="212"/>
      <c r="F28" s="212"/>
      <c r="G28" s="212"/>
      <c r="H28" s="212"/>
      <c r="I28" s="212"/>
      <c r="J28" s="212"/>
      <c r="K28" s="212"/>
      <c r="L28" s="213"/>
    </row>
    <row r="29" spans="1:14" s="62" customFormat="1" ht="18" customHeight="1" x14ac:dyDescent="0.35">
      <c r="A29" s="171"/>
      <c r="B29" s="119"/>
      <c r="C29" s="119"/>
      <c r="D29" s="119"/>
      <c r="E29" s="119"/>
      <c r="F29" s="119"/>
      <c r="G29" s="119"/>
      <c r="H29" s="119"/>
      <c r="I29" s="119"/>
      <c r="J29" s="119"/>
      <c r="K29" s="119"/>
      <c r="L29" s="119"/>
    </row>
    <row r="30" spans="1:14" s="1" customFormat="1" ht="16.5" customHeight="1" x14ac:dyDescent="0.35">
      <c r="A30" s="204" t="s">
        <v>312</v>
      </c>
      <c r="B30" s="205"/>
      <c r="C30" s="205"/>
      <c r="D30" s="205"/>
      <c r="E30" s="205"/>
      <c r="F30" s="205"/>
      <c r="G30" s="205"/>
      <c r="H30" s="205"/>
      <c r="I30" s="205"/>
      <c r="J30" s="205"/>
      <c r="K30" s="205"/>
      <c r="L30" s="206"/>
    </row>
    <row r="31" spans="1:14" s="1" customFormat="1" ht="16.5" customHeight="1" x14ac:dyDescent="0.35">
      <c r="A31" s="172" t="s">
        <v>280</v>
      </c>
      <c r="B31" s="173"/>
      <c r="C31" s="173"/>
      <c r="D31" s="173"/>
      <c r="E31" s="173"/>
      <c r="F31" s="173"/>
      <c r="G31" s="173"/>
      <c r="H31" s="173"/>
      <c r="I31" s="173"/>
      <c r="J31" s="173"/>
      <c r="K31" s="173"/>
      <c r="L31" s="174"/>
    </row>
    <row r="32" spans="1:14" ht="14.25" customHeight="1" x14ac:dyDescent="0.35">
      <c r="B32" s="88"/>
      <c r="C32" s="88"/>
      <c r="D32" s="88"/>
      <c r="E32" s="88"/>
      <c r="F32" s="88"/>
      <c r="G32" s="88"/>
      <c r="H32" s="88"/>
      <c r="I32" s="88"/>
      <c r="J32" s="88"/>
      <c r="K32" s="88"/>
      <c r="L32" s="88"/>
    </row>
    <row r="33" spans="1:12" ht="16.5" customHeight="1" x14ac:dyDescent="0.35">
      <c r="A33" s="175" t="s">
        <v>208</v>
      </c>
      <c r="B33" s="176"/>
      <c r="C33" s="176"/>
      <c r="D33" s="177"/>
      <c r="E33" s="176"/>
      <c r="F33" s="176"/>
      <c r="G33" s="176"/>
      <c r="H33" s="176"/>
      <c r="I33" s="176"/>
      <c r="J33" s="176"/>
      <c r="K33" s="176"/>
      <c r="L33" s="178"/>
    </row>
    <row r="34" spans="1:12" ht="15" customHeight="1" x14ac:dyDescent="0.35">
      <c r="A34" s="179"/>
      <c r="B34" s="180" t="s">
        <v>74</v>
      </c>
      <c r="C34" s="181" t="s">
        <v>96</v>
      </c>
      <c r="D34" s="181"/>
      <c r="E34" s="181"/>
      <c r="F34" s="181"/>
      <c r="G34" s="181"/>
      <c r="H34" s="181"/>
      <c r="I34" s="181"/>
      <c r="J34" s="181"/>
      <c r="K34" s="181"/>
      <c r="L34" s="182"/>
    </row>
    <row r="35" spans="1:12" ht="14.25" customHeight="1" x14ac:dyDescent="0.35">
      <c r="A35" s="179"/>
      <c r="B35" s="180" t="s">
        <v>98</v>
      </c>
      <c r="C35" s="181" t="s">
        <v>108</v>
      </c>
      <c r="D35" s="181"/>
      <c r="E35" s="181"/>
      <c r="F35" s="181"/>
      <c r="G35" s="181"/>
      <c r="H35" s="181"/>
      <c r="I35" s="181"/>
      <c r="J35" s="181"/>
      <c r="K35" s="181"/>
      <c r="L35" s="182"/>
    </row>
    <row r="36" spans="1:12" s="61" customFormat="1" ht="33.75" customHeight="1" x14ac:dyDescent="0.35">
      <c r="A36" s="179"/>
      <c r="B36" s="180" t="s">
        <v>74</v>
      </c>
      <c r="C36" s="224" t="s">
        <v>169</v>
      </c>
      <c r="D36" s="224"/>
      <c r="E36" s="224"/>
      <c r="F36" s="224"/>
      <c r="G36" s="224"/>
      <c r="H36" s="224"/>
      <c r="I36" s="224"/>
      <c r="J36" s="224"/>
      <c r="K36" s="224"/>
      <c r="L36" s="225"/>
    </row>
    <row r="37" spans="1:12" s="62" customFormat="1" ht="30.75" customHeight="1" x14ac:dyDescent="0.35">
      <c r="A37" s="179"/>
      <c r="B37" s="180" t="s">
        <v>167</v>
      </c>
      <c r="C37" s="224" t="s">
        <v>170</v>
      </c>
      <c r="D37" s="224"/>
      <c r="E37" s="224"/>
      <c r="F37" s="224"/>
      <c r="G37" s="224"/>
      <c r="H37" s="224"/>
      <c r="I37" s="224"/>
      <c r="J37" s="224"/>
      <c r="K37" s="224"/>
      <c r="L37" s="225"/>
    </row>
    <row r="38" spans="1:12" ht="30.75" customHeight="1" x14ac:dyDescent="0.35">
      <c r="A38" s="179"/>
      <c r="B38" s="180" t="s">
        <v>168</v>
      </c>
      <c r="C38" s="224" t="s">
        <v>171</v>
      </c>
      <c r="D38" s="224"/>
      <c r="E38" s="224"/>
      <c r="F38" s="224"/>
      <c r="G38" s="224"/>
      <c r="H38" s="224"/>
      <c r="I38" s="224"/>
      <c r="J38" s="224"/>
      <c r="K38" s="224"/>
      <c r="L38" s="225"/>
    </row>
    <row r="39" spans="1:12" ht="30.75" customHeight="1" x14ac:dyDescent="0.35">
      <c r="A39" s="179"/>
      <c r="B39" s="180" t="s">
        <v>309</v>
      </c>
      <c r="C39" s="224" t="s">
        <v>310</v>
      </c>
      <c r="D39" s="224"/>
      <c r="E39" s="224"/>
      <c r="F39" s="224"/>
      <c r="G39" s="224"/>
      <c r="H39" s="224"/>
      <c r="I39" s="224"/>
      <c r="J39" s="224"/>
      <c r="K39" s="224"/>
      <c r="L39" s="225"/>
    </row>
    <row r="40" spans="1:12" ht="15.5" customHeight="1" x14ac:dyDescent="0.35">
      <c r="A40" s="179"/>
      <c r="B40" s="180" t="s">
        <v>309</v>
      </c>
      <c r="C40" s="224" t="s">
        <v>311</v>
      </c>
      <c r="D40" s="224"/>
      <c r="E40" s="224"/>
      <c r="F40" s="224"/>
      <c r="G40" s="224"/>
      <c r="H40" s="224"/>
      <c r="I40" s="224"/>
      <c r="J40" s="224"/>
      <c r="K40" s="224"/>
      <c r="L40" s="225"/>
    </row>
    <row r="41" spans="1:12" x14ac:dyDescent="0.35">
      <c r="A41" s="179"/>
      <c r="B41" s="180" t="s">
        <v>262</v>
      </c>
      <c r="C41" s="181" t="s">
        <v>130</v>
      </c>
      <c r="D41" s="181"/>
      <c r="E41" s="181"/>
      <c r="F41" s="181"/>
      <c r="G41" s="181"/>
      <c r="H41" s="181"/>
      <c r="I41" s="181"/>
      <c r="J41" s="181"/>
      <c r="K41" s="181"/>
      <c r="L41" s="182"/>
    </row>
    <row r="42" spans="1:12" ht="29.25" customHeight="1" x14ac:dyDescent="0.35">
      <c r="A42" s="179"/>
      <c r="B42" s="180" t="s">
        <v>75</v>
      </c>
      <c r="C42" s="224" t="s">
        <v>76</v>
      </c>
      <c r="D42" s="224"/>
      <c r="E42" s="224"/>
      <c r="F42" s="224"/>
      <c r="G42" s="224"/>
      <c r="H42" s="224"/>
      <c r="I42" s="224"/>
      <c r="J42" s="224"/>
      <c r="K42" s="224"/>
      <c r="L42" s="225"/>
    </row>
    <row r="43" spans="1:12" x14ac:dyDescent="0.35">
      <c r="A43" s="179"/>
      <c r="B43" s="180" t="s">
        <v>77</v>
      </c>
      <c r="C43" s="181" t="s">
        <v>78</v>
      </c>
      <c r="D43" s="181"/>
      <c r="E43" s="181"/>
      <c r="F43" s="181"/>
      <c r="G43" s="181"/>
      <c r="H43" s="181"/>
      <c r="I43" s="181"/>
      <c r="J43" s="181"/>
      <c r="K43" s="181"/>
      <c r="L43" s="182"/>
    </row>
    <row r="44" spans="1:12" x14ac:dyDescent="0.35">
      <c r="A44" s="179"/>
      <c r="B44" s="180" t="s">
        <v>91</v>
      </c>
      <c r="C44" s="181" t="s">
        <v>92</v>
      </c>
      <c r="D44" s="181"/>
      <c r="E44" s="181"/>
      <c r="F44" s="181"/>
      <c r="G44" s="181"/>
      <c r="H44" s="181"/>
      <c r="I44" s="181"/>
      <c r="J44" s="181"/>
      <c r="K44" s="181"/>
      <c r="L44" s="182"/>
    </row>
    <row r="45" spans="1:12" x14ac:dyDescent="0.35">
      <c r="A45" s="183"/>
      <c r="B45" s="184" t="s">
        <v>200</v>
      </c>
      <c r="C45" s="185" t="s">
        <v>201</v>
      </c>
      <c r="D45" s="185"/>
      <c r="E45" s="185"/>
      <c r="F45" s="185"/>
      <c r="G45" s="185"/>
      <c r="H45" s="185"/>
      <c r="I45" s="185"/>
      <c r="J45" s="185"/>
      <c r="K45" s="185"/>
      <c r="L45" s="186"/>
    </row>
    <row r="47" spans="1:12" x14ac:dyDescent="0.35">
      <c r="A47" s="1" t="s">
        <v>110</v>
      </c>
    </row>
    <row r="48" spans="1:12" x14ac:dyDescent="0.35">
      <c r="A48" t="s">
        <v>111</v>
      </c>
    </row>
    <row r="49" spans="1:12" x14ac:dyDescent="0.35">
      <c r="A49" t="s">
        <v>112</v>
      </c>
    </row>
    <row r="50" spans="1:12" x14ac:dyDescent="0.35">
      <c r="A50" s="47" t="s">
        <v>113</v>
      </c>
    </row>
    <row r="51" spans="1:12" x14ac:dyDescent="0.35">
      <c r="A51" s="47" t="s">
        <v>114</v>
      </c>
    </row>
    <row r="52" spans="1:12" x14ac:dyDescent="0.35">
      <c r="A52" s="47"/>
    </row>
    <row r="53" spans="1:12" x14ac:dyDescent="0.35">
      <c r="A53" s="1" t="s">
        <v>257</v>
      </c>
    </row>
    <row r="54" spans="1:12" x14ac:dyDescent="0.35">
      <c r="A54" s="47" t="s">
        <v>256</v>
      </c>
    </row>
    <row r="56" spans="1:12" x14ac:dyDescent="0.35">
      <c r="A56" s="1" t="s">
        <v>35</v>
      </c>
    </row>
    <row r="57" spans="1:12" ht="29.15" customHeight="1" x14ac:dyDescent="0.35">
      <c r="A57" s="203" t="s">
        <v>318</v>
      </c>
      <c r="B57" s="203"/>
      <c r="C57" s="203"/>
      <c r="D57" s="203"/>
      <c r="E57" s="203"/>
      <c r="F57" s="203"/>
      <c r="G57" s="203"/>
      <c r="H57" s="203"/>
      <c r="I57" s="203"/>
      <c r="J57" s="203"/>
      <c r="K57" s="203"/>
      <c r="L57" s="203"/>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137</v>
      </c>
    </row>
    <row r="2" spans="1:9" x14ac:dyDescent="0.35">
      <c r="A2" s="62" t="s">
        <v>138</v>
      </c>
    </row>
    <row r="3" spans="1:9" x14ac:dyDescent="0.35">
      <c r="I3" s="1" t="s">
        <v>207</v>
      </c>
    </row>
    <row r="4" spans="1:9" s="55" customFormat="1" ht="43.5" x14ac:dyDescent="0.35">
      <c r="A4" s="38" t="s">
        <v>139</v>
      </c>
      <c r="B4" s="38" t="s">
        <v>144</v>
      </c>
      <c r="C4" s="38" t="s">
        <v>145</v>
      </c>
      <c r="D4" s="39" t="s">
        <v>140</v>
      </c>
      <c r="E4" s="38" t="s">
        <v>155</v>
      </c>
      <c r="F4" s="38" t="s">
        <v>156</v>
      </c>
      <c r="G4" s="126" t="s">
        <v>173</v>
      </c>
    </row>
    <row r="5" spans="1:9" s="55" customFormat="1" ht="58" x14ac:dyDescent="0.35">
      <c r="A5" s="67">
        <f>'Powell-Elevation-Area'!A5</f>
        <v>3370</v>
      </c>
      <c r="B5" s="83" t="s">
        <v>151</v>
      </c>
      <c r="C5" s="68" t="s">
        <v>147</v>
      </c>
      <c r="D5" s="69" t="str">
        <f>D7</f>
        <v>Highest uncertainty for native fish. Also represent a substantial risk to the tailwater trout fishery, as sustained temperatures of 19oC or higher are unsuitable for trout.</v>
      </c>
      <c r="E5" s="92" t="s">
        <v>158</v>
      </c>
      <c r="F5" s="92" t="s">
        <v>157</v>
      </c>
      <c r="G5" s="127">
        <f>VLOOKUP(A5,'Powell-Elevation-Area'!$A$5:$B$689,2)/1000000</f>
        <v>0</v>
      </c>
    </row>
    <row r="6" spans="1:9" s="55" customFormat="1" ht="58" x14ac:dyDescent="0.35">
      <c r="A6" s="64">
        <v>3425</v>
      </c>
      <c r="B6" s="65" t="str">
        <f>B7</f>
        <v>&gt; 18</v>
      </c>
      <c r="C6" s="65" t="s">
        <v>147</v>
      </c>
      <c r="D6" s="66" t="str">
        <f>D7</f>
        <v>Highest uncertainty for native fish. Also represent a substantial risk to the tailwater trout fishery, as sustained temperatures of 19oC or higher are unsuitable for trout.</v>
      </c>
      <c r="E6" s="92" t="str">
        <f>E5</f>
        <v>Highly uncertain</v>
      </c>
      <c r="F6" s="92" t="s">
        <v>157</v>
      </c>
      <c r="G6" s="127">
        <f>VLOOKUP(A6,'Powell-Elevation-Area'!$A$5:$B$689,2)/1000000</f>
        <v>1.40786875</v>
      </c>
    </row>
    <row r="7" spans="1:9" s="55" customFormat="1" ht="58" x14ac:dyDescent="0.35">
      <c r="A7" s="70">
        <v>3490</v>
      </c>
      <c r="B7" s="71" t="s">
        <v>151</v>
      </c>
      <c r="C7" s="71" t="s">
        <v>146</v>
      </c>
      <c r="D7" s="72" t="s">
        <v>143</v>
      </c>
      <c r="E7" s="65" t="str">
        <f>E6</f>
        <v>Highly uncertain</v>
      </c>
      <c r="F7" s="92" t="s">
        <v>157</v>
      </c>
      <c r="G7" s="127">
        <f>VLOOKUP(A7,'Powell-Elevation-Area'!$A$5:$B$689,2)/1000000</f>
        <v>3.9971625</v>
      </c>
    </row>
    <row r="8" spans="1:9" ht="72.5" x14ac:dyDescent="0.35">
      <c r="A8" s="73">
        <v>3525</v>
      </c>
      <c r="B8" s="74" t="s">
        <v>150</v>
      </c>
      <c r="C8" s="74" t="s">
        <v>146</v>
      </c>
      <c r="D8" s="75" t="s">
        <v>142</v>
      </c>
      <c r="E8" s="93" t="s">
        <v>159</v>
      </c>
      <c r="F8" s="93" t="s">
        <v>162</v>
      </c>
      <c r="G8" s="128">
        <f>VLOOKUP(A8,'Powell-Elevation-Area'!$A$5:$B$689,2)/1000000</f>
        <v>5.9265762500000001</v>
      </c>
    </row>
    <row r="9" spans="1:9" ht="43.5" x14ac:dyDescent="0.35">
      <c r="A9" s="76">
        <v>3600</v>
      </c>
      <c r="B9" s="77" t="s">
        <v>149</v>
      </c>
      <c r="C9" s="77" t="s">
        <v>146</v>
      </c>
      <c r="D9" s="78" t="s">
        <v>153</v>
      </c>
      <c r="E9" s="94" t="s">
        <v>154</v>
      </c>
      <c r="F9" s="94" t="str">
        <f>F8</f>
        <v>Help grow + incubate</v>
      </c>
      <c r="G9" s="129">
        <f>VLOOKUP(A9,'Powell-Elevation-Area'!$A$5:$B$689,2)/1000000</f>
        <v>11.750075000000001</v>
      </c>
    </row>
    <row r="10" spans="1:9" ht="101.5" x14ac:dyDescent="0.35">
      <c r="A10" s="79">
        <v>3675</v>
      </c>
      <c r="B10" s="80" t="s">
        <v>148</v>
      </c>
      <c r="C10" s="80" t="s">
        <v>146</v>
      </c>
      <c r="D10" s="81" t="s">
        <v>141</v>
      </c>
      <c r="E10" s="95" t="s">
        <v>161</v>
      </c>
      <c r="F10" s="95" t="s">
        <v>163</v>
      </c>
      <c r="G10" s="130">
        <f>VLOOKUP(A10,'Powell-Elevation-Area'!$A$5:$B$689,2)/1000000</f>
        <v>20.539037499999999</v>
      </c>
    </row>
    <row r="11" spans="1:9" ht="101.5" x14ac:dyDescent="0.35">
      <c r="A11" s="79">
        <v>3700</v>
      </c>
      <c r="B11" s="80" t="str">
        <f>B10</f>
        <v>&lt; 12</v>
      </c>
      <c r="C11" s="80" t="s">
        <v>146</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163</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199</v>
      </c>
    </row>
    <row r="3" spans="1:4" s="1" customFormat="1" x14ac:dyDescent="0.35">
      <c r="A3" s="261" t="s">
        <v>197</v>
      </c>
      <c r="B3" s="261"/>
      <c r="C3" s="261"/>
      <c r="D3" s="135" t="s">
        <v>196</v>
      </c>
    </row>
    <row r="4" spans="1:4" ht="30" customHeight="1" x14ac:dyDescent="0.35">
      <c r="A4" s="262" t="s">
        <v>193</v>
      </c>
      <c r="B4" s="262"/>
      <c r="C4" s="262"/>
      <c r="D4" s="187" t="s">
        <v>291</v>
      </c>
    </row>
    <row r="5" spans="1:4" ht="43.5" x14ac:dyDescent="0.35">
      <c r="A5" s="266" t="s">
        <v>292</v>
      </c>
      <c r="B5" s="263"/>
      <c r="C5" s="263"/>
      <c r="D5" s="188" t="s">
        <v>313</v>
      </c>
    </row>
    <row r="6" spans="1:4" ht="57.5" customHeight="1" x14ac:dyDescent="0.35">
      <c r="A6" s="264" t="s">
        <v>293</v>
      </c>
      <c r="B6" s="264"/>
      <c r="C6" s="264"/>
      <c r="D6" s="189" t="s">
        <v>294</v>
      </c>
    </row>
    <row r="7" spans="1:4" ht="29" x14ac:dyDescent="0.35">
      <c r="A7" s="265" t="s">
        <v>33</v>
      </c>
      <c r="B7" s="265"/>
      <c r="C7" s="265"/>
      <c r="D7" s="190" t="s">
        <v>295</v>
      </c>
    </row>
    <row r="11" spans="1:4" x14ac:dyDescent="0.35">
      <c r="A11" s="262" t="s">
        <v>193</v>
      </c>
      <c r="B11" s="262"/>
      <c r="C11" s="262"/>
    </row>
    <row r="12" spans="1:4" x14ac:dyDescent="0.35">
      <c r="A12" s="263" t="s">
        <v>194</v>
      </c>
      <c r="B12" s="263"/>
      <c r="C12" s="263"/>
    </row>
    <row r="13" spans="1:4" x14ac:dyDescent="0.35">
      <c r="A13" s="264" t="s">
        <v>195</v>
      </c>
      <c r="B13" s="264"/>
      <c r="C13" s="264"/>
    </row>
    <row r="14" spans="1:4" x14ac:dyDescent="0.35">
      <c r="A14" s="265" t="s">
        <v>33</v>
      </c>
      <c r="B14" s="265"/>
      <c r="C14" s="26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abSelected="1" zoomScale="150" zoomScaleNormal="150" workbookViewId="0">
      <selection activeCell="E3" sqref="E3"/>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99</v>
      </c>
      <c r="B1" s="156" t="s">
        <v>105</v>
      </c>
      <c r="C1" s="39" t="s">
        <v>100</v>
      </c>
      <c r="D1" s="38" t="s">
        <v>375</v>
      </c>
      <c r="E1" s="38" t="s">
        <v>102</v>
      </c>
      <c r="F1" s="38" t="s">
        <v>101</v>
      </c>
      <c r="G1" s="38" t="s">
        <v>103</v>
      </c>
      <c r="I1" s="113" t="s">
        <v>115</v>
      </c>
      <c r="J1" s="113" t="s">
        <v>101</v>
      </c>
      <c r="K1" s="114" t="s">
        <v>103</v>
      </c>
    </row>
    <row r="2" spans="1:11" ht="43.5" x14ac:dyDescent="0.35">
      <c r="A2" s="59">
        <v>45413</v>
      </c>
      <c r="B2" s="157" t="s">
        <v>372</v>
      </c>
      <c r="C2" s="58" t="s">
        <v>377</v>
      </c>
      <c r="D2" s="57">
        <v>0.3</v>
      </c>
      <c r="E2" s="57" t="s">
        <v>374</v>
      </c>
      <c r="F2" s="57"/>
      <c r="G2" s="59"/>
      <c r="I2" s="40"/>
      <c r="J2" s="40"/>
      <c r="K2" s="41"/>
    </row>
    <row r="3" spans="1:11" ht="43.5" x14ac:dyDescent="0.35">
      <c r="A3" s="59">
        <v>45604</v>
      </c>
      <c r="B3" s="157" t="s">
        <v>376</v>
      </c>
      <c r="C3" s="58" t="s">
        <v>373</v>
      </c>
      <c r="D3" s="57">
        <v>1.3</v>
      </c>
      <c r="E3" s="57" t="s">
        <v>374</v>
      </c>
      <c r="F3" s="57"/>
      <c r="G3" s="59"/>
      <c r="I3" s="40"/>
      <c r="J3" s="40"/>
      <c r="K3" s="41"/>
    </row>
    <row r="4" spans="1:11" x14ac:dyDescent="0.35">
      <c r="A4" s="59"/>
      <c r="B4" s="157"/>
      <c r="C4" s="58"/>
      <c r="D4" s="57"/>
      <c r="E4" s="57"/>
      <c r="F4" s="57"/>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116</v>
      </c>
      <c r="J6" s="40" t="s">
        <v>95</v>
      </c>
      <c r="K6" s="41"/>
    </row>
    <row r="7" spans="1:11" ht="29" x14ac:dyDescent="0.35">
      <c r="A7" s="59"/>
      <c r="B7" s="157"/>
      <c r="C7" s="58"/>
      <c r="D7" s="57"/>
      <c r="E7" s="57"/>
      <c r="F7" s="57"/>
      <c r="G7" s="59"/>
      <c r="I7" s="40" t="s">
        <v>251</v>
      </c>
      <c r="J7" s="43" t="s">
        <v>131</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134</v>
      </c>
      <c r="J9" s="40" t="s">
        <v>131</v>
      </c>
      <c r="K9" s="42">
        <v>44385</v>
      </c>
    </row>
    <row r="10" spans="1:11" ht="29" x14ac:dyDescent="0.35">
      <c r="A10" s="59"/>
      <c r="B10" s="157"/>
      <c r="C10" s="58"/>
      <c r="D10" s="57"/>
      <c r="E10" s="57"/>
      <c r="F10" s="57"/>
      <c r="G10" s="59"/>
      <c r="I10" s="40" t="s">
        <v>166</v>
      </c>
      <c r="J10" s="43" t="s">
        <v>164</v>
      </c>
      <c r="K10" s="42">
        <v>44391</v>
      </c>
    </row>
    <row r="11" spans="1:11" ht="72.5" x14ac:dyDescent="0.35">
      <c r="A11" s="59"/>
      <c r="B11" s="157"/>
      <c r="C11" s="58"/>
      <c r="D11" s="57"/>
      <c r="E11" s="57"/>
      <c r="F11" s="57"/>
      <c r="G11" s="59"/>
      <c r="I11" s="40" t="s">
        <v>132</v>
      </c>
      <c r="J11" s="43" t="s">
        <v>164</v>
      </c>
      <c r="K11" s="42">
        <v>44391</v>
      </c>
    </row>
    <row r="12" spans="1:11" ht="29" x14ac:dyDescent="0.35">
      <c r="A12" s="59"/>
      <c r="B12" s="157"/>
      <c r="C12" s="58"/>
      <c r="D12" s="57"/>
      <c r="E12" s="57"/>
      <c r="F12" s="57"/>
      <c r="G12" s="59"/>
      <c r="I12" s="40" t="s">
        <v>133</v>
      </c>
      <c r="J12" s="43" t="s">
        <v>164</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26" zoomScale="150" zoomScaleNormal="150" workbookViewId="0">
      <selection activeCell="C52" sqref="C52"/>
    </sheetView>
  </sheetViews>
  <sheetFormatPr defaultRowHeight="14.5" x14ac:dyDescent="0.35"/>
  <cols>
    <col min="1" max="1" width="39.54296875" customWidth="1"/>
    <col min="2" max="2" width="12.726562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4" t="str">
        <f>'ReadMe-Directions'!A1</f>
        <v>Colorado River Basin Accounts: Provoke discussion about more adaptive operations</v>
      </c>
      <c r="B1" s="234"/>
      <c r="C1" s="234"/>
      <c r="D1" s="234"/>
      <c r="E1" s="234"/>
      <c r="F1" s="234"/>
      <c r="G1" s="234"/>
    </row>
    <row r="2" spans="1:14" x14ac:dyDescent="0.35">
      <c r="A2" s="1" t="s">
        <v>285</v>
      </c>
      <c r="B2" s="1"/>
    </row>
    <row r="3" spans="1:14" ht="32.15" customHeight="1" x14ac:dyDescent="0.35">
      <c r="A3" s="244" t="s">
        <v>300</v>
      </c>
      <c r="B3" s="244"/>
      <c r="C3" s="244"/>
      <c r="D3" s="244"/>
      <c r="E3" s="244"/>
      <c r="F3" s="244"/>
      <c r="G3" s="244"/>
      <c r="H3" s="88"/>
      <c r="I3" s="88"/>
      <c r="J3" s="88"/>
      <c r="K3" s="88"/>
      <c r="N3" s="144" t="s">
        <v>248</v>
      </c>
    </row>
    <row r="4" spans="1:14" x14ac:dyDescent="0.35">
      <c r="A4" s="134" t="s">
        <v>314</v>
      </c>
      <c r="B4" s="134" t="s">
        <v>31</v>
      </c>
      <c r="C4" s="245" t="s">
        <v>325</v>
      </c>
      <c r="D4" s="246"/>
      <c r="E4" s="246"/>
      <c r="F4" s="246"/>
      <c r="G4" s="247"/>
      <c r="N4" s="148" t="s">
        <v>212</v>
      </c>
    </row>
    <row r="5" spans="1:14" x14ac:dyDescent="0.35">
      <c r="A5" s="96" t="s">
        <v>370</v>
      </c>
      <c r="B5" s="120"/>
      <c r="C5" s="248"/>
      <c r="D5" s="243"/>
      <c r="E5" s="243"/>
      <c r="F5" s="243"/>
      <c r="G5" s="243"/>
      <c r="N5" s="149"/>
    </row>
    <row r="6" spans="1:14" x14ac:dyDescent="0.35">
      <c r="A6" s="96" t="s">
        <v>320</v>
      </c>
      <c r="B6" s="120"/>
      <c r="C6" s="248"/>
      <c r="D6" s="243"/>
      <c r="E6" s="243"/>
      <c r="F6" s="243"/>
      <c r="G6" s="243"/>
      <c r="N6" s="149"/>
    </row>
    <row r="7" spans="1:14" x14ac:dyDescent="0.35">
      <c r="A7" s="96" t="s">
        <v>321</v>
      </c>
      <c r="B7" s="120"/>
      <c r="C7" s="248"/>
      <c r="D7" s="243"/>
      <c r="E7" s="243"/>
      <c r="F7" s="243"/>
      <c r="G7" s="243"/>
      <c r="N7" s="149"/>
    </row>
    <row r="8" spans="1:14" x14ac:dyDescent="0.35">
      <c r="A8" s="120" t="s">
        <v>322</v>
      </c>
      <c r="B8" s="96"/>
      <c r="C8" s="243"/>
      <c r="D8" s="243"/>
      <c r="E8" s="243"/>
      <c r="F8" s="243"/>
      <c r="G8" s="243"/>
      <c r="N8" s="149"/>
    </row>
    <row r="9" spans="1:14" x14ac:dyDescent="0.35">
      <c r="A9" s="120" t="s">
        <v>30</v>
      </c>
      <c r="B9" s="96"/>
      <c r="C9" s="249"/>
      <c r="D9" s="249"/>
      <c r="E9" s="249"/>
      <c r="F9" s="249"/>
      <c r="G9" s="249"/>
      <c r="N9" s="149"/>
    </row>
    <row r="10" spans="1:14" x14ac:dyDescent="0.35">
      <c r="A10" s="96" t="s">
        <v>324</v>
      </c>
      <c r="B10" s="96"/>
      <c r="C10" s="243"/>
      <c r="D10" s="243"/>
      <c r="E10" s="243"/>
      <c r="F10" s="243"/>
      <c r="G10" s="243"/>
      <c r="N10" s="149"/>
    </row>
    <row r="11" spans="1:14" x14ac:dyDescent="0.35">
      <c r="A11" s="14"/>
      <c r="B11" s="2"/>
      <c r="C11"/>
      <c r="N11" s="149"/>
    </row>
    <row r="12" spans="1:14" x14ac:dyDescent="0.35">
      <c r="A12" s="16" t="s">
        <v>191</v>
      </c>
      <c r="B12" s="250" t="s">
        <v>193</v>
      </c>
      <c r="C12" s="251"/>
      <c r="D12" s="252"/>
      <c r="N12" s="148" t="s">
        <v>213</v>
      </c>
    </row>
    <row r="13" spans="1:14" x14ac:dyDescent="0.35">
      <c r="B13" s="253" t="s">
        <v>298</v>
      </c>
      <c r="C13" s="254"/>
      <c r="D13" s="255"/>
      <c r="N13" s="149"/>
    </row>
    <row r="14" spans="1:14" x14ac:dyDescent="0.35">
      <c r="B14" s="235" t="s">
        <v>293</v>
      </c>
      <c r="C14" s="236"/>
      <c r="D14" s="237"/>
      <c r="N14" s="149"/>
    </row>
    <row r="15" spans="1:14" x14ac:dyDescent="0.35">
      <c r="B15" s="238" t="s">
        <v>33</v>
      </c>
      <c r="C15" s="239"/>
      <c r="D15" s="240"/>
      <c r="N15" s="149"/>
    </row>
    <row r="16" spans="1:14" x14ac:dyDescent="0.35">
      <c r="N16" s="149"/>
    </row>
    <row r="17" spans="1:14" x14ac:dyDescent="0.35">
      <c r="A17" s="1" t="s">
        <v>326</v>
      </c>
      <c r="B17" s="1" t="s">
        <v>327</v>
      </c>
      <c r="C17" s="12" t="s">
        <v>328</v>
      </c>
      <c r="N17" s="148" t="s">
        <v>214</v>
      </c>
    </row>
    <row r="18" spans="1:14" x14ac:dyDescent="0.35">
      <c r="A18" t="s">
        <v>80</v>
      </c>
      <c r="B18" s="116">
        <v>0</v>
      </c>
      <c r="C18" s="116">
        <v>6</v>
      </c>
      <c r="D18" s="17"/>
      <c r="N18" s="148" t="s">
        <v>216</v>
      </c>
    </row>
    <row r="19" spans="1:14" x14ac:dyDescent="0.35">
      <c r="A19" t="s">
        <v>209</v>
      </c>
      <c r="B19" s="267">
        <v>1061.22</v>
      </c>
      <c r="C19" s="13">
        <f>VLOOKUP(B19,'Mead-Elevation-Area'!$A$5:$B$676,2)/1000000</f>
        <v>8.4990979999700009</v>
      </c>
      <c r="D19" s="136" t="s">
        <v>323</v>
      </c>
      <c r="F19" s="197" t="s">
        <v>332</v>
      </c>
      <c r="N19" s="148" t="s">
        <v>215</v>
      </c>
    </row>
    <row r="20" spans="1:14" x14ac:dyDescent="0.35">
      <c r="A20" t="str">
        <f>"   "&amp;A5</f>
        <v xml:space="preserve">   Reclamation - Protect Zone</v>
      </c>
      <c r="B20" s="196">
        <v>1005</v>
      </c>
      <c r="C20" s="13">
        <f>VLOOKUP(B20,'Mead-Elevation-Area'!$A$5:$B$689,2)/1000000</f>
        <v>4.7610489999999999</v>
      </c>
      <c r="D20" s="11"/>
      <c r="N20" s="148" t="s">
        <v>217</v>
      </c>
    </row>
    <row r="21" spans="1:14" x14ac:dyDescent="0.35">
      <c r="A21" t="s">
        <v>329</v>
      </c>
      <c r="C21" s="13">
        <f>C19-C20</f>
        <v>3.7380489999700011</v>
      </c>
      <c r="D21" s="122"/>
      <c r="E21" s="29"/>
      <c r="F21" s="122"/>
      <c r="N21" s="148" t="s">
        <v>219</v>
      </c>
    </row>
    <row r="22" spans="1:14" x14ac:dyDescent="0.35">
      <c r="A22" t="s">
        <v>335</v>
      </c>
      <c r="C22" s="268">
        <v>3.5339999999999998</v>
      </c>
      <c r="D22" s="117" t="s">
        <v>334</v>
      </c>
      <c r="E22" s="29"/>
      <c r="F22" s="29"/>
      <c r="N22" s="148" t="s">
        <v>218</v>
      </c>
    </row>
    <row r="23" spans="1:14" hidden="1" x14ac:dyDescent="0.35">
      <c r="A23" t="s">
        <v>204</v>
      </c>
      <c r="B23" s="137">
        <v>0.17</v>
      </c>
      <c r="C23"/>
      <c r="D23" s="117"/>
      <c r="E23" s="29"/>
      <c r="N23" s="148" t="s">
        <v>220</v>
      </c>
    </row>
    <row r="24" spans="1:14" hidden="1" x14ac:dyDescent="0.35">
      <c r="A24" t="s">
        <v>202</v>
      </c>
      <c r="B24" s="116">
        <f>10*(7.5+1.5/2)-B22-B23</f>
        <v>82.33</v>
      </c>
      <c r="C24"/>
      <c r="D24" s="117"/>
      <c r="E24" s="29"/>
      <c r="N24" s="148" t="s">
        <v>221</v>
      </c>
    </row>
    <row r="25" spans="1:14" hidden="1" x14ac:dyDescent="0.35">
      <c r="A25" t="s">
        <v>252</v>
      </c>
      <c r="B25" s="116">
        <f>2.3 - IF(A9&lt;&gt;"",1.06,0)</f>
        <v>1.2399999999999998</v>
      </c>
      <c r="C25"/>
      <c r="D25" s="117"/>
      <c r="E25" s="29"/>
      <c r="N25" s="148" t="s">
        <v>255</v>
      </c>
    </row>
    <row r="26" spans="1:14" x14ac:dyDescent="0.35">
      <c r="B26" s="29"/>
      <c r="N26" s="149"/>
    </row>
    <row r="27" spans="1:14" s="1" customFormat="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330</v>
      </c>
      <c r="B28" s="1"/>
      <c r="C28" s="103">
        <v>9</v>
      </c>
      <c r="D28" s="103"/>
      <c r="E28" s="103"/>
      <c r="F28" s="103"/>
      <c r="G28" s="103"/>
      <c r="H28" s="103"/>
      <c r="I28" s="103"/>
      <c r="J28" s="103"/>
      <c r="K28" s="103"/>
      <c r="L28" s="103"/>
      <c r="N28" s="146" t="s">
        <v>222</v>
      </c>
    </row>
    <row r="29" spans="1:14" hidden="1" x14ac:dyDescent="0.35">
      <c r="A29" s="1" t="s">
        <v>86</v>
      </c>
      <c r="B29" s="1"/>
      <c r="C29" s="102">
        <f>IF(C$28&lt;&gt;"",0.8,"")</f>
        <v>0.8</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223</v>
      </c>
    </row>
    <row r="30" spans="1:14" hidden="1" x14ac:dyDescent="0.35">
      <c r="A30" s="1" t="s">
        <v>165</v>
      </c>
      <c r="B30" s="1"/>
      <c r="C30" s="102">
        <f>IF(C$28&lt;&gt;"",0.2,"")</f>
        <v>0.2</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224</v>
      </c>
    </row>
    <row r="31" spans="1:14" hidden="1" x14ac:dyDescent="0.35">
      <c r="A31" s="1" t="s">
        <v>152</v>
      </c>
      <c r="B31" s="1"/>
      <c r="C31" s="102">
        <f>IF(C$28&lt;&gt;"",0.6,"")</f>
        <v>0.6</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225</v>
      </c>
    </row>
    <row r="32" spans="1:14" x14ac:dyDescent="0.35">
      <c r="A32" s="131" t="s">
        <v>331</v>
      </c>
      <c r="C32" s="13">
        <f>IF(C$28&lt;&gt;"",SUM(C19),"")</f>
        <v>8.4990979999700009</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226</v>
      </c>
    </row>
    <row r="33" spans="1:14" x14ac:dyDescent="0.35">
      <c r="A33" t="str">
        <f t="shared" ref="A33:A38" si="4">IF(A5="","","    "&amp;A5&amp;" Balance")</f>
        <v xml:space="preserve">    Reclamation - Protect Zone Balance</v>
      </c>
      <c r="B33" s="86">
        <f>C20</f>
        <v>4.7610489999999999</v>
      </c>
      <c r="C33" s="84">
        <f>IF(OR(C$28="",$A33=""),"",B33)</f>
        <v>4.7610489999999999</v>
      </c>
      <c r="D33" s="13" t="str">
        <f>IF(OR(D$28="",$A33=""),"",C125)</f>
        <v/>
      </c>
      <c r="E33" s="13" t="str">
        <f t="shared" ref="E33:L33" si="5">IF(OR(E$28="",$A33=""),"",D125)</f>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v>1.6619999999999999</v>
      </c>
      <c r="C34" s="84">
        <f>IF(OR(C$28="",$A34=""),"",IF(C$22&lt;=C$21,B34,B34-(C$22-C$21)*B34/C$22))</f>
        <v>1.6619999999999999</v>
      </c>
      <c r="D34" s="13" t="str">
        <f t="shared" ref="D33:D38" si="6">IF(OR(D$28="",$A34=""),"",C126)</f>
        <v/>
      </c>
      <c r="E34" s="13" t="str">
        <f t="shared" ref="E34:L38" si="7">IF(OR(E$28="",$A34=""),"",D126)</f>
        <v/>
      </c>
      <c r="F34" s="13" t="str">
        <f t="shared" si="7"/>
        <v/>
      </c>
      <c r="G34" s="13" t="str">
        <f t="shared" si="7"/>
        <v/>
      </c>
      <c r="H34" s="13" t="str">
        <f t="shared" si="7"/>
        <v/>
      </c>
      <c r="I34" s="13" t="str">
        <f t="shared" si="7"/>
        <v/>
      </c>
      <c r="J34" s="13" t="str">
        <f t="shared" si="7"/>
        <v/>
      </c>
      <c r="K34" s="13" t="str">
        <f t="shared" si="7"/>
        <v/>
      </c>
      <c r="L34" s="13" t="str">
        <f t="shared" si="7"/>
        <v/>
      </c>
      <c r="N34" s="149"/>
    </row>
    <row r="35" spans="1:14" x14ac:dyDescent="0.35">
      <c r="A35" t="str">
        <f t="shared" si="4"/>
        <v xml:space="preserve">    Arizona Balance</v>
      </c>
      <c r="B35" s="86">
        <v>0.71099999999999997</v>
      </c>
      <c r="C35" s="84">
        <f t="shared" ref="C35:C38" si="8">IF(OR(C$28="",$A35=""),"",IF(C$22&lt;=C$21,B35,B35-(C$22-C$21)*B35/C$22))</f>
        <v>0.71099999999999997</v>
      </c>
      <c r="D35" s="35" t="str">
        <f t="shared" si="6"/>
        <v/>
      </c>
      <c r="E35" s="35" t="str">
        <f t="shared" si="7"/>
        <v/>
      </c>
      <c r="F35" s="35" t="str">
        <f t="shared" si="7"/>
        <v/>
      </c>
      <c r="G35" s="35" t="str">
        <f t="shared" si="7"/>
        <v/>
      </c>
      <c r="H35" s="13" t="str">
        <f t="shared" si="7"/>
        <v/>
      </c>
      <c r="I35" s="13" t="str">
        <f t="shared" si="7"/>
        <v/>
      </c>
      <c r="J35" s="13" t="str">
        <f t="shared" si="7"/>
        <v/>
      </c>
      <c r="K35" s="13" t="str">
        <f t="shared" si="7"/>
        <v/>
      </c>
      <c r="L35" s="13" t="str">
        <f t="shared" si="7"/>
        <v/>
      </c>
      <c r="N35" s="149"/>
    </row>
    <row r="36" spans="1:14" x14ac:dyDescent="0.35">
      <c r="A36" t="str">
        <f t="shared" si="4"/>
        <v xml:space="preserve">    Nevada Balance</v>
      </c>
      <c r="B36" s="86">
        <v>0.9556</v>
      </c>
      <c r="C36" s="84">
        <f t="shared" si="8"/>
        <v>0.9556</v>
      </c>
      <c r="D36" s="13" t="str">
        <f t="shared" si="6"/>
        <v/>
      </c>
      <c r="E36" s="13" t="str">
        <f t="shared" si="7"/>
        <v/>
      </c>
      <c r="F36" s="13" t="str">
        <f t="shared" si="7"/>
        <v/>
      </c>
      <c r="G36" s="13" t="str">
        <f t="shared" si="7"/>
        <v/>
      </c>
      <c r="H36" s="13" t="str">
        <f t="shared" si="7"/>
        <v/>
      </c>
      <c r="I36" s="13" t="str">
        <f t="shared" si="7"/>
        <v/>
      </c>
      <c r="J36" s="13" t="str">
        <f t="shared" si="7"/>
        <v/>
      </c>
      <c r="K36" s="13" t="str">
        <f t="shared" si="7"/>
        <v/>
      </c>
      <c r="L36" s="13" t="str">
        <f t="shared" si="7"/>
        <v/>
      </c>
      <c r="N36" s="149"/>
    </row>
    <row r="37" spans="1:14" x14ac:dyDescent="0.35">
      <c r="A37" t="str">
        <f t="shared" si="4"/>
        <v xml:space="preserve">    Mexico Balance</v>
      </c>
      <c r="B37" s="86">
        <v>0.21099999999999999</v>
      </c>
      <c r="C37" s="84">
        <f t="shared" si="8"/>
        <v>0.21099999999999999</v>
      </c>
      <c r="D37" s="13" t="str">
        <f t="shared" si="6"/>
        <v/>
      </c>
      <c r="E37" s="13" t="str">
        <f t="shared" si="7"/>
        <v/>
      </c>
      <c r="F37" s="13" t="str">
        <f t="shared" si="7"/>
        <v/>
      </c>
      <c r="G37" s="13" t="str">
        <f t="shared" si="7"/>
        <v/>
      </c>
      <c r="H37" s="13" t="str">
        <f t="shared" si="7"/>
        <v/>
      </c>
      <c r="I37" s="13" t="str">
        <f t="shared" si="7"/>
        <v/>
      </c>
      <c r="J37" s="13" t="str">
        <f t="shared" si="7"/>
        <v/>
      </c>
      <c r="K37" s="13" t="str">
        <f t="shared" si="7"/>
        <v/>
      </c>
      <c r="L37" s="13" t="str">
        <f t="shared" si="7"/>
        <v/>
      </c>
      <c r="N37" s="149"/>
    </row>
    <row r="38" spans="1:14" x14ac:dyDescent="0.35">
      <c r="A38" t="str">
        <f t="shared" si="4"/>
        <v xml:space="preserve">    Tribal Nations Balance</v>
      </c>
      <c r="B38" s="86">
        <f>IF(C21&gt;C22,C21-C22,0)</f>
        <v>0.20404899997000125</v>
      </c>
      <c r="C38" s="84">
        <f t="shared" si="8"/>
        <v>0.20404899997000125</v>
      </c>
      <c r="D38" s="13" t="str">
        <f t="shared" si="6"/>
        <v/>
      </c>
      <c r="E38" s="13" t="str">
        <f t="shared" si="7"/>
        <v/>
      </c>
      <c r="F38" s="13" t="str">
        <f t="shared" si="7"/>
        <v/>
      </c>
      <c r="G38" s="13" t="str">
        <f t="shared" si="7"/>
        <v/>
      </c>
      <c r="H38" s="13" t="str">
        <f t="shared" si="7"/>
        <v/>
      </c>
      <c r="I38" s="13" t="str">
        <f t="shared" si="7"/>
        <v/>
      </c>
      <c r="J38" s="13" t="str">
        <f t="shared" si="7"/>
        <v/>
      </c>
      <c r="K38" s="13" t="str">
        <f t="shared" si="7"/>
        <v/>
      </c>
      <c r="L38" s="13" t="str">
        <f t="shared" si="7"/>
        <v/>
      </c>
      <c r="N38" s="149"/>
    </row>
    <row r="39" spans="1:14" x14ac:dyDescent="0.35">
      <c r="A39" s="1" t="s">
        <v>189</v>
      </c>
      <c r="C39"/>
      <c r="N39" s="148" t="s">
        <v>246</v>
      </c>
    </row>
    <row r="40" spans="1:14" hidden="1" x14ac:dyDescent="0.35">
      <c r="A40" t="s">
        <v>83</v>
      </c>
      <c r="C40" s="13">
        <f>IF(C$28&lt;&gt;"",IF(COLUMN(C27)=COLUMN($C27),$B$19,B133),"")</f>
        <v>1061.22</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49"/>
    </row>
    <row r="41" spans="1:14" x14ac:dyDescent="0.35">
      <c r="A41" t="s">
        <v>84</v>
      </c>
      <c r="C41" s="13">
        <f>IF(C$28&lt;&gt;"",IF(COLUMN(C28)=COLUMN($C28),$C$19,B134),"")</f>
        <v>8.4990979999700009</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49"/>
    </row>
    <row r="42" spans="1:14" x14ac:dyDescent="0.35">
      <c r="A42" s="1" t="s">
        <v>333</v>
      </c>
      <c r="B42" s="269"/>
      <c r="C42" s="13">
        <f>IF(C$28&lt;&gt;"",VLOOKUP(C41*1000000,'Mead-Elevation-Area'!$B$5:$D$676,3)*$C$18/1000000,"")</f>
        <v>0.45716399999939999</v>
      </c>
      <c r="D42" s="13" t="str">
        <f>IF(D$28&lt;&gt;"",VLOOKUP(D41*1000000,'Mead-Elevation-Area'!$B$5:$D$676,3)*$C$18/1000000,"")</f>
        <v/>
      </c>
      <c r="E42" s="13" t="str">
        <f>IF(E$28&lt;&gt;"",VLOOKUP(E41*1000000,'Mead-Elevation-Area'!$B$5:$D$676,3)*$C$18/1000000,"")</f>
        <v/>
      </c>
      <c r="F42" s="13" t="str">
        <f>IF(F$28&lt;&gt;"",VLOOKUP(F41*1000000,'Mead-Elevation-Area'!$B$5:$D$676,3)*$C$18/1000000,"")</f>
        <v/>
      </c>
      <c r="G42" s="13" t="str">
        <f>IF(G$28&lt;&gt;"",VLOOKUP(G41*1000000,'Mead-Elevation-Area'!$B$5:$D$676,3)*$C$18/1000000,"")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227</v>
      </c>
    </row>
    <row r="43" spans="1:14" x14ac:dyDescent="0.35">
      <c r="A43" t="str">
        <f t="shared" ref="A43:A48" si="11">IF(A5="","","    "&amp;A5&amp;" Share")</f>
        <v xml:space="preserve">    Reclamation - Protect Zone Share</v>
      </c>
      <c r="C43" s="13">
        <f>IF(OR(C$28="",$A43=""),"",C$42*C33/C$32)</f>
        <v>0.25609543566162268</v>
      </c>
      <c r="D43" s="13" t="str">
        <f t="shared" ref="C43:L43" si="12">IF(OR(D$28="",$A43=""),"",D$42*D33/D$32)</f>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49"/>
    </row>
    <row r="44" spans="1:14" x14ac:dyDescent="0.35">
      <c r="A44" t="str">
        <f t="shared" si="11"/>
        <v xml:space="preserve">    California Share</v>
      </c>
      <c r="B44" s="1"/>
      <c r="C44" s="13">
        <f>IF(OR(C$28="",$A44=""),"",C$42*C34/C$32)</f>
        <v>8.9398494758112512E-2</v>
      </c>
      <c r="D44" s="13" t="str">
        <f t="shared" ref="C44:L44" si="13">IF(OR(D$28="",$A44=""),"",D$42*D34/D$32)</f>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49"/>
    </row>
    <row r="45" spans="1:14" x14ac:dyDescent="0.35">
      <c r="A45" t="str">
        <f t="shared" si="11"/>
        <v xml:space="preserve">    Arizona Share</v>
      </c>
      <c r="B45" s="1"/>
      <c r="C45" s="13">
        <f>IF(OR(C$28="",$A45=""),"",C$42*C35/C$32)</f>
        <v>3.8244482414571603E-2</v>
      </c>
      <c r="D45" s="13" t="str">
        <f t="shared" ref="C45:L45" si="14">IF(OR(D$28="",$A45=""),"",D$42*D35/D$32)</f>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49"/>
    </row>
    <row r="46" spans="1:14" x14ac:dyDescent="0.35">
      <c r="A46" t="str">
        <f t="shared" si="11"/>
        <v xml:space="preserve">    Nevada Share</v>
      </c>
      <c r="B46" s="1"/>
      <c r="C46" s="13">
        <f>IF(OR(C$28="",$A46=""),"",C$42*C36/C$32)</f>
        <v>5.140144500051283E-2</v>
      </c>
      <c r="D46" s="13" t="str">
        <f t="shared" ref="C46:L46" si="15">IF(OR(D$28="",$A46=""),"",D$42*D36/D$32)</f>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49"/>
    </row>
    <row r="47" spans="1:14" x14ac:dyDescent="0.35">
      <c r="A47" t="str">
        <f t="shared" si="11"/>
        <v xml:space="preserve">    Mexico Share</v>
      </c>
      <c r="B47" s="1"/>
      <c r="C47" s="13">
        <f>IF(OR(C$28="",$A47=""),"",C$42*C37/C$32)</f>
        <v>1.1349628395885526E-2</v>
      </c>
      <c r="D47" s="13" t="str">
        <f t="shared" ref="C47:L47" si="16">IF(OR(D$28="",$A47=""),"",D$42*D37/D$32)</f>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49"/>
    </row>
    <row r="48" spans="1:14" x14ac:dyDescent="0.35">
      <c r="A48" t="str">
        <f t="shared" si="11"/>
        <v xml:space="preserve">    Tribal Nations Share</v>
      </c>
      <c r="B48" s="1"/>
      <c r="C48" s="13">
        <f>IF(OR(C$28="",$A48=""),"",C$42*C38/C$32)</f>
        <v>1.0975736133704127E-2</v>
      </c>
      <c r="D48" s="13" t="str">
        <f t="shared" ref="C48:L48" si="17">IF(OR(D$28="",$A48=""),"",D$42*D38/D$32)</f>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49"/>
    </row>
    <row r="49" spans="1:16" x14ac:dyDescent="0.35">
      <c r="A49" s="1" t="s">
        <v>182</v>
      </c>
      <c r="B49" s="52"/>
      <c r="C49" s="32">
        <f>IF(C$28&lt;&gt;"",1.5-0.21/9/2-VLOOKUP(C41,MandatoryConservation!$C$5:$P$13,13)-C57*(1.5/8.7),"")</f>
        <v>1.3048850574712643</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228</v>
      </c>
    </row>
    <row r="50" spans="1:16" x14ac:dyDescent="0.35">
      <c r="A50" s="131" t="s">
        <v>205</v>
      </c>
      <c r="B50" s="1"/>
      <c r="C50" s="13">
        <f>IF(C28="","",SUM(C28))</f>
        <v>9</v>
      </c>
      <c r="D50" s="13" t="str">
        <f t="shared" ref="D50:G50" si="18">IF(D28="","",SUM(D28))</f>
        <v/>
      </c>
      <c r="E50" s="13" t="str">
        <f t="shared" si="18"/>
        <v/>
      </c>
      <c r="F50" s="13" t="str">
        <f t="shared" si="18"/>
        <v/>
      </c>
      <c r="G50" s="13" t="str">
        <f t="shared" si="18"/>
        <v/>
      </c>
      <c r="H50" s="13" t="str">
        <f t="shared" ref="D50:L50" si="19">IF(H28="","",SUM(H28:H30))</f>
        <v/>
      </c>
      <c r="I50" s="13" t="str">
        <f t="shared" si="19"/>
        <v/>
      </c>
      <c r="J50" s="13" t="str">
        <f t="shared" si="19"/>
        <v/>
      </c>
      <c r="K50" s="13" t="str">
        <f t="shared" si="19"/>
        <v/>
      </c>
      <c r="L50" s="13" t="str">
        <f t="shared" si="19"/>
        <v/>
      </c>
      <c r="M50" s="29"/>
      <c r="N50" s="195" t="s">
        <v>229</v>
      </c>
      <c r="P50" t="s">
        <v>250</v>
      </c>
    </row>
    <row r="51" spans="1:16" x14ac:dyDescent="0.35">
      <c r="A51" t="str">
        <f t="shared" ref="A51:A56" si="20">IF(A5="","","    To "&amp;A5)</f>
        <v xml:space="preserve">    To Reclamation - Protect Zone</v>
      </c>
      <c r="B51" s="270" t="s">
        <v>336</v>
      </c>
      <c r="C51" s="84">
        <f>IF(OR(C$28="",$A52=""),"",C43)</f>
        <v>0.25609543566162268</v>
      </c>
      <c r="D51" s="84" t="str">
        <f t="shared" ref="D51:G51" si="21">IF(OR(D$28="",$A52=""),"",MAX(0,D50-SUM(D52:D57)))</f>
        <v/>
      </c>
      <c r="E51" s="84" t="str">
        <f t="shared" si="21"/>
        <v/>
      </c>
      <c r="F51" s="84" t="str">
        <f t="shared" si="21"/>
        <v/>
      </c>
      <c r="G51" s="84" t="str">
        <f t="shared" si="21"/>
        <v/>
      </c>
      <c r="H51" s="84" t="str">
        <f t="shared" ref="H51" si="22">IF(OR(H$28="",$A52=""),"",MAX(0,H50-SUM(H52:H57)))</f>
        <v/>
      </c>
      <c r="I51" s="84" t="str">
        <f t="shared" ref="I51" si="23">IF(OR(I$28="",$A52=""),"",MAX(0,I50-SUM(I52:I57)))</f>
        <v/>
      </c>
      <c r="J51" s="84" t="str">
        <f t="shared" ref="J51" si="24">IF(OR(J$28="",$A52=""),"",MAX(0,J50-SUM(J52:J57)))</f>
        <v/>
      </c>
      <c r="K51" s="84" t="str">
        <f t="shared" ref="K51" si="25">IF(OR(K$28="",$A52=""),"",MAX(0,K50-SUM(K52:K57)))</f>
        <v/>
      </c>
      <c r="L51" s="84" t="str">
        <f t="shared" ref="L51" si="26">IF(OR(L$28="",$A52=""),"",MAX(0,L50-SUM(L52:L57)))</f>
        <v/>
      </c>
      <c r="M51" s="19"/>
      <c r="N51" s="150"/>
      <c r="P51" s="84" t="str">
        <f>IF(OR(P$28="",$A51=""),"",MAX(P28-($B$24)-P56*$B$21/SUM($B$21:$C$21),0))</f>
        <v/>
      </c>
    </row>
    <row r="52" spans="1:16" x14ac:dyDescent="0.35">
      <c r="A52" t="str">
        <f t="shared" si="20"/>
        <v xml:space="preserve">    To California</v>
      </c>
      <c r="B52" s="101" t="s">
        <v>371</v>
      </c>
      <c r="C52" s="84">
        <f>IF(OR(C$28="",$A52=""),"",VLOOKUP((C$50-C44),AllocateAvailableWater!$K$7:$U$13,9))</f>
        <v>0.55871746031746028</v>
      </c>
      <c r="D52" s="84" t="str">
        <f t="shared" ref="D52:G52" si="27">IF(OR(D$28="",$A52=""),"",IF(D50&lt;=SUM(D53:D57),0,IF(D50&lt;=SUM(D53:D57)+2*$B$25,(D50-SUM(D53:D57))/2,IF(D50&lt;=SUM(D53:D57)+2*$B$25+$B$52-$B$25,D50-SUM(D53:D57)-$B$25,$B$52))))</f>
        <v/>
      </c>
      <c r="E52" s="84" t="str">
        <f t="shared" si="27"/>
        <v/>
      </c>
      <c r="F52" s="84" t="str">
        <f t="shared" si="27"/>
        <v/>
      </c>
      <c r="G52" s="84" t="str">
        <f t="shared" si="27"/>
        <v/>
      </c>
      <c r="H52" s="84" t="str">
        <f t="shared" ref="H52" si="28">IF(OR(H$28="",$A52=""),"",IF(H50&lt;=SUM(H53:H57),0,IF(H50&lt;=SUM(H53:H57)+2*$B$25,(H50-SUM(H53:H57))/2,IF(H50&lt;=SUM(H53:H57)+2*$B$25+$B$52-$B$25,H50-SUM(H53:H57)-$B$25,$B$52))))</f>
        <v/>
      </c>
      <c r="I52" s="84" t="str">
        <f t="shared" ref="I52" si="29">IF(OR(I$28="",$A52=""),"",IF(I50&lt;=SUM(I53:I57),0,IF(I50&lt;=SUM(I53:I57)+2*$B$25,(I50-SUM(I53:I57))/2,IF(I50&lt;=SUM(I53:I57)+2*$B$25+$B$52-$B$25,I50-SUM(I53:I57)-$B$25,$B$52))))</f>
        <v/>
      </c>
      <c r="J52" s="84" t="str">
        <f t="shared" ref="J52" si="30">IF(OR(J$28="",$A52=""),"",IF(J50&lt;=SUM(J53:J57),0,IF(J50&lt;=SUM(J53:J57)+2*$B$25,(J50-SUM(J53:J57))/2,IF(J50&lt;=SUM(J53:J57)+2*$B$25+$B$52-$B$25,J50-SUM(J53:J57)-$B$25,$B$52))))</f>
        <v/>
      </c>
      <c r="K52" s="84" t="str">
        <f t="shared" ref="K52" si="31">IF(OR(K$28="",$A52=""),"",IF(K50&lt;=SUM(K53:K57),0,IF(K50&lt;=SUM(K53:K57)+2*$B$25,(K50-SUM(K53:K57))/2,IF(K50&lt;=SUM(K53:K57)+2*$B$25+$B$52-$B$25,K50-SUM(K53:K57)-$B$25,$B$52))))</f>
        <v/>
      </c>
      <c r="L52" s="84" t="str">
        <f t="shared" ref="L52" si="32">IF(OR(L$28="",$A52=""),"",IF(L50&lt;=SUM(L53:L57),0,IF(L50&lt;=SUM(L53:L57)+2*$B$25,(L50-SUM(L53:L57))/2,IF(L50&lt;=SUM(L53:L57)+2*$B$25+$B$52-$B$25,L50-SUM(L53:L57)-$B$25,$B$52))))</f>
        <v/>
      </c>
      <c r="M52" s="19"/>
      <c r="N52" s="150"/>
      <c r="P52" s="84" t="str">
        <f>IF(OR(P$28="",$A52=""),"",P29+P30-P31-P56*$C$20/SUM($B$21:$C$21)-P53+MIN($B$24,P28))</f>
        <v/>
      </c>
    </row>
    <row r="53" spans="1:16" x14ac:dyDescent="0.35">
      <c r="A53" t="str">
        <f t="shared" si="20"/>
        <v xml:space="preserve">    To Arizona</v>
      </c>
      <c r="B53" s="101" t="s">
        <v>308</v>
      </c>
      <c r="C53" s="85">
        <f>IF(OR(C$28="",$A53=""),"",MIN(C49,C$50-SUM(C54:C57)))</f>
        <v>1.3048850574712643</v>
      </c>
      <c r="D53" s="85" t="str">
        <f t="shared" ref="D53:G53" si="33">IF(OR(D$28="",$A53=""),"",MIN(D49,D$50-SUM(D54:D57)))</f>
        <v/>
      </c>
      <c r="E53" s="85" t="str">
        <f t="shared" si="33"/>
        <v/>
      </c>
      <c r="F53" s="85" t="str">
        <f t="shared" si="33"/>
        <v/>
      </c>
      <c r="G53" s="85" t="str">
        <f t="shared" si="33"/>
        <v/>
      </c>
      <c r="H53" s="85" t="str">
        <f t="shared" ref="H53" si="34">IF(OR(H$28="",$A53=""),"",MIN(H49,H$50-SUM(H54:H57)))</f>
        <v/>
      </c>
      <c r="I53" s="85" t="str">
        <f t="shared" ref="I53" si="35">IF(OR(I$28="",$A53=""),"",MIN(I49,I$50-SUM(I54:I57)))</f>
        <v/>
      </c>
      <c r="J53" s="85" t="str">
        <f t="shared" ref="J53" si="36">IF(OR(J$28="",$A53=""),"",MIN(J49,J$50-SUM(J54:J57)))</f>
        <v/>
      </c>
      <c r="K53" s="85" t="str">
        <f t="shared" ref="K53" si="37">IF(OR(K$28="",$A53=""),"",MIN(K49,K$50-SUM(K54:K57)))</f>
        <v/>
      </c>
      <c r="L53" s="85" t="str">
        <f t="shared" ref="L53" si="38">IF(OR(L$28="",$A53=""),"",MIN(L49,L$50-SUM(L54:L57)))</f>
        <v/>
      </c>
      <c r="M53" s="19"/>
      <c r="N53" s="150"/>
    </row>
    <row r="54" spans="1:16" x14ac:dyDescent="0.35">
      <c r="A54" t="str">
        <f t="shared" si="20"/>
        <v xml:space="preserve">    To Nevada</v>
      </c>
      <c r="B54" s="100">
        <v>3.3000000000000002E-2</v>
      </c>
      <c r="C54" s="111">
        <f>IF(OR(C$28="",$A54=""),"",MIN($B54,C$50-SUM(C55:C57)))</f>
        <v>3.3000000000000002E-2</v>
      </c>
      <c r="D54" s="111" t="str">
        <f t="shared" ref="D54:G54" si="39">IF(OR(D$28="",$A54=""),"",MIN($B54,D$50-SUM(D55:D57)))</f>
        <v/>
      </c>
      <c r="E54" s="111" t="str">
        <f t="shared" si="39"/>
        <v/>
      </c>
      <c r="F54" s="111" t="str">
        <f t="shared" si="39"/>
        <v/>
      </c>
      <c r="G54" s="111" t="str">
        <f t="shared" si="39"/>
        <v/>
      </c>
      <c r="H54" s="111" t="str">
        <f t="shared" ref="H54" si="40">IF(OR(H$28="",$A54=""),"",MIN($B54,H$50-SUM(H55:H57)))</f>
        <v/>
      </c>
      <c r="I54" s="111" t="str">
        <f t="shared" ref="I54" si="41">IF(OR(I$28="",$A54=""),"",MIN($B54,I$50-SUM(I55:I57)))</f>
        <v/>
      </c>
      <c r="J54" s="111" t="str">
        <f t="shared" ref="J54" si="42">IF(OR(J$28="",$A54=""),"",MIN($B54,J$50-SUM(J55:J57)))</f>
        <v/>
      </c>
      <c r="K54" s="111" t="str">
        <f t="shared" ref="K54" si="43">IF(OR(K$28="",$A54=""),"",MIN($B54,K$50-SUM(K55:K57)))</f>
        <v/>
      </c>
      <c r="L54" s="111" t="str">
        <f t="shared" ref="L54" si="44">IF(OR(L$28="",$A54=""),"",MIN($B54,L$50-SUM(L55:L57)))</f>
        <v/>
      </c>
      <c r="M54" s="19"/>
      <c r="N54" s="150"/>
    </row>
    <row r="55" spans="1:16" x14ac:dyDescent="0.35">
      <c r="A55" t="str">
        <f t="shared" si="20"/>
        <v xml:space="preserve">    To Mexico</v>
      </c>
      <c r="B55" s="100">
        <v>0.16700000000000001</v>
      </c>
      <c r="C55" s="84">
        <f>IF(OR(C$28="",$A55=""),"",MIN($B55,C$50-SUM(C56:C57)))</f>
        <v>0.16700000000000001</v>
      </c>
      <c r="D55" s="84" t="str">
        <f t="shared" ref="D55:G55" si="45">IF(OR(D$28="",$A55=""),"",MIN($B55,D$50-SUM(D56:D57)))</f>
        <v/>
      </c>
      <c r="E55" s="84" t="str">
        <f t="shared" si="45"/>
        <v/>
      </c>
      <c r="F55" s="84" t="str">
        <f t="shared" si="45"/>
        <v/>
      </c>
      <c r="G55" s="84" t="str">
        <f t="shared" si="45"/>
        <v/>
      </c>
      <c r="H55" s="84" t="str">
        <f t="shared" ref="H55" si="46">IF(OR(H$28="",$A55=""),"",MIN($B55,H$50-SUM(H56:H57)))</f>
        <v/>
      </c>
      <c r="I55" s="84" t="str">
        <f t="shared" ref="I55" si="47">IF(OR(I$28="",$A55=""),"",MIN($B55,I$50-SUM(I56:I57)))</f>
        <v/>
      </c>
      <c r="J55" s="84" t="str">
        <f t="shared" ref="J55" si="48">IF(OR(J$28="",$A55=""),"",MIN($B55,J$50-SUM(J56:J57)))</f>
        <v/>
      </c>
      <c r="K55" s="84" t="str">
        <f t="shared" ref="K55" si="49">IF(OR(K$28="",$A55=""),"",MIN($B55,K$50-SUM(K56:K57)))</f>
        <v/>
      </c>
      <c r="L55" s="84" t="str">
        <f t="shared" ref="L55" si="50">IF(OR(L$28="",$A55=""),"",MIN($B55,L$50-SUM(L56:L57)))</f>
        <v/>
      </c>
      <c r="M55" s="19"/>
      <c r="N55" s="150"/>
    </row>
    <row r="56" spans="1:16" x14ac:dyDescent="0.35">
      <c r="A56" t="str">
        <f t="shared" si="20"/>
        <v xml:space="preserve">    To Tribal Nations</v>
      </c>
      <c r="B56" s="101">
        <v>0</v>
      </c>
      <c r="C56" s="160">
        <f>IF(OR(C$28="",$A56=""),"",IF(C$50&gt;C48,C48,C50))</f>
        <v>1.0975736133704127E-2</v>
      </c>
      <c r="D56" s="160" t="str">
        <f t="shared" ref="D56:G56" si="51">IF(OR(D$28="",$A56=""),"",IF(D$50&gt;D48,D48,D50))</f>
        <v/>
      </c>
      <c r="E56" s="160" t="str">
        <f t="shared" si="51"/>
        <v/>
      </c>
      <c r="F56" s="160" t="str">
        <f t="shared" si="51"/>
        <v/>
      </c>
      <c r="G56" s="160" t="str">
        <f t="shared" si="51"/>
        <v/>
      </c>
      <c r="H56" s="160" t="str">
        <f t="shared" ref="H56:L56" si="52">IF(OR(H$28="",$A56=""),"",IF(H$50&gt;H48,H48,H50))</f>
        <v/>
      </c>
      <c r="I56" s="160" t="str">
        <f t="shared" si="52"/>
        <v/>
      </c>
      <c r="J56" s="160" t="str">
        <f t="shared" si="52"/>
        <v/>
      </c>
      <c r="K56" s="160" t="str">
        <f t="shared" si="52"/>
        <v/>
      </c>
      <c r="L56" s="160" t="str">
        <f t="shared" si="52"/>
        <v/>
      </c>
      <c r="M56" s="19"/>
      <c r="N56" s="150"/>
    </row>
    <row r="57" spans="1:16" hidden="1" x14ac:dyDescent="0.35">
      <c r="A57" t="str">
        <f>IF(A31="","","    To "&amp;A31)</f>
        <v xml:space="preserve">    To Havasu / Parker evaporation and ET</v>
      </c>
      <c r="B57" s="159" t="s">
        <v>254</v>
      </c>
      <c r="C57" s="161">
        <f>IF(OR(C$28="",$A57=""),"",MIN(C31,C50-C56))</f>
        <v>0.6</v>
      </c>
      <c r="D57" s="161" t="str">
        <f t="shared" ref="D57:G57" si="53">IF(OR(D$28="",$A57=""),"",MIN(D31,D50-D56))</f>
        <v/>
      </c>
      <c r="E57" s="161" t="str">
        <f t="shared" si="53"/>
        <v/>
      </c>
      <c r="F57" s="161" t="str">
        <f t="shared" si="53"/>
        <v/>
      </c>
      <c r="G57" s="161" t="str">
        <f t="shared" si="53"/>
        <v/>
      </c>
      <c r="H57" s="161" t="str">
        <f t="shared" ref="H57" si="54">IF(OR(H$28="",$A57=""),"",MIN(H31,H50-H56))</f>
        <v/>
      </c>
      <c r="I57" s="161" t="str">
        <f t="shared" ref="I57" si="55">IF(OR(I$28="",$A57=""),"",MIN(I31,I50-I56))</f>
        <v/>
      </c>
      <c r="J57" s="161" t="str">
        <f t="shared" ref="J57" si="56">IF(OR(J$28="",$A57=""),"",MIN(J31,J50-J56))</f>
        <v/>
      </c>
      <c r="K57" s="161" t="str">
        <f t="shared" ref="K57" si="57">IF(OR(K$28="",$A57=""),"",MIN(K31,K50-K56))</f>
        <v/>
      </c>
      <c r="L57" s="161" t="str">
        <f t="shared" ref="L57" si="58">IF(OR(L$28="",$A57=""),"",MIN(L31,L50-L56))</f>
        <v/>
      </c>
      <c r="M57" s="19"/>
      <c r="N57" s="150"/>
    </row>
    <row r="58" spans="1:16" x14ac:dyDescent="0.35">
      <c r="B58" s="20"/>
      <c r="C58" s="19"/>
      <c r="D58" s="19"/>
      <c r="E58" s="19"/>
      <c r="F58" s="122"/>
      <c r="G58" s="29"/>
      <c r="N58" s="149"/>
    </row>
    <row r="59" spans="1:16" x14ac:dyDescent="0.35">
      <c r="A59" s="107" t="s">
        <v>296</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79</v>
      </c>
      <c r="N60" s="146" t="s">
        <v>230</v>
      </c>
    </row>
    <row r="61" spans="1:16" x14ac:dyDescent="0.35">
      <c r="A61" s="132" t="str">
        <f>IF(A60="[Unused]","","   Enter volume to Buy(+) or Sell(-) [maf]")</f>
        <v xml:space="preserve">   Enter volume to Buy(+) or Sell(-) [maf]</v>
      </c>
      <c r="C61" s="97"/>
      <c r="D61" s="97"/>
      <c r="E61" s="97"/>
      <c r="F61" s="97"/>
      <c r="G61" s="97"/>
      <c r="H61" s="97"/>
      <c r="I61" s="97"/>
      <c r="J61" s="97"/>
      <c r="K61" s="97"/>
      <c r="L61" s="97"/>
      <c r="M61" s="46">
        <f>SUM(C61:L61)</f>
        <v>0</v>
      </c>
      <c r="N61" s="151" t="s">
        <v>231</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232</v>
      </c>
    </row>
    <row r="63" spans="1:16" x14ac:dyDescent="0.35">
      <c r="A63" t="str">
        <f>IF(A62="","","   Net trade volume all participants (should be zero)")</f>
        <v xml:space="preserve">   Net trade volume all participants (should be zero)</v>
      </c>
      <c r="C63" s="46">
        <f t="shared" ref="C63:M63" ca="1" si="59">IF(OR(C$28="",$A63=""),"",C$116)</f>
        <v>0</v>
      </c>
      <c r="D63" s="46" t="str">
        <f t="shared" si="59"/>
        <v/>
      </c>
      <c r="E63" s="46" t="str">
        <f t="shared" si="59"/>
        <v/>
      </c>
      <c r="F63" s="46" t="str">
        <f t="shared" si="59"/>
        <v/>
      </c>
      <c r="G63" s="46" t="str">
        <f t="shared" si="59"/>
        <v/>
      </c>
      <c r="H63" s="46" t="str">
        <f t="shared" si="59"/>
        <v/>
      </c>
      <c r="I63" s="46" t="str">
        <f t="shared" si="59"/>
        <v/>
      </c>
      <c r="J63" s="46" t="str">
        <f t="shared" si="59"/>
        <v/>
      </c>
      <c r="K63" s="46" t="str">
        <f t="shared" si="59"/>
        <v/>
      </c>
      <c r="L63" s="46" t="str">
        <f t="shared" si="59"/>
        <v/>
      </c>
      <c r="M63" t="str">
        <f t="shared" si="59"/>
        <v/>
      </c>
      <c r="N63" s="148" t="s">
        <v>233</v>
      </c>
    </row>
    <row r="64" spans="1:16" x14ac:dyDescent="0.35">
      <c r="A64" s="1" t="str">
        <f>IF(A62="","","   Available Water [maf]")</f>
        <v xml:space="preserve">   Available Water [maf]</v>
      </c>
      <c r="C64" s="13">
        <f>IF(OR(C$28="",$A64=""),"",C33+C51-C43+C61)</f>
        <v>4.7610489999999999</v>
      </c>
      <c r="D64" s="13" t="str">
        <f t="shared" ref="D64:L64" si="60">IF(OR(D$28="",$A64=""),"",D33+D51-D43+D61)</f>
        <v/>
      </c>
      <c r="E64" s="13" t="str">
        <f t="shared" si="60"/>
        <v/>
      </c>
      <c r="F64" s="13" t="str">
        <f t="shared" si="60"/>
        <v/>
      </c>
      <c r="G64" s="13" t="str">
        <f t="shared" si="60"/>
        <v/>
      </c>
      <c r="H64" s="13" t="str">
        <f t="shared" si="60"/>
        <v/>
      </c>
      <c r="I64" s="13" t="str">
        <f t="shared" si="60"/>
        <v/>
      </c>
      <c r="J64" s="13" t="str">
        <f t="shared" si="60"/>
        <v/>
      </c>
      <c r="K64" s="13" t="str">
        <f t="shared" si="60"/>
        <v/>
      </c>
      <c r="L64" s="13" t="str">
        <f t="shared" si="60"/>
        <v/>
      </c>
      <c r="N64" s="148" t="s">
        <v>234</v>
      </c>
    </row>
    <row r="65" spans="1:14" x14ac:dyDescent="0.35">
      <c r="A65" s="131" t="str">
        <f>IF(A64="","","   Enter withdraw [maf] within available water")</f>
        <v xml:space="preserve">   Enter withdraw [maf] within available water</v>
      </c>
      <c r="C65" s="99"/>
      <c r="D65" s="99"/>
      <c r="E65" s="99"/>
      <c r="F65" s="99"/>
      <c r="G65" s="99"/>
      <c r="H65" s="99"/>
      <c r="I65" s="99"/>
      <c r="J65" s="99"/>
      <c r="K65" s="99"/>
      <c r="L65" s="99"/>
      <c r="N65" s="148" t="s">
        <v>247</v>
      </c>
    </row>
    <row r="66" spans="1:14" x14ac:dyDescent="0.35">
      <c r="A66" t="str">
        <f>IF(A65="","","   End of Year Balance [maf]")</f>
        <v xml:space="preserve">   End of Year Balance [maf]</v>
      </c>
      <c r="C66" s="13">
        <f>IF(OR(C$28="",$A66=""),"",C64-C65)</f>
        <v>4.7610489999999999</v>
      </c>
      <c r="D66" s="13" t="str">
        <f t="shared" ref="D66:L66" si="61">IF(OR(D$28="",$A66=""),"",D64-D65)</f>
        <v/>
      </c>
      <c r="E66" s="13" t="str">
        <f t="shared" si="61"/>
        <v/>
      </c>
      <c r="F66" s="13" t="str">
        <f t="shared" si="61"/>
        <v/>
      </c>
      <c r="G66" s="13" t="str">
        <f t="shared" si="61"/>
        <v/>
      </c>
      <c r="H66" s="13" t="str">
        <f t="shared" si="61"/>
        <v/>
      </c>
      <c r="I66" s="13" t="str">
        <f t="shared" si="61"/>
        <v/>
      </c>
      <c r="J66" s="13" t="str">
        <f t="shared" si="61"/>
        <v/>
      </c>
      <c r="K66" s="13" t="str">
        <f t="shared" si="61"/>
        <v/>
      </c>
      <c r="L66" s="13" t="str">
        <f t="shared" si="61"/>
        <v/>
      </c>
      <c r="N66" s="148" t="s">
        <v>235</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79</v>
      </c>
      <c r="N68" s="146" t="s">
        <v>230</v>
      </c>
    </row>
    <row r="69" spans="1:14" x14ac:dyDescent="0.35">
      <c r="A69" s="132" t="str">
        <f>IF(A68="[Unused]","",$A$61)</f>
        <v xml:space="preserve">   Enter volume to Buy(+) or Sell(-) [maf]</v>
      </c>
      <c r="C69" s="97"/>
      <c r="D69" s="97"/>
      <c r="E69" s="97"/>
      <c r="F69" s="97"/>
      <c r="G69" s="97"/>
      <c r="H69" s="97"/>
      <c r="I69" s="97"/>
      <c r="J69" s="97"/>
      <c r="K69" s="97"/>
      <c r="L69" s="97"/>
      <c r="M69" s="46">
        <f>SUM(C69:L69)</f>
        <v>0</v>
      </c>
      <c r="N69" s="151" t="s">
        <v>231</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232</v>
      </c>
    </row>
    <row r="71" spans="1:14" x14ac:dyDescent="0.35">
      <c r="A71" s="138" t="str">
        <f>IF(A70="","",$A$63)</f>
        <v xml:space="preserve">   Net trade volume all participants (should be zero)</v>
      </c>
      <c r="C71" s="46">
        <f t="shared" ref="C71:M71" ca="1" si="62">IF(OR(C$28="",$A71=""),"",C$116)</f>
        <v>0</v>
      </c>
      <c r="D71" s="46" t="str">
        <f t="shared" si="62"/>
        <v/>
      </c>
      <c r="E71" s="46" t="str">
        <f t="shared" si="62"/>
        <v/>
      </c>
      <c r="F71" s="46" t="str">
        <f t="shared" si="62"/>
        <v/>
      </c>
      <c r="G71" s="46" t="str">
        <f t="shared" si="62"/>
        <v/>
      </c>
      <c r="H71" s="46" t="str">
        <f t="shared" si="62"/>
        <v/>
      </c>
      <c r="I71" s="46" t="str">
        <f t="shared" si="62"/>
        <v/>
      </c>
      <c r="J71" s="46" t="str">
        <f t="shared" si="62"/>
        <v/>
      </c>
      <c r="K71" s="46" t="str">
        <f t="shared" si="62"/>
        <v/>
      </c>
      <c r="L71" s="46" t="str">
        <f t="shared" si="62"/>
        <v/>
      </c>
      <c r="M71" t="str">
        <f t="shared" si="62"/>
        <v/>
      </c>
      <c r="N71" s="148" t="s">
        <v>233</v>
      </c>
    </row>
    <row r="72" spans="1:14" x14ac:dyDescent="0.35">
      <c r="A72" s="1" t="str">
        <f>IF(A70="","","   Available Water [maf]")</f>
        <v xml:space="preserve">   Available Water [maf]</v>
      </c>
      <c r="C72" s="13">
        <f>IF(OR(C$28="",$A72=""),"",C34+C52-C44+C69)</f>
        <v>2.1313189655593479</v>
      </c>
      <c r="D72" s="13" t="str">
        <f t="shared" ref="D72:L72" si="63">IF(OR(D$28="",$A72=""),"",D34+D52-D44+D69)</f>
        <v/>
      </c>
      <c r="E72" s="13" t="str">
        <f t="shared" si="63"/>
        <v/>
      </c>
      <c r="F72" s="13" t="str">
        <f t="shared" si="63"/>
        <v/>
      </c>
      <c r="G72" s="13" t="str">
        <f t="shared" si="63"/>
        <v/>
      </c>
      <c r="H72" s="13" t="str">
        <f t="shared" si="63"/>
        <v/>
      </c>
      <c r="I72" s="13" t="str">
        <f t="shared" si="63"/>
        <v/>
      </c>
      <c r="J72" s="13" t="str">
        <f t="shared" si="63"/>
        <v/>
      </c>
      <c r="K72" s="13" t="str">
        <f t="shared" si="63"/>
        <v/>
      </c>
      <c r="L72" s="13" t="str">
        <f t="shared" si="63"/>
        <v/>
      </c>
      <c r="N72" s="148" t="s">
        <v>234</v>
      </c>
    </row>
    <row r="73" spans="1:14" x14ac:dyDescent="0.35">
      <c r="A73" s="131" t="str">
        <f>IF(A72="","",$A$65)</f>
        <v xml:space="preserve">   Enter withdraw [maf] within available water</v>
      </c>
      <c r="C73" s="99"/>
      <c r="D73" s="99"/>
      <c r="E73" s="99"/>
      <c r="F73" s="99"/>
      <c r="G73" s="99"/>
      <c r="H73" s="99"/>
      <c r="I73" s="99"/>
      <c r="J73" s="99"/>
      <c r="K73" s="99"/>
      <c r="L73" s="99"/>
      <c r="N73" s="148" t="s">
        <v>247</v>
      </c>
    </row>
    <row r="74" spans="1:14" x14ac:dyDescent="0.35">
      <c r="A74" t="str">
        <f>IF(A73="","","   End of Year Balance [maf]")</f>
        <v xml:space="preserve">   End of Year Balance [maf]</v>
      </c>
      <c r="C74" s="13">
        <f>IF(OR(C$28="",$A74=""),"",C72-C73)</f>
        <v>2.1313189655593479</v>
      </c>
      <c r="D74" s="13" t="str">
        <f t="shared" ref="D74:L74" si="64">IF(OR(D$28="",$A74=""),"",D72-D73)</f>
        <v/>
      </c>
      <c r="E74" s="13" t="str">
        <f t="shared" si="64"/>
        <v/>
      </c>
      <c r="F74" s="13" t="str">
        <f t="shared" si="64"/>
        <v/>
      </c>
      <c r="G74" s="13" t="str">
        <f t="shared" si="64"/>
        <v/>
      </c>
      <c r="H74" s="13" t="str">
        <f t="shared" si="64"/>
        <v/>
      </c>
      <c r="I74" s="13" t="str">
        <f t="shared" si="64"/>
        <v/>
      </c>
      <c r="J74" s="13" t="str">
        <f t="shared" si="64"/>
        <v/>
      </c>
      <c r="K74" s="13" t="str">
        <f t="shared" si="64"/>
        <v/>
      </c>
      <c r="L74" s="13" t="str">
        <f t="shared" si="64"/>
        <v/>
      </c>
      <c r="N74" s="148" t="s">
        <v>235</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79</v>
      </c>
      <c r="N76" s="146" t="s">
        <v>230</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231</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232</v>
      </c>
    </row>
    <row r="79" spans="1:14" x14ac:dyDescent="0.35">
      <c r="A79" s="138" t="str">
        <f>IF(A78="","",$A$63)</f>
        <v xml:space="preserve">   Net trade volume all participants (should be zero)</v>
      </c>
      <c r="C79" s="46">
        <f t="shared" ref="C79:M79" ca="1" si="65">IF(OR(C$28="",$A79=""),"",C$116)</f>
        <v>0</v>
      </c>
      <c r="D79" s="46" t="str">
        <f t="shared" si="65"/>
        <v/>
      </c>
      <c r="E79" s="46" t="str">
        <f t="shared" si="65"/>
        <v/>
      </c>
      <c r="F79" s="46" t="str">
        <f t="shared" si="65"/>
        <v/>
      </c>
      <c r="G79" s="46" t="str">
        <f t="shared" si="65"/>
        <v/>
      </c>
      <c r="H79" s="46" t="str">
        <f t="shared" si="65"/>
        <v/>
      </c>
      <c r="I79" s="46" t="str">
        <f t="shared" si="65"/>
        <v/>
      </c>
      <c r="J79" s="46" t="str">
        <f t="shared" si="65"/>
        <v/>
      </c>
      <c r="K79" s="46" t="str">
        <f t="shared" si="65"/>
        <v/>
      </c>
      <c r="L79" s="46" t="str">
        <f t="shared" si="65"/>
        <v/>
      </c>
      <c r="M79" t="str">
        <f t="shared" si="65"/>
        <v/>
      </c>
      <c r="N79" s="148" t="s">
        <v>233</v>
      </c>
    </row>
    <row r="80" spans="1:14" x14ac:dyDescent="0.35">
      <c r="A80" s="1" t="str">
        <f>IF(A78="","","   Available Water [maf]")</f>
        <v xml:space="preserve">   Available Water [maf]</v>
      </c>
      <c r="C80" s="13">
        <f>IF(OR(C$28="",$A80=""),"",C35+C53-C45+C77)</f>
        <v>1.9776405750566926</v>
      </c>
      <c r="D80" s="13" t="str">
        <f t="shared" ref="D80:L80" si="66">IF(OR(D$28="",$A80=""),"",D35+D53-D45+D77)</f>
        <v/>
      </c>
      <c r="E80" s="13" t="str">
        <f t="shared" si="66"/>
        <v/>
      </c>
      <c r="F80" s="13" t="str">
        <f t="shared" si="66"/>
        <v/>
      </c>
      <c r="G80" s="13" t="str">
        <f t="shared" si="66"/>
        <v/>
      </c>
      <c r="H80" s="13" t="str">
        <f t="shared" si="66"/>
        <v/>
      </c>
      <c r="I80" s="13" t="str">
        <f t="shared" si="66"/>
        <v/>
      </c>
      <c r="J80" s="13" t="str">
        <f t="shared" si="66"/>
        <v/>
      </c>
      <c r="K80" s="13" t="str">
        <f t="shared" si="66"/>
        <v/>
      </c>
      <c r="L80" s="13" t="str">
        <f t="shared" si="66"/>
        <v/>
      </c>
      <c r="N80" s="148" t="s">
        <v>234</v>
      </c>
    </row>
    <row r="81" spans="1:14" x14ac:dyDescent="0.35">
      <c r="A81" s="131" t="str">
        <f>IF(A80="","",$A$65)</f>
        <v xml:space="preserve">   Enter withdraw [maf] within available water</v>
      </c>
      <c r="C81" s="99"/>
      <c r="D81" s="99"/>
      <c r="E81" s="99"/>
      <c r="F81" s="99"/>
      <c r="G81" s="99"/>
      <c r="H81" s="99"/>
      <c r="I81" s="99"/>
      <c r="J81" s="99"/>
      <c r="K81" s="99"/>
      <c r="L81" s="99"/>
      <c r="N81" s="148" t="s">
        <v>247</v>
      </c>
    </row>
    <row r="82" spans="1:14" x14ac:dyDescent="0.35">
      <c r="A82" t="str">
        <f>IF(A81="","","   End of Year Balance [maf]")</f>
        <v xml:space="preserve">   End of Year Balance [maf]</v>
      </c>
      <c r="C82" s="13">
        <f>IF(OR(C$28="",$A82=""),"",C80-C81)</f>
        <v>1.9776405750566926</v>
      </c>
      <c r="D82" s="13" t="str">
        <f t="shared" ref="D82:L82" si="67">IF(OR(D$28="",$A82=""),"",D80-D81)</f>
        <v/>
      </c>
      <c r="E82" s="13" t="str">
        <f t="shared" si="67"/>
        <v/>
      </c>
      <c r="F82" s="13" t="str">
        <f t="shared" si="67"/>
        <v/>
      </c>
      <c r="G82" s="13" t="str">
        <f t="shared" si="67"/>
        <v/>
      </c>
      <c r="H82" s="13" t="str">
        <f t="shared" si="67"/>
        <v/>
      </c>
      <c r="I82" s="13" t="str">
        <f t="shared" si="67"/>
        <v/>
      </c>
      <c r="J82" s="13" t="str">
        <f t="shared" si="67"/>
        <v/>
      </c>
      <c r="K82" s="13" t="str">
        <f t="shared" si="67"/>
        <v/>
      </c>
      <c r="L82" s="13" t="str">
        <f t="shared" si="67"/>
        <v/>
      </c>
      <c r="N82" s="148" t="s">
        <v>235</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79</v>
      </c>
      <c r="N84" s="146" t="s">
        <v>230</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231</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232</v>
      </c>
    </row>
    <row r="87" spans="1:14" x14ac:dyDescent="0.35">
      <c r="A87" s="138" t="str">
        <f>IF(A86="","",$A$63)</f>
        <v xml:space="preserve">   Net trade volume all participants (should be zero)</v>
      </c>
      <c r="C87" s="46">
        <f t="shared" ref="C87:M87" ca="1" si="68">IF(OR(C$28="",$A87=""),"",C$116)</f>
        <v>0</v>
      </c>
      <c r="D87" s="46" t="str">
        <f t="shared" si="68"/>
        <v/>
      </c>
      <c r="E87" s="46" t="str">
        <f t="shared" si="68"/>
        <v/>
      </c>
      <c r="F87" s="46" t="str">
        <f t="shared" si="68"/>
        <v/>
      </c>
      <c r="G87" s="46" t="str">
        <f t="shared" si="68"/>
        <v/>
      </c>
      <c r="H87" s="46" t="str">
        <f t="shared" si="68"/>
        <v/>
      </c>
      <c r="I87" s="46" t="str">
        <f t="shared" si="68"/>
        <v/>
      </c>
      <c r="J87" s="46" t="str">
        <f t="shared" si="68"/>
        <v/>
      </c>
      <c r="K87" s="46" t="str">
        <f t="shared" si="68"/>
        <v/>
      </c>
      <c r="L87" s="46" t="str">
        <f t="shared" si="68"/>
        <v/>
      </c>
      <c r="M87" t="str">
        <f t="shared" si="68"/>
        <v/>
      </c>
      <c r="N87" s="148" t="s">
        <v>233</v>
      </c>
    </row>
    <row r="88" spans="1:14" x14ac:dyDescent="0.35">
      <c r="A88" s="1" t="str">
        <f>IF(A86="","","   Available Water [maf]")</f>
        <v xml:space="preserve">   Available Water [maf]</v>
      </c>
      <c r="C88" s="123">
        <f>IF(OR(C$28="",$A88=""),"",C36+C54-C46+C85)</f>
        <v>0.93719855499948723</v>
      </c>
      <c r="D88" s="123" t="str">
        <f t="shared" ref="D88:L88" si="69">IF(OR(D$28="",$A88=""),"",D36+D54-D46+D85)</f>
        <v/>
      </c>
      <c r="E88" s="123" t="str">
        <f t="shared" si="69"/>
        <v/>
      </c>
      <c r="F88" s="123" t="str">
        <f t="shared" si="69"/>
        <v/>
      </c>
      <c r="G88" s="123" t="str">
        <f t="shared" si="69"/>
        <v/>
      </c>
      <c r="H88" s="123" t="str">
        <f t="shared" si="69"/>
        <v/>
      </c>
      <c r="I88" s="123" t="str">
        <f t="shared" si="69"/>
        <v/>
      </c>
      <c r="J88" s="123" t="str">
        <f t="shared" si="69"/>
        <v/>
      </c>
      <c r="K88" s="123" t="str">
        <f t="shared" si="69"/>
        <v/>
      </c>
      <c r="L88" s="123" t="str">
        <f t="shared" si="69"/>
        <v/>
      </c>
      <c r="N88" s="148" t="s">
        <v>234</v>
      </c>
    </row>
    <row r="89" spans="1:14" x14ac:dyDescent="0.35">
      <c r="A89" s="131" t="str">
        <f>IF(A88="","",$A$65)</f>
        <v xml:space="preserve">   Enter withdraw [maf] within available water</v>
      </c>
      <c r="C89" s="124"/>
      <c r="D89" s="124"/>
      <c r="E89" s="124"/>
      <c r="F89" s="124"/>
      <c r="G89" s="124"/>
      <c r="H89" s="124"/>
      <c r="I89" s="124"/>
      <c r="J89" s="124"/>
      <c r="K89" s="124"/>
      <c r="L89" s="124"/>
      <c r="N89" s="148" t="s">
        <v>247</v>
      </c>
    </row>
    <row r="90" spans="1:14" x14ac:dyDescent="0.35">
      <c r="A90" t="str">
        <f>IF(A89="","","   End of Year Balance [maf]")</f>
        <v xml:space="preserve">   End of Year Balance [maf]</v>
      </c>
      <c r="C90" s="13">
        <f>IF(OR(C$28="",$A90=""),"",C88-C89)</f>
        <v>0.93719855499948723</v>
      </c>
      <c r="D90" s="13" t="str">
        <f t="shared" ref="D90:L90" si="70">IF(OR(D$28="",$A90=""),"",D88-D89)</f>
        <v/>
      </c>
      <c r="E90" s="13" t="str">
        <f t="shared" si="70"/>
        <v/>
      </c>
      <c r="F90" s="13" t="str">
        <f t="shared" si="70"/>
        <v/>
      </c>
      <c r="G90" s="13" t="str">
        <f t="shared" si="70"/>
        <v/>
      </c>
      <c r="H90" s="13" t="str">
        <f t="shared" si="70"/>
        <v/>
      </c>
      <c r="I90" s="13" t="str">
        <f t="shared" si="70"/>
        <v/>
      </c>
      <c r="J90" s="13" t="str">
        <f t="shared" si="70"/>
        <v/>
      </c>
      <c r="K90" s="13" t="str">
        <f t="shared" si="70"/>
        <v/>
      </c>
      <c r="L90" s="13" t="str">
        <f t="shared" si="70"/>
        <v/>
      </c>
      <c r="N90" s="148" t="s">
        <v>235</v>
      </c>
    </row>
    <row r="91" spans="1:14" x14ac:dyDescent="0.35">
      <c r="C91"/>
      <c r="N91" s="149"/>
    </row>
    <row r="92" spans="1:14" x14ac:dyDescent="0.35">
      <c r="A92" s="125" t="str">
        <f>IF(A$9="","[Unused]",A9)</f>
        <v>Mexico</v>
      </c>
      <c r="B92" s="105"/>
      <c r="C92" s="105"/>
      <c r="D92" s="105"/>
      <c r="E92" s="105"/>
      <c r="F92" s="105"/>
      <c r="G92" s="105"/>
      <c r="H92" s="105"/>
      <c r="I92" s="105"/>
      <c r="J92" s="105"/>
      <c r="K92" s="105"/>
      <c r="L92" s="105"/>
      <c r="M92" s="106" t="s">
        <v>79</v>
      </c>
      <c r="N92" s="146" t="s">
        <v>230</v>
      </c>
    </row>
    <row r="93" spans="1:14" x14ac:dyDescent="0.35">
      <c r="A93" t="str">
        <f>IF(A92="[Unused]","",$A$61)</f>
        <v xml:space="preserve">   Enter volume to Buy(+) or Sell(-) [maf]</v>
      </c>
      <c r="C93" s="97"/>
      <c r="D93" s="97"/>
      <c r="E93" s="97"/>
      <c r="F93" s="97"/>
      <c r="G93" s="97"/>
      <c r="H93" s="97"/>
      <c r="I93" s="97"/>
      <c r="J93" s="97"/>
      <c r="K93" s="97"/>
      <c r="L93" s="97"/>
      <c r="M93" s="46">
        <f>SUM(C93:L93)</f>
        <v>0</v>
      </c>
      <c r="N93" s="151" t="s">
        <v>231</v>
      </c>
    </row>
    <row r="94" spans="1:14" x14ac:dyDescent="0.35">
      <c r="A94" t="str">
        <f>IF(A93="","",$A$62)</f>
        <v xml:space="preserve">   Enter compensation to Buy(-) or Sell(+) [$ Mill]</v>
      </c>
      <c r="C94" s="98"/>
      <c r="D94" s="98"/>
      <c r="E94" s="98"/>
      <c r="F94" s="98"/>
      <c r="G94" s="98"/>
      <c r="H94" s="98"/>
      <c r="I94" s="98"/>
      <c r="J94" s="98"/>
      <c r="K94" s="98"/>
      <c r="L94" s="98"/>
      <c r="M94" s="45">
        <f>SUM(C94:L94)</f>
        <v>0</v>
      </c>
      <c r="N94" s="152" t="s">
        <v>232</v>
      </c>
    </row>
    <row r="95" spans="1:14" x14ac:dyDescent="0.35">
      <c r="A95" s="138" t="str">
        <f>IF(A94="","",$A$63)</f>
        <v xml:space="preserve">   Net trade volume all participants (should be zero)</v>
      </c>
      <c r="C95" s="46">
        <f t="shared" ref="C95:M95" ca="1" si="71">IF(OR(C$28="",$A95=""),"",C$116)</f>
        <v>0</v>
      </c>
      <c r="D95" s="46" t="str">
        <f t="shared" si="71"/>
        <v/>
      </c>
      <c r="E95" s="46" t="str">
        <f t="shared" si="71"/>
        <v/>
      </c>
      <c r="F95" s="46" t="str">
        <f t="shared" si="71"/>
        <v/>
      </c>
      <c r="G95" s="46" t="str">
        <f t="shared" si="71"/>
        <v/>
      </c>
      <c r="H95" s="46" t="str">
        <f t="shared" si="71"/>
        <v/>
      </c>
      <c r="I95" s="46" t="str">
        <f t="shared" si="71"/>
        <v/>
      </c>
      <c r="J95" s="46" t="str">
        <f t="shared" si="71"/>
        <v/>
      </c>
      <c r="K95" s="46" t="str">
        <f t="shared" si="71"/>
        <v/>
      </c>
      <c r="L95" s="46" t="str">
        <f t="shared" si="71"/>
        <v/>
      </c>
      <c r="M95" t="str">
        <f t="shared" si="71"/>
        <v/>
      </c>
      <c r="N95" s="148" t="s">
        <v>233</v>
      </c>
    </row>
    <row r="96" spans="1:14" x14ac:dyDescent="0.35">
      <c r="A96" s="1" t="str">
        <f>IF(A94="","","   Available Water [maf]")</f>
        <v xml:space="preserve">   Available Water [maf]</v>
      </c>
      <c r="C96" s="13">
        <f>IF(OR(C$28="",$A96=""),"",C37+C55-C47+C93)</f>
        <v>0.36665037160411446</v>
      </c>
      <c r="D96" s="13" t="str">
        <f t="shared" ref="D96:L96" si="72">IF(OR(D$28="",$A96=""),"",D37+D55-D47+D93)</f>
        <v/>
      </c>
      <c r="E96" s="13" t="str">
        <f t="shared" si="72"/>
        <v/>
      </c>
      <c r="F96" s="13" t="str">
        <f t="shared" si="72"/>
        <v/>
      </c>
      <c r="G96" s="13" t="str">
        <f t="shared" si="72"/>
        <v/>
      </c>
      <c r="H96" s="13" t="str">
        <f t="shared" si="72"/>
        <v/>
      </c>
      <c r="I96" s="13" t="str">
        <f t="shared" si="72"/>
        <v/>
      </c>
      <c r="J96" s="13" t="str">
        <f t="shared" si="72"/>
        <v/>
      </c>
      <c r="K96" s="13" t="str">
        <f t="shared" si="72"/>
        <v/>
      </c>
      <c r="L96" s="13" t="str">
        <f t="shared" si="72"/>
        <v/>
      </c>
      <c r="N96" s="148" t="s">
        <v>234</v>
      </c>
    </row>
    <row r="97" spans="1:14" x14ac:dyDescent="0.35">
      <c r="A97" s="131" t="str">
        <f>IF(A96="","",$A$65)</f>
        <v xml:space="preserve">   Enter withdraw [maf] within available water</v>
      </c>
      <c r="C97" s="99"/>
      <c r="D97" s="99"/>
      <c r="E97" s="99"/>
      <c r="F97" s="99"/>
      <c r="G97" s="99"/>
      <c r="H97" s="99"/>
      <c r="I97" s="99"/>
      <c r="J97" s="99"/>
      <c r="K97" s="99"/>
      <c r="L97" s="99"/>
      <c r="N97" s="148" t="s">
        <v>247</v>
      </c>
    </row>
    <row r="98" spans="1:14" x14ac:dyDescent="0.35">
      <c r="A98" t="str">
        <f>IF(A97="","","   End of Year Balance [maf]")</f>
        <v xml:space="preserve">   End of Year Balance [maf]</v>
      </c>
      <c r="C98" s="13">
        <f>IF(OR(C$28="",$A98=""),"",C96-C97)</f>
        <v>0.36665037160411446</v>
      </c>
      <c r="D98" s="13" t="str">
        <f t="shared" ref="D98:L98" si="73">IF(OR(D$28="",$A98=""),"",D96-D97)</f>
        <v/>
      </c>
      <c r="E98" s="13" t="str">
        <f t="shared" si="73"/>
        <v/>
      </c>
      <c r="F98" s="13" t="str">
        <f t="shared" si="73"/>
        <v/>
      </c>
      <c r="G98" s="13" t="str">
        <f t="shared" si="73"/>
        <v/>
      </c>
      <c r="H98" s="13" t="str">
        <f t="shared" si="73"/>
        <v/>
      </c>
      <c r="I98" s="13" t="str">
        <f t="shared" si="73"/>
        <v/>
      </c>
      <c r="J98" s="13" t="str">
        <f t="shared" si="73"/>
        <v/>
      </c>
      <c r="K98" s="13" t="str">
        <f t="shared" si="73"/>
        <v/>
      </c>
      <c r="L98" s="13" t="str">
        <f t="shared" si="73"/>
        <v/>
      </c>
      <c r="N98" s="148" t="s">
        <v>235</v>
      </c>
    </row>
    <row r="99" spans="1:14" x14ac:dyDescent="0.35">
      <c r="C99"/>
      <c r="N99" s="149"/>
    </row>
    <row r="100" spans="1:14" x14ac:dyDescent="0.35">
      <c r="A100" s="125" t="str">
        <f>IF(A$10="","[Unused]",A10)</f>
        <v>Tribal Nations</v>
      </c>
      <c r="B100" s="105"/>
      <c r="C100" s="105"/>
      <c r="D100" s="105"/>
      <c r="E100" s="105"/>
      <c r="F100" s="105"/>
      <c r="G100" s="105"/>
      <c r="H100" s="105"/>
      <c r="I100" s="105"/>
      <c r="J100" s="105"/>
      <c r="K100" s="105"/>
      <c r="L100" s="105"/>
      <c r="M100" s="106" t="s">
        <v>79</v>
      </c>
      <c r="N100" s="148" t="s">
        <v>245</v>
      </c>
    </row>
    <row r="101" spans="1:14" x14ac:dyDescent="0.35">
      <c r="A101" s="132" t="str">
        <f>IF(A100="[Unused]","",$A$61)</f>
        <v xml:space="preserve">   Enter volume to Buy(+) or Sell(-) [maf]</v>
      </c>
      <c r="C101" s="18"/>
      <c r="D101" s="18"/>
      <c r="E101" s="18"/>
      <c r="F101" s="18"/>
      <c r="G101" s="18"/>
      <c r="H101" s="18"/>
      <c r="I101" s="18"/>
      <c r="J101" s="18"/>
      <c r="K101" s="18"/>
      <c r="L101" s="18"/>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f t="shared" ref="C103:M103" ca="1" si="74">IF(OR(C$28="",$A103=""),"",C$116)</f>
        <v>0</v>
      </c>
      <c r="D103" s="46" t="str">
        <f t="shared" si="74"/>
        <v/>
      </c>
      <c r="E103" s="46" t="str">
        <f t="shared" si="74"/>
        <v/>
      </c>
      <c r="F103" s="46" t="str">
        <f t="shared" si="74"/>
        <v/>
      </c>
      <c r="G103" s="46" t="str">
        <f t="shared" si="74"/>
        <v/>
      </c>
      <c r="H103" s="46" t="str">
        <f t="shared" si="74"/>
        <v/>
      </c>
      <c r="I103" s="46" t="str">
        <f t="shared" si="74"/>
        <v/>
      </c>
      <c r="J103" s="46" t="str">
        <f t="shared" si="74"/>
        <v/>
      </c>
      <c r="K103" s="46" t="str">
        <f t="shared" si="74"/>
        <v/>
      </c>
      <c r="L103" s="46" t="str">
        <f t="shared" si="74"/>
        <v/>
      </c>
      <c r="M103" t="str">
        <f t="shared" si="74"/>
        <v/>
      </c>
      <c r="N103" s="149"/>
    </row>
    <row r="104" spans="1:14" x14ac:dyDescent="0.35">
      <c r="A104" s="1" t="str">
        <f>IF(A102="","","   Available Water [maf]")</f>
        <v xml:space="preserve">   Available Water [maf]</v>
      </c>
      <c r="C104" s="13">
        <f>IF(OR(C$28="",$A104=""),"",C38+C56-C48+C101)</f>
        <v>0.20404899997000125</v>
      </c>
      <c r="D104" s="13" t="str">
        <f t="shared" ref="D104:L104" si="75">IF(OR(D$28="",$A104=""),"",D38+D56-D48+D101)</f>
        <v/>
      </c>
      <c r="E104" s="13" t="str">
        <f t="shared" si="75"/>
        <v/>
      </c>
      <c r="F104" s="13" t="str">
        <f t="shared" si="75"/>
        <v/>
      </c>
      <c r="G104" s="13" t="str">
        <f t="shared" si="75"/>
        <v/>
      </c>
      <c r="H104" s="13" t="str">
        <f t="shared" si="75"/>
        <v/>
      </c>
      <c r="I104" s="13" t="str">
        <f t="shared" si="75"/>
        <v/>
      </c>
      <c r="J104" s="13" t="str">
        <f t="shared" si="75"/>
        <v/>
      </c>
      <c r="K104" s="13" t="str">
        <f t="shared" si="75"/>
        <v/>
      </c>
      <c r="L104" s="13" t="str">
        <f t="shared" si="75"/>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f>IF(OR(C$28="",$A106=""),"",C104-C105)</f>
        <v>0.20404899997000125</v>
      </c>
      <c r="D106" s="13" t="str">
        <f t="shared" ref="D106:L106" si="76">IF(OR(D$28="",$A106=""),"",D104-D105)</f>
        <v/>
      </c>
      <c r="E106" s="13" t="str">
        <f t="shared" si="76"/>
        <v/>
      </c>
      <c r="F106" s="13" t="str">
        <f t="shared" si="76"/>
        <v/>
      </c>
      <c r="G106" s="13" t="str">
        <f t="shared" si="76"/>
        <v/>
      </c>
      <c r="H106" s="13" t="str">
        <f t="shared" si="76"/>
        <v/>
      </c>
      <c r="I106" s="13" t="str">
        <f t="shared" si="76"/>
        <v/>
      </c>
      <c r="J106" s="13" t="str">
        <f t="shared" si="76"/>
        <v/>
      </c>
      <c r="K106" s="13" t="str">
        <f t="shared" si="76"/>
        <v/>
      </c>
      <c r="L106" s="13" t="str">
        <f t="shared" si="76"/>
        <v/>
      </c>
      <c r="N106" s="149"/>
    </row>
    <row r="107" spans="1:14" x14ac:dyDescent="0.35">
      <c r="C107"/>
      <c r="N107" s="149"/>
    </row>
    <row r="108" spans="1:14" x14ac:dyDescent="0.35">
      <c r="A108" s="107" t="s">
        <v>297</v>
      </c>
      <c r="B108" s="107"/>
      <c r="C108" s="107"/>
      <c r="D108" s="107"/>
      <c r="E108" s="107"/>
      <c r="F108" s="107"/>
      <c r="G108" s="107"/>
      <c r="H108" s="107"/>
      <c r="I108" s="107"/>
      <c r="J108" s="107"/>
      <c r="K108" s="107"/>
      <c r="L108" s="107"/>
      <c r="M108" s="107"/>
      <c r="N108" s="148" t="s">
        <v>236</v>
      </c>
    </row>
    <row r="109" spans="1:14" x14ac:dyDescent="0.35">
      <c r="A109" s="1" t="s">
        <v>174</v>
      </c>
      <c r="C109"/>
      <c r="M109" t="s">
        <v>106</v>
      </c>
      <c r="N109" s="149"/>
    </row>
    <row r="110" spans="1:14" x14ac:dyDescent="0.35">
      <c r="A110" t="str">
        <f t="shared" ref="A110:A115" si="77">IF(A5="","","    "&amp;A5)</f>
        <v xml:space="preserve">    Reclamation - Protect Zone</v>
      </c>
      <c r="B110" s="1"/>
      <c r="C110" s="46">
        <f t="shared" ref="C110:L110" ca="1" si="78">IF(OR(C$28="",$A110=""),"",OFFSET(C$61,8*(ROW(B110)-ROW(B$110)),0))</f>
        <v>0</v>
      </c>
      <c r="D110" s="46" t="str">
        <f t="shared" ca="1" si="78"/>
        <v/>
      </c>
      <c r="E110" s="46" t="str">
        <f t="shared" ca="1" si="78"/>
        <v/>
      </c>
      <c r="F110" s="46" t="str">
        <f t="shared" ca="1" si="78"/>
        <v/>
      </c>
      <c r="G110" s="46" t="str">
        <f t="shared" ca="1" si="78"/>
        <v/>
      </c>
      <c r="H110" s="46" t="str">
        <f t="shared" ca="1" si="78"/>
        <v/>
      </c>
      <c r="I110" s="46" t="str">
        <f t="shared" ca="1" si="78"/>
        <v/>
      </c>
      <c r="J110" s="46" t="str">
        <f t="shared" ca="1" si="78"/>
        <v/>
      </c>
      <c r="K110" s="46" t="str">
        <f t="shared" ca="1" si="78"/>
        <v/>
      </c>
      <c r="L110" s="142" t="str">
        <f t="shared" ca="1" si="78"/>
        <v/>
      </c>
      <c r="M110" s="143">
        <f ca="1">IF(OR($A110=""),"",SUM(C110:L110))</f>
        <v>0</v>
      </c>
      <c r="N110" s="153"/>
    </row>
    <row r="111" spans="1:14" x14ac:dyDescent="0.35">
      <c r="A111" t="str">
        <f t="shared" si="77"/>
        <v xml:space="preserve">    California</v>
      </c>
      <c r="B111" s="1"/>
      <c r="C111" s="46">
        <f t="shared" ref="C111:L111" ca="1" si="79">IF(OR(C$28="",$A111=""),"",OFFSET(C$61,8*(ROW(B111)-ROW(B$110)),0))</f>
        <v>0</v>
      </c>
      <c r="D111" s="46" t="str">
        <f t="shared" ca="1" si="79"/>
        <v/>
      </c>
      <c r="E111" s="46" t="str">
        <f t="shared" ca="1" si="79"/>
        <v/>
      </c>
      <c r="F111" s="46" t="str">
        <f t="shared" ca="1" si="79"/>
        <v/>
      </c>
      <c r="G111" s="46" t="str">
        <f t="shared" ca="1" si="79"/>
        <v/>
      </c>
      <c r="H111" s="46" t="str">
        <f t="shared" ca="1" si="79"/>
        <v/>
      </c>
      <c r="I111" s="46" t="str">
        <f t="shared" ca="1" si="79"/>
        <v/>
      </c>
      <c r="J111" s="46" t="str">
        <f t="shared" ca="1" si="79"/>
        <v/>
      </c>
      <c r="K111" s="46" t="str">
        <f t="shared" ca="1" si="79"/>
        <v/>
      </c>
      <c r="L111" s="142" t="str">
        <f t="shared" ca="1" si="79"/>
        <v/>
      </c>
      <c r="M111" s="143">
        <f t="shared" ref="M111:M115" ca="1" si="80">IF(OR($A111=""),"",SUM(C111:L111))</f>
        <v>0</v>
      </c>
      <c r="N111" s="153"/>
    </row>
    <row r="112" spans="1:14" x14ac:dyDescent="0.35">
      <c r="A112" t="str">
        <f t="shared" si="77"/>
        <v xml:space="preserve">    Arizona</v>
      </c>
      <c r="B112" s="1"/>
      <c r="C112" s="46">
        <f t="shared" ref="C112:L112" ca="1" si="81">IF(OR(C$28="",$A112=""),"",OFFSET(C$61,8*(ROW(B112)-ROW(B$110)),0))</f>
        <v>0</v>
      </c>
      <c r="D112" s="46" t="str">
        <f t="shared" ca="1" si="81"/>
        <v/>
      </c>
      <c r="E112" s="46" t="str">
        <f t="shared" ca="1" si="81"/>
        <v/>
      </c>
      <c r="F112" s="46" t="str">
        <f t="shared" ca="1" si="81"/>
        <v/>
      </c>
      <c r="G112" s="46" t="str">
        <f t="shared" ca="1" si="81"/>
        <v/>
      </c>
      <c r="H112" s="46" t="str">
        <f t="shared" ca="1" si="81"/>
        <v/>
      </c>
      <c r="I112" s="46" t="str">
        <f t="shared" ca="1" si="81"/>
        <v/>
      </c>
      <c r="J112" s="46" t="str">
        <f t="shared" ca="1" si="81"/>
        <v/>
      </c>
      <c r="K112" s="46" t="str">
        <f t="shared" ca="1" si="81"/>
        <v/>
      </c>
      <c r="L112" s="142" t="str">
        <f t="shared" ca="1" si="81"/>
        <v/>
      </c>
      <c r="M112" s="143">
        <f t="shared" ca="1" si="80"/>
        <v>0</v>
      </c>
      <c r="N112" s="153"/>
    </row>
    <row r="113" spans="1:14" x14ac:dyDescent="0.35">
      <c r="A113" t="str">
        <f t="shared" si="77"/>
        <v xml:space="preserve">    Nevada</v>
      </c>
      <c r="B113" s="1"/>
      <c r="C113" s="46">
        <f t="shared" ref="C113:L113" ca="1" si="82">IF(OR(C$28="",$A113=""),"",OFFSET(C$61,8*(ROW(B113)-ROW(B$110)),0))</f>
        <v>0</v>
      </c>
      <c r="D113" s="46" t="str">
        <f t="shared" ca="1" si="82"/>
        <v/>
      </c>
      <c r="E113" s="46" t="str">
        <f t="shared" ca="1" si="82"/>
        <v/>
      </c>
      <c r="F113" s="46" t="str">
        <f t="shared" ca="1" si="82"/>
        <v/>
      </c>
      <c r="G113" s="46" t="str">
        <f t="shared" ca="1" si="82"/>
        <v/>
      </c>
      <c r="H113" s="46" t="str">
        <f t="shared" ca="1" si="82"/>
        <v/>
      </c>
      <c r="I113" s="46" t="str">
        <f t="shared" ca="1" si="82"/>
        <v/>
      </c>
      <c r="J113" s="46" t="str">
        <f t="shared" ca="1" si="82"/>
        <v/>
      </c>
      <c r="K113" s="46" t="str">
        <f t="shared" ca="1" si="82"/>
        <v/>
      </c>
      <c r="L113" s="142" t="str">
        <f t="shared" ca="1" si="82"/>
        <v/>
      </c>
      <c r="M113" s="143">
        <f t="shared" ca="1" si="80"/>
        <v>0</v>
      </c>
      <c r="N113" s="153"/>
    </row>
    <row r="114" spans="1:14" x14ac:dyDescent="0.35">
      <c r="A114" t="str">
        <f t="shared" si="77"/>
        <v xml:space="preserve">    Mexico</v>
      </c>
      <c r="B114" s="1"/>
      <c r="C114" s="46">
        <f t="shared" ref="C114:L114" ca="1" si="83">IF(OR(C$28="",$A114=""),"",OFFSET(C$61,8*(ROW(B114)-ROW(B$110)),0))</f>
        <v>0</v>
      </c>
      <c r="D114" s="46" t="str">
        <f t="shared" ca="1" si="83"/>
        <v/>
      </c>
      <c r="E114" s="46" t="str">
        <f t="shared" ca="1" si="83"/>
        <v/>
      </c>
      <c r="F114" s="46" t="str">
        <f t="shared" ca="1" si="83"/>
        <v/>
      </c>
      <c r="G114" s="46" t="str">
        <f t="shared" ca="1" si="83"/>
        <v/>
      </c>
      <c r="H114" s="46" t="str">
        <f t="shared" ca="1" si="83"/>
        <v/>
      </c>
      <c r="I114" s="46" t="str">
        <f t="shared" ca="1" si="83"/>
        <v/>
      </c>
      <c r="J114" s="46" t="str">
        <f t="shared" ca="1" si="83"/>
        <v/>
      </c>
      <c r="K114" s="46" t="str">
        <f t="shared" ca="1" si="83"/>
        <v/>
      </c>
      <c r="L114" s="142" t="str">
        <f t="shared" ca="1" si="83"/>
        <v/>
      </c>
      <c r="M114" s="143">
        <f t="shared" ca="1" si="80"/>
        <v>0</v>
      </c>
      <c r="N114" s="153"/>
    </row>
    <row r="115" spans="1:14" x14ac:dyDescent="0.35">
      <c r="A115" t="str">
        <f t="shared" si="77"/>
        <v xml:space="preserve">    Tribal Nations</v>
      </c>
      <c r="B115" s="1"/>
      <c r="C115" s="46">
        <f t="shared" ref="C115:L115" ca="1" si="84">IF(OR(C$28="",$A115=""),"",OFFSET(C$61,8*(ROW(B115)-ROW(B$110)),0))</f>
        <v>0</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0"/>
        <v>0</v>
      </c>
      <c r="N115" s="153"/>
    </row>
    <row r="116" spans="1:14" x14ac:dyDescent="0.35">
      <c r="A116" t="s">
        <v>93</v>
      </c>
      <c r="B116" s="1"/>
      <c r="C116" s="13">
        <f ca="1">IF(C$28&lt;&gt;"",SUM(C110:C115),"")</f>
        <v>0</v>
      </c>
      <c r="D116" s="13" t="str">
        <f t="shared" ref="D116:L116" si="85">IF(D$28&lt;&gt;"",SUM(D110:D115),"")</f>
        <v/>
      </c>
      <c r="E116" s="13" t="str">
        <f t="shared" si="85"/>
        <v/>
      </c>
      <c r="F116" s="13" t="str">
        <f t="shared" si="85"/>
        <v/>
      </c>
      <c r="G116" s="13" t="str">
        <f t="shared" si="85"/>
        <v/>
      </c>
      <c r="H116" s="34" t="str">
        <f t="shared" si="85"/>
        <v/>
      </c>
      <c r="I116" s="34" t="str">
        <f t="shared" si="85"/>
        <v/>
      </c>
      <c r="J116" s="34" t="str">
        <f t="shared" si="85"/>
        <v/>
      </c>
      <c r="K116" s="34" t="str">
        <f t="shared" si="85"/>
        <v/>
      </c>
      <c r="L116" s="34" t="str">
        <f t="shared" si="85"/>
        <v/>
      </c>
      <c r="M116" s="21"/>
      <c r="N116" s="155"/>
    </row>
    <row r="117" spans="1:14" x14ac:dyDescent="0.35">
      <c r="A117" s="1" t="s">
        <v>175</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f t="shared" ref="C118:L118" ca="1" si="86">IF(OR(C$28="",$A118=""),"",OFFSET(C$65,8*(ROW(B118)-ROW(B$118)),0))</f>
        <v>0</v>
      </c>
      <c r="D118" s="46" t="str">
        <f t="shared" ca="1" si="86"/>
        <v/>
      </c>
      <c r="E118" s="46" t="str">
        <f t="shared" ca="1" si="86"/>
        <v/>
      </c>
      <c r="F118" s="46" t="str">
        <f t="shared" ca="1" si="86"/>
        <v/>
      </c>
      <c r="G118" s="46" t="str">
        <f t="shared" ca="1" si="86"/>
        <v/>
      </c>
      <c r="H118" s="46" t="str">
        <f t="shared" ca="1" si="86"/>
        <v/>
      </c>
      <c r="I118" s="46" t="str">
        <f t="shared" ca="1" si="86"/>
        <v/>
      </c>
      <c r="J118" s="46" t="str">
        <f t="shared" ca="1" si="86"/>
        <v/>
      </c>
      <c r="K118" s="46" t="str">
        <f t="shared" ca="1" si="86"/>
        <v/>
      </c>
      <c r="L118" s="46" t="str">
        <f t="shared" ca="1" si="86"/>
        <v/>
      </c>
      <c r="N118" s="149"/>
    </row>
    <row r="119" spans="1:14" x14ac:dyDescent="0.35">
      <c r="A119" t="str">
        <f>IF(A6="","","    "&amp;A6&amp;" - Release from Mead")</f>
        <v xml:space="preserve">    California - Release from Mead</v>
      </c>
      <c r="C119" s="46">
        <f t="shared" ref="C119:L119" ca="1" si="87">IF(OR(C$28="",$A119=""),"",OFFSET(C$65,8*(ROW(B119)-ROW(B$118)),0))</f>
        <v>0</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f t="shared" ref="C120:L120" ca="1" si="88">IF(OR(C$28="",$A120=""),"",OFFSET(C$65,8*(ROW(B120)-ROW(B$118)),0))</f>
        <v>0</v>
      </c>
      <c r="D120" s="46" t="str">
        <f t="shared" ca="1" si="88"/>
        <v/>
      </c>
      <c r="E120" s="46" t="str">
        <f t="shared" ca="1" si="88"/>
        <v/>
      </c>
      <c r="F120" s="46" t="str">
        <f t="shared" ca="1" si="88"/>
        <v/>
      </c>
      <c r="G120" s="46" t="str">
        <f t="shared" ca="1" si="88"/>
        <v/>
      </c>
      <c r="H120" s="46" t="str">
        <f t="shared" ca="1" si="88"/>
        <v/>
      </c>
      <c r="I120" s="46" t="str">
        <f t="shared" ca="1" si="88"/>
        <v/>
      </c>
      <c r="J120" s="46" t="str">
        <f t="shared" ca="1" si="88"/>
        <v/>
      </c>
      <c r="K120" s="46" t="str">
        <f t="shared" ca="1" si="88"/>
        <v/>
      </c>
      <c r="L120" s="46" t="str">
        <f t="shared" ca="1" si="88"/>
        <v/>
      </c>
      <c r="N120" s="149"/>
    </row>
    <row r="121" spans="1:14" x14ac:dyDescent="0.35">
      <c r="A121" t="str">
        <f>IF(A8="","","    "&amp;A8&amp;" - Release from Mead")</f>
        <v xml:space="preserve">    Nevada - Release from Mead</v>
      </c>
      <c r="C121" s="46">
        <f t="shared" ref="C121:L121" ca="1" si="89">IF(OR(C$28="",$A121=""),"",OFFSET(C$65,8*(ROW(B121)-ROW(B$118)),0))</f>
        <v>0</v>
      </c>
      <c r="D121" s="46" t="str">
        <f t="shared" ca="1" si="89"/>
        <v/>
      </c>
      <c r="E121" s="46" t="str">
        <f t="shared" ca="1" si="89"/>
        <v/>
      </c>
      <c r="F121" s="46" t="str">
        <f t="shared" ca="1" si="89"/>
        <v/>
      </c>
      <c r="G121" s="46" t="str">
        <f t="shared" ca="1" si="89"/>
        <v/>
      </c>
      <c r="H121" s="46" t="str">
        <f t="shared" ca="1" si="89"/>
        <v/>
      </c>
      <c r="I121" s="46" t="str">
        <f t="shared" ca="1" si="89"/>
        <v/>
      </c>
      <c r="J121" s="46" t="str">
        <f t="shared" ca="1" si="89"/>
        <v/>
      </c>
      <c r="K121" s="46" t="str">
        <f t="shared" ca="1" si="89"/>
        <v/>
      </c>
      <c r="L121" s="46" t="str">
        <f t="shared" ca="1" si="89"/>
        <v/>
      </c>
      <c r="N121" s="149"/>
    </row>
    <row r="122" spans="1:14" x14ac:dyDescent="0.35">
      <c r="A122" t="str">
        <f>IF(A9="","","    "&amp;A9&amp;" - Release from Mead")</f>
        <v xml:space="preserve">    Mexico - Release from Mead</v>
      </c>
      <c r="C122" s="46">
        <f t="shared" ref="C122:L122" ca="1" si="90">IF(OR(C$28="",$A122=""),"",OFFSET(C$65,8*(ROW(B122)-ROW(B$118)),0))</f>
        <v>0</v>
      </c>
      <c r="D122" s="46" t="str">
        <f t="shared" ca="1" si="90"/>
        <v/>
      </c>
      <c r="E122" s="46" t="str">
        <f t="shared" ca="1" si="90"/>
        <v/>
      </c>
      <c r="F122" s="46" t="str">
        <f t="shared" ca="1" si="90"/>
        <v/>
      </c>
      <c r="G122" s="46" t="str">
        <f t="shared" ca="1" si="90"/>
        <v/>
      </c>
      <c r="H122" s="46" t="str">
        <f t="shared" ca="1" si="90"/>
        <v/>
      </c>
      <c r="I122" s="46" t="str">
        <f t="shared" ca="1" si="90"/>
        <v/>
      </c>
      <c r="J122" s="46" t="str">
        <f t="shared" ca="1" si="90"/>
        <v/>
      </c>
      <c r="K122" s="46" t="str">
        <f t="shared" ca="1" si="90"/>
        <v/>
      </c>
      <c r="L122" s="46" t="str">
        <f t="shared" ca="1" si="90"/>
        <v/>
      </c>
      <c r="N122" s="149"/>
    </row>
    <row r="123" spans="1:14" x14ac:dyDescent="0.35">
      <c r="A123" t="str">
        <f>IF(A10="","","    "&amp;A10&amp;" - Release from Mead")</f>
        <v xml:space="preserve">    Tribal Nations - Release from Mead</v>
      </c>
      <c r="C123" s="46">
        <f t="shared" ref="C123:L123" ca="1" si="91">IF(OR(C$28="",$A123=""),"",OFFSET(C$65,8*(ROW(B123)-ROW(B$118)),0))</f>
        <v>0</v>
      </c>
      <c r="D123" s="46" t="str">
        <f t="shared" ca="1" si="91"/>
        <v/>
      </c>
      <c r="E123" s="46" t="str">
        <f t="shared" ca="1" si="91"/>
        <v/>
      </c>
      <c r="F123" s="46" t="str">
        <f t="shared" ca="1" si="91"/>
        <v/>
      </c>
      <c r="G123" s="46" t="str">
        <f t="shared" ca="1" si="91"/>
        <v/>
      </c>
      <c r="H123" s="46" t="str">
        <f t="shared" ca="1" si="91"/>
        <v/>
      </c>
      <c r="I123" s="46" t="str">
        <f t="shared" ca="1" si="91"/>
        <v/>
      </c>
      <c r="J123" s="46" t="str">
        <f t="shared" ca="1" si="91"/>
        <v/>
      </c>
      <c r="K123" s="46" t="str">
        <f t="shared" ca="1" si="91"/>
        <v/>
      </c>
      <c r="L123" s="46" t="str">
        <f t="shared" ca="1" si="91"/>
        <v/>
      </c>
      <c r="N123" s="149"/>
    </row>
    <row r="124" spans="1:14" x14ac:dyDescent="0.35">
      <c r="A124" s="1" t="s">
        <v>90</v>
      </c>
      <c r="B124" s="1"/>
      <c r="D124" s="2"/>
      <c r="E124" s="2"/>
      <c r="F124" s="2"/>
      <c r="G124" s="2"/>
      <c r="H124" s="2"/>
      <c r="I124" s="2"/>
      <c r="J124" s="2"/>
      <c r="K124" s="2"/>
      <c r="L124" s="2"/>
      <c r="N124" s="149"/>
    </row>
    <row r="125" spans="1:14" x14ac:dyDescent="0.35">
      <c r="A125" t="str">
        <f t="shared" ref="A125:A130" si="92">IF(A5="","","    "&amp;A5)</f>
        <v xml:space="preserve">    Reclamation - Protect Zone</v>
      </c>
      <c r="C125" s="46">
        <f t="shared" ref="C125:L125" ca="1" si="93">IF(OR(C$28="",$A125=""),"",OFFSET(C$66,8*(ROW(B125)-ROW(B$125)),0))</f>
        <v>4.7610489999999999</v>
      </c>
      <c r="D125" s="46" t="str">
        <f t="shared" ca="1" si="93"/>
        <v/>
      </c>
      <c r="E125" s="46" t="str">
        <f t="shared" ca="1" si="93"/>
        <v/>
      </c>
      <c r="F125" s="46" t="str">
        <f t="shared" ca="1" si="93"/>
        <v/>
      </c>
      <c r="G125" s="46" t="str">
        <f t="shared" ca="1" si="93"/>
        <v/>
      </c>
      <c r="H125" s="46" t="str">
        <f t="shared" ca="1" si="93"/>
        <v/>
      </c>
      <c r="I125" s="46" t="str">
        <f t="shared" ca="1" si="93"/>
        <v/>
      </c>
      <c r="J125" s="46" t="str">
        <f t="shared" ca="1" si="93"/>
        <v/>
      </c>
      <c r="K125" s="46" t="str">
        <f t="shared" ca="1" si="93"/>
        <v/>
      </c>
      <c r="L125" s="46" t="str">
        <f t="shared" ca="1" si="93"/>
        <v/>
      </c>
      <c r="N125" s="149"/>
    </row>
    <row r="126" spans="1:14" x14ac:dyDescent="0.35">
      <c r="A126" t="str">
        <f t="shared" si="92"/>
        <v xml:space="preserve">    California</v>
      </c>
      <c r="C126" s="46">
        <f t="shared" ref="C126:L126" ca="1" si="94">IF(OR(C$28="",$A126=""),"",OFFSET(C$66,8*(ROW(B126)-ROW(B$125)),0))</f>
        <v>2.1313189655593479</v>
      </c>
      <c r="D126" s="46" t="str">
        <f t="shared" ca="1" si="94"/>
        <v/>
      </c>
      <c r="E126" s="46" t="str">
        <f t="shared" ca="1" si="94"/>
        <v/>
      </c>
      <c r="F126" s="46" t="str">
        <f t="shared" ca="1" si="94"/>
        <v/>
      </c>
      <c r="G126" s="46" t="str">
        <f t="shared" ca="1" si="94"/>
        <v/>
      </c>
      <c r="H126" s="46" t="str">
        <f t="shared" ca="1" si="94"/>
        <v/>
      </c>
      <c r="I126" s="46" t="str">
        <f t="shared" ca="1" si="94"/>
        <v/>
      </c>
      <c r="J126" s="46" t="str">
        <f t="shared" ca="1" si="94"/>
        <v/>
      </c>
      <c r="K126" s="46" t="str">
        <f t="shared" ca="1" si="94"/>
        <v/>
      </c>
      <c r="L126" s="46" t="str">
        <f t="shared" ca="1" si="94"/>
        <v/>
      </c>
      <c r="N126" s="149"/>
    </row>
    <row r="127" spans="1:14" x14ac:dyDescent="0.35">
      <c r="A127" t="str">
        <f t="shared" si="92"/>
        <v xml:space="preserve">    Arizona</v>
      </c>
      <c r="C127" s="46">
        <f t="shared" ref="C127:L127" ca="1" si="95">IF(OR(C$28="",$A127=""),"",OFFSET(C$66,8*(ROW(B127)-ROW(B$125)),0))</f>
        <v>1.9776405750566926</v>
      </c>
      <c r="D127" s="46" t="str">
        <f t="shared" ca="1" si="95"/>
        <v/>
      </c>
      <c r="E127" s="46" t="str">
        <f t="shared" ca="1" si="95"/>
        <v/>
      </c>
      <c r="F127" s="46" t="str">
        <f t="shared" ca="1" si="95"/>
        <v/>
      </c>
      <c r="G127" s="46" t="str">
        <f t="shared" ca="1" si="95"/>
        <v/>
      </c>
      <c r="H127" s="46" t="str">
        <f t="shared" ca="1" si="95"/>
        <v/>
      </c>
      <c r="I127" s="46" t="str">
        <f t="shared" ca="1" si="95"/>
        <v/>
      </c>
      <c r="J127" s="46" t="str">
        <f t="shared" ca="1" si="95"/>
        <v/>
      </c>
      <c r="K127" s="46" t="str">
        <f t="shared" ca="1" si="95"/>
        <v/>
      </c>
      <c r="L127" s="46" t="str">
        <f t="shared" ca="1" si="95"/>
        <v/>
      </c>
      <c r="N127" s="149"/>
    </row>
    <row r="128" spans="1:14" x14ac:dyDescent="0.35">
      <c r="A128" t="str">
        <f t="shared" si="92"/>
        <v xml:space="preserve">    Nevada</v>
      </c>
      <c r="C128" s="46">
        <f t="shared" ref="C128:L128" ca="1" si="96">IF(OR(C$28="",$A128=""),"",OFFSET(C$66,8*(ROW(B128)-ROW(B$125)),0))</f>
        <v>0.93719855499948723</v>
      </c>
      <c r="D128" s="46" t="str">
        <f t="shared" ca="1" si="96"/>
        <v/>
      </c>
      <c r="E128" s="46" t="str">
        <f t="shared" ca="1" si="96"/>
        <v/>
      </c>
      <c r="F128" s="46" t="str">
        <f t="shared" ca="1" si="96"/>
        <v/>
      </c>
      <c r="G128" s="46" t="str">
        <f t="shared" ca="1" si="96"/>
        <v/>
      </c>
      <c r="H128" s="46" t="str">
        <f t="shared" ca="1" si="96"/>
        <v/>
      </c>
      <c r="I128" s="46" t="str">
        <f t="shared" ca="1" si="96"/>
        <v/>
      </c>
      <c r="J128" s="46" t="str">
        <f t="shared" ca="1" si="96"/>
        <v/>
      </c>
      <c r="K128" s="46" t="str">
        <f t="shared" ca="1" si="96"/>
        <v/>
      </c>
      <c r="L128" s="46" t="str">
        <f t="shared" ca="1" si="96"/>
        <v/>
      </c>
      <c r="N128" s="149"/>
    </row>
    <row r="129" spans="1:14" x14ac:dyDescent="0.35">
      <c r="A129" t="str">
        <f t="shared" si="92"/>
        <v xml:space="preserve">    Mexico</v>
      </c>
      <c r="C129" s="46">
        <f t="shared" ref="C129:L129" ca="1" si="97">IF(OR(C$28="",$A129=""),"",OFFSET(C$66,8*(ROW(B129)-ROW(B$125)),0))</f>
        <v>0.36665037160411446</v>
      </c>
      <c r="D129" s="46" t="str">
        <f t="shared" ca="1" si="97"/>
        <v/>
      </c>
      <c r="E129" s="46" t="str">
        <f t="shared" ca="1" si="97"/>
        <v/>
      </c>
      <c r="F129" s="46" t="str">
        <f t="shared" ca="1" si="97"/>
        <v/>
      </c>
      <c r="G129" s="46" t="str">
        <f t="shared" ca="1" si="97"/>
        <v/>
      </c>
      <c r="H129" s="46" t="str">
        <f t="shared" ca="1" si="97"/>
        <v/>
      </c>
      <c r="I129" s="46" t="str">
        <f t="shared" ca="1" si="97"/>
        <v/>
      </c>
      <c r="J129" s="46" t="str">
        <f t="shared" ca="1" si="97"/>
        <v/>
      </c>
      <c r="K129" s="46" t="str">
        <f t="shared" ca="1" si="97"/>
        <v/>
      </c>
      <c r="L129" s="46" t="str">
        <f t="shared" ca="1" si="97"/>
        <v/>
      </c>
      <c r="N129" s="149"/>
    </row>
    <row r="130" spans="1:14" x14ac:dyDescent="0.35">
      <c r="A130" t="str">
        <f t="shared" si="92"/>
        <v xml:space="preserve">    Tribal Nations</v>
      </c>
      <c r="C130" s="46">
        <f t="shared" ref="C130:L130" ca="1" si="98">IF(OR(C$28="",$A130=""),"",OFFSET(C$66,8*(ROW(B130)-ROW(B$125)),0))</f>
        <v>0.20404899997000125</v>
      </c>
      <c r="D130" s="46" t="str">
        <f t="shared" ca="1" si="98"/>
        <v/>
      </c>
      <c r="E130" s="46" t="str">
        <f t="shared" ca="1" si="98"/>
        <v/>
      </c>
      <c r="F130" s="46" t="str">
        <f t="shared" ca="1" si="98"/>
        <v/>
      </c>
      <c r="G130" s="46" t="str">
        <f t="shared" ca="1" si="98"/>
        <v/>
      </c>
      <c r="H130" s="46" t="str">
        <f t="shared" ca="1" si="98"/>
        <v/>
      </c>
      <c r="I130" s="46" t="str">
        <f t="shared" ca="1" si="98"/>
        <v/>
      </c>
      <c r="J130" s="46" t="str">
        <f t="shared" ca="1" si="98"/>
        <v/>
      </c>
      <c r="K130" s="46" t="str">
        <f t="shared" ca="1" si="98"/>
        <v/>
      </c>
      <c r="L130" s="46" t="str">
        <f t="shared" ca="1" si="98"/>
        <v/>
      </c>
      <c r="N130" s="149"/>
    </row>
    <row r="131" spans="1:14" x14ac:dyDescent="0.35">
      <c r="A131" s="1" t="s">
        <v>176</v>
      </c>
      <c r="B131" s="1"/>
      <c r="C131" s="13">
        <f ca="1">IF(C$28&lt;&gt;"",SUM(C125:C130),"")</f>
        <v>10.377906467189643</v>
      </c>
      <c r="D131" s="13" t="str">
        <f t="shared" ref="D131:L131" si="99">IF(D$28&lt;&gt;"",SUM(D125:D130),"")</f>
        <v/>
      </c>
      <c r="E131" s="13" t="str">
        <f t="shared" si="99"/>
        <v/>
      </c>
      <c r="F131" s="13" t="str">
        <f t="shared" si="99"/>
        <v/>
      </c>
      <c r="G131" s="13" t="str">
        <f t="shared" si="99"/>
        <v/>
      </c>
      <c r="H131" s="13" t="str">
        <f t="shared" si="99"/>
        <v/>
      </c>
      <c r="I131" s="13" t="str">
        <f t="shared" si="99"/>
        <v/>
      </c>
      <c r="J131" s="13" t="str">
        <f t="shared" si="99"/>
        <v/>
      </c>
      <c r="K131" s="13" t="str">
        <f t="shared" si="99"/>
        <v/>
      </c>
      <c r="L131" s="13" t="str">
        <f t="shared" si="99"/>
        <v/>
      </c>
      <c r="N131" s="148" t="s">
        <v>237</v>
      </c>
    </row>
    <row r="132" spans="1:14" ht="29.5" customHeight="1" x14ac:dyDescent="0.35">
      <c r="A132" s="241" t="s">
        <v>210</v>
      </c>
      <c r="B132" s="242"/>
      <c r="C132" s="133">
        <v>0.5</v>
      </c>
      <c r="D132" s="133">
        <v>0.5</v>
      </c>
      <c r="E132" s="133"/>
      <c r="F132" s="133"/>
      <c r="G132" s="133"/>
      <c r="H132" s="133"/>
      <c r="I132" s="133"/>
      <c r="J132" s="133"/>
      <c r="K132" s="133"/>
      <c r="L132" s="133"/>
      <c r="N132" s="146" t="s">
        <v>238</v>
      </c>
    </row>
    <row r="133" spans="1:14" x14ac:dyDescent="0.35">
      <c r="A133" s="1" t="s">
        <v>184</v>
      </c>
      <c r="B133" s="1"/>
      <c r="C133" s="13">
        <f ca="1">IF(C28="","",C$132*C$131)</f>
        <v>5.1889532335948214</v>
      </c>
      <c r="D133" s="13" t="str">
        <f t="shared" ref="D133:L133" si="100">IF(D28="","",D$132*D$131)</f>
        <v/>
      </c>
      <c r="E133" s="13" t="str">
        <f t="shared" si="100"/>
        <v/>
      </c>
      <c r="F133" s="13" t="str">
        <f t="shared" si="100"/>
        <v/>
      </c>
      <c r="G133" s="13" t="str">
        <f t="shared" si="100"/>
        <v/>
      </c>
      <c r="H133" s="13" t="str">
        <f t="shared" si="100"/>
        <v/>
      </c>
      <c r="I133" s="13" t="str">
        <f t="shared" si="100"/>
        <v/>
      </c>
      <c r="J133" s="13" t="str">
        <f t="shared" si="100"/>
        <v/>
      </c>
      <c r="K133" s="13" t="str">
        <f t="shared" si="100"/>
        <v/>
      </c>
      <c r="L133" s="13" t="str">
        <f t="shared" si="100"/>
        <v/>
      </c>
      <c r="N133" s="148" t="s">
        <v>249</v>
      </c>
    </row>
    <row r="134" spans="1:14" x14ac:dyDescent="0.35">
      <c r="A134" s="1" t="s">
        <v>185</v>
      </c>
      <c r="B134" s="1"/>
      <c r="C134" s="13">
        <f ca="1">IF(C29="","",(1-C$132)*C$131)</f>
        <v>5.1889532335948214</v>
      </c>
      <c r="D134" s="13" t="str">
        <f t="shared" ref="D134:L134" si="101">IF(D29="","",(1-D$132)*D$131)</f>
        <v/>
      </c>
      <c r="E134" s="13" t="str">
        <f t="shared" si="101"/>
        <v/>
      </c>
      <c r="F134" s="13" t="str">
        <f t="shared" si="101"/>
        <v/>
      </c>
      <c r="G134" s="13" t="str">
        <f t="shared" si="101"/>
        <v/>
      </c>
      <c r="H134" s="13" t="str">
        <f t="shared" si="101"/>
        <v/>
      </c>
      <c r="I134" s="13" t="str">
        <f t="shared" si="101"/>
        <v/>
      </c>
      <c r="J134" s="13" t="str">
        <f t="shared" si="101"/>
        <v/>
      </c>
      <c r="K134" s="13" t="str">
        <f t="shared" si="101"/>
        <v/>
      </c>
      <c r="L134" s="13" t="str">
        <f t="shared" si="101"/>
        <v/>
      </c>
      <c r="N134" s="148" t="s">
        <v>249</v>
      </c>
    </row>
    <row r="135" spans="1:14" x14ac:dyDescent="0.35">
      <c r="A135" t="s">
        <v>135</v>
      </c>
      <c r="B135" s="1"/>
      <c r="C135" s="60">
        <f ca="1">IF(C$28&lt;&gt;"",VLOOKUP(C133*1000000,'Powell-Elevation-Area'!$B$5:$H$689,7),"")</f>
        <v>3512.5</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249</v>
      </c>
    </row>
    <row r="136" spans="1:14" x14ac:dyDescent="0.35">
      <c r="A136" t="s">
        <v>136</v>
      </c>
      <c r="B136" s="1"/>
      <c r="C136" s="60">
        <f ca="1">IF(C$28&lt;&gt;"",VLOOKUP(C134*1000000,'Mead-Elevation-Area'!$B$5:$H$689,7),"")</f>
        <v>1012</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249</v>
      </c>
    </row>
    <row r="137" spans="1:14" x14ac:dyDescent="0.35">
      <c r="A137" s="1" t="s">
        <v>186</v>
      </c>
      <c r="B137" s="1"/>
      <c r="N137" s="148" t="s">
        <v>239</v>
      </c>
    </row>
    <row r="138" spans="1:14" x14ac:dyDescent="0.35">
      <c r="A138" t="s">
        <v>187</v>
      </c>
      <c r="B138" s="1"/>
      <c r="C138" s="13">
        <f ca="1">IF(C$28&lt;&gt;"",-C133+C40+C28-C65-VLOOKUP(C40*1000000,'Powell-Elevation-Area'!$B$5:$D$689,3)*$B$18/1000000,"")</f>
        <v>1065.0310467664051</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240</v>
      </c>
    </row>
    <row r="139" spans="1:14" x14ac:dyDescent="0.35">
      <c r="A139" t="s">
        <v>177</v>
      </c>
      <c r="B139" s="1"/>
      <c r="C139" s="60" t="str">
        <f ca="1">IF(C$28&lt;&gt;"",VLOOKUP(C135,PowellReleaseTemperature!$A$5:$B$11,2),"")</f>
        <v>&gt; 18</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241</v>
      </c>
    </row>
    <row r="140" spans="1:14" s="62" customFormat="1" ht="62.5" customHeight="1" x14ac:dyDescent="0.35">
      <c r="A140" s="62" t="s">
        <v>178</v>
      </c>
      <c r="B140" s="61"/>
      <c r="C140" s="90" t="str">
        <f ca="1">IF(C$28&lt;&gt;"",VLOOKUP(C$135,PowellReleaseTemperature!$A$5:$E$11,5),"")</f>
        <v>Highly uncertain</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243</v>
      </c>
    </row>
    <row r="141" spans="1:14" s="62" customFormat="1" ht="32.15" customHeight="1" x14ac:dyDescent="0.35">
      <c r="A141" s="62" t="s">
        <v>160</v>
      </c>
      <c r="B141" s="61"/>
      <c r="C141" s="90" t="str">
        <f ca="1">IF(C$28&lt;&gt;"",VLOOKUP(C$135,PowellReleaseTemperature!$A$5:$F$11,6),"")</f>
        <v>Unsuitable</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242</v>
      </c>
    </row>
    <row r="142" spans="1:14" x14ac:dyDescent="0.35">
      <c r="A142" s="131" t="s">
        <v>211</v>
      </c>
      <c r="C142" s="19"/>
      <c r="N142" s="148" t="s">
        <v>244</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C65">
    <cfRule type="cellIs" dxfId="99" priority="18" operator="greaterThan">
      <formula>$C$64</formula>
    </cfRule>
  </conditionalFormatting>
  <conditionalFormatting sqref="C73">
    <cfRule type="cellIs" dxfId="98" priority="10" operator="greaterThan">
      <formula>$C$72</formula>
    </cfRule>
  </conditionalFormatting>
  <conditionalFormatting sqref="C81">
    <cfRule type="cellIs" dxfId="97" priority="5" operator="greaterThan">
      <formula>$C$80</formula>
    </cfRule>
  </conditionalFormatting>
  <conditionalFormatting sqref="C97">
    <cfRule type="cellIs" dxfId="96" priority="52" operator="greaterThan">
      <formula>$C$96</formula>
    </cfRule>
  </conditionalFormatting>
  <conditionalFormatting sqref="C105">
    <cfRule type="cellIs" dxfId="95" priority="42" operator="greaterThan">
      <formula>$C$104</formula>
    </cfRule>
  </conditionalFormatting>
  <conditionalFormatting sqref="C89:L89">
    <cfRule type="cellIs" dxfId="94" priority="53" operator="greaterThan">
      <formula>$C$88</formula>
    </cfRule>
  </conditionalFormatting>
  <conditionalFormatting sqref="D65">
    <cfRule type="cellIs" dxfId="82" priority="20" operator="greaterThan">
      <formula>$D$64</formula>
    </cfRule>
  </conditionalFormatting>
  <conditionalFormatting sqref="D73">
    <cfRule type="cellIs" dxfId="81" priority="9" operator="greaterThan">
      <formula>$D$72</formula>
    </cfRule>
  </conditionalFormatting>
  <conditionalFormatting sqref="D81">
    <cfRule type="cellIs" dxfId="80" priority="4" operator="greaterThan">
      <formula>$D$80</formula>
    </cfRule>
  </conditionalFormatting>
  <conditionalFormatting sqref="D97">
    <cfRule type="cellIs" dxfId="79" priority="51" operator="greaterThan">
      <formula>$D$96</formula>
    </cfRule>
  </conditionalFormatting>
  <conditionalFormatting sqref="D105">
    <cfRule type="cellIs" dxfId="78" priority="41" operator="greaterThan">
      <formula>$D$104</formula>
    </cfRule>
  </conditionalFormatting>
  <conditionalFormatting sqref="E65">
    <cfRule type="cellIs" dxfId="77" priority="16" operator="greaterThan">
      <formula>$E$64</formula>
    </cfRule>
  </conditionalFormatting>
  <conditionalFormatting sqref="E73">
    <cfRule type="cellIs" dxfId="76" priority="8" operator="greaterThan">
      <formula>$E$72</formula>
    </cfRule>
  </conditionalFormatting>
  <conditionalFormatting sqref="E81">
    <cfRule type="cellIs" dxfId="75" priority="3" operator="greaterThan">
      <formula>$E$80</formula>
    </cfRule>
  </conditionalFormatting>
  <conditionalFormatting sqref="E97">
    <cfRule type="cellIs" dxfId="74" priority="50" operator="greaterThan">
      <formula>$E$96</formula>
    </cfRule>
  </conditionalFormatting>
  <conditionalFormatting sqref="E105">
    <cfRule type="cellIs" dxfId="73" priority="40" operator="greaterThan">
      <formula>$E$104</formula>
    </cfRule>
  </conditionalFormatting>
  <conditionalFormatting sqref="F65">
    <cfRule type="cellIs" dxfId="72" priority="15" operator="greaterThan">
      <formula>$F$64</formula>
    </cfRule>
  </conditionalFormatting>
  <conditionalFormatting sqref="F73">
    <cfRule type="cellIs" dxfId="71" priority="7" operator="greaterThan">
      <formula>$F$72</formula>
    </cfRule>
  </conditionalFormatting>
  <conditionalFormatting sqref="F81">
    <cfRule type="cellIs" dxfId="70" priority="2" operator="greaterThan">
      <formula>$F$80</formula>
    </cfRule>
  </conditionalFormatting>
  <conditionalFormatting sqref="F97">
    <cfRule type="cellIs" dxfId="69" priority="49" operator="greaterThan">
      <formula>$F$96</formula>
    </cfRule>
  </conditionalFormatting>
  <conditionalFormatting sqref="F105">
    <cfRule type="cellIs" dxfId="68" priority="39" operator="greaterThan">
      <formula>$F$104</formula>
    </cfRule>
  </conditionalFormatting>
  <conditionalFormatting sqref="G65">
    <cfRule type="cellIs" dxfId="67" priority="14" operator="greaterThan">
      <formula>$G$64</formula>
    </cfRule>
  </conditionalFormatting>
  <conditionalFormatting sqref="G73">
    <cfRule type="cellIs" dxfId="66" priority="6" operator="greaterThan">
      <formula>$G$72</formula>
    </cfRule>
  </conditionalFormatting>
  <conditionalFormatting sqref="G81">
    <cfRule type="cellIs" dxfId="65" priority="1" operator="greaterThan">
      <formula>$G$80</formula>
    </cfRule>
  </conditionalFormatting>
  <conditionalFormatting sqref="G97">
    <cfRule type="cellIs" dxfId="64" priority="48" operator="greaterThan">
      <formula>$G$96</formula>
    </cfRule>
  </conditionalFormatting>
  <conditionalFormatting sqref="G105">
    <cfRule type="cellIs" dxfId="63" priority="38" operator="greaterThan">
      <formula>$G$104</formula>
    </cfRule>
  </conditionalFormatting>
  <conditionalFormatting sqref="H65">
    <cfRule type="cellIs" dxfId="62" priority="85" operator="greaterThan">
      <formula>$H$64</formula>
    </cfRule>
  </conditionalFormatting>
  <conditionalFormatting sqref="H73">
    <cfRule type="cellIs" dxfId="61" priority="68" operator="greaterThan">
      <formula>$H$72</formula>
    </cfRule>
  </conditionalFormatting>
  <conditionalFormatting sqref="H81">
    <cfRule type="cellIs" dxfId="60" priority="58" operator="greaterThan">
      <formula>$H$80</formula>
    </cfRule>
  </conditionalFormatting>
  <conditionalFormatting sqref="H97">
    <cfRule type="cellIs" dxfId="59" priority="47" operator="greaterThan">
      <formula>$H$96</formula>
    </cfRule>
  </conditionalFormatting>
  <conditionalFormatting sqref="H105">
    <cfRule type="cellIs" dxfId="58" priority="37" operator="greaterThan">
      <formula>$H$104</formula>
    </cfRule>
  </conditionalFormatting>
  <conditionalFormatting sqref="I65">
    <cfRule type="cellIs" dxfId="57" priority="84" operator="greaterThan">
      <formula>$I$64</formula>
    </cfRule>
  </conditionalFormatting>
  <conditionalFormatting sqref="I73">
    <cfRule type="cellIs" dxfId="56" priority="67" operator="greaterThan">
      <formula>$I$72</formula>
    </cfRule>
  </conditionalFormatting>
  <conditionalFormatting sqref="I81">
    <cfRule type="cellIs" dxfId="55" priority="57" operator="greaterThan">
      <formula>$I$80</formula>
    </cfRule>
  </conditionalFormatting>
  <conditionalFormatting sqref="I97">
    <cfRule type="cellIs" dxfId="54" priority="46" operator="greaterThan">
      <formula>$I$96</formula>
    </cfRule>
  </conditionalFormatting>
  <conditionalFormatting sqref="I105">
    <cfRule type="cellIs" dxfId="53" priority="36" operator="greaterThan">
      <formula>$I$104</formula>
    </cfRule>
  </conditionalFormatting>
  <conditionalFormatting sqref="J65">
    <cfRule type="cellIs" dxfId="52" priority="83" operator="greaterThan">
      <formula>$J$64</formula>
    </cfRule>
  </conditionalFormatting>
  <conditionalFormatting sqref="J73">
    <cfRule type="cellIs" dxfId="51" priority="66" operator="greaterThan">
      <formula>$J$72</formula>
    </cfRule>
  </conditionalFormatting>
  <conditionalFormatting sqref="J81">
    <cfRule type="cellIs" dxfId="50" priority="56" operator="greaterThan">
      <formula>$J$80</formula>
    </cfRule>
  </conditionalFormatting>
  <conditionalFormatting sqref="J97">
    <cfRule type="cellIs" dxfId="49" priority="45" operator="greaterThan">
      <formula>$J$96</formula>
    </cfRule>
  </conditionalFormatting>
  <conditionalFormatting sqref="J105">
    <cfRule type="cellIs" dxfId="48" priority="35" operator="greaterThan">
      <formula>$J$104</formula>
    </cfRule>
  </conditionalFormatting>
  <conditionalFormatting sqref="K65">
    <cfRule type="cellIs" dxfId="47" priority="82" operator="greaterThan">
      <formula>$K$64</formula>
    </cfRule>
  </conditionalFormatting>
  <conditionalFormatting sqref="K73">
    <cfRule type="cellIs" dxfId="46" priority="65" operator="greaterThan">
      <formula>$K$72</formula>
    </cfRule>
  </conditionalFormatting>
  <conditionalFormatting sqref="K81">
    <cfRule type="cellIs" dxfId="45" priority="55" operator="greaterThan">
      <formula>$K$80</formula>
    </cfRule>
  </conditionalFormatting>
  <conditionalFormatting sqref="K97">
    <cfRule type="cellIs" dxfId="44" priority="44" operator="greaterThan">
      <formula>$K$96</formula>
    </cfRule>
  </conditionalFormatting>
  <conditionalFormatting sqref="K105">
    <cfRule type="cellIs" dxfId="43" priority="34" operator="greaterThan">
      <formula>$K$104</formula>
    </cfRule>
  </conditionalFormatting>
  <conditionalFormatting sqref="L65">
    <cfRule type="cellIs" dxfId="42" priority="81" operator="greaterThan">
      <formula>$L$64</formula>
    </cfRule>
  </conditionalFormatting>
  <conditionalFormatting sqref="L73">
    <cfRule type="cellIs" dxfId="41" priority="64" operator="greaterThan">
      <formula>$L$72</formula>
    </cfRule>
  </conditionalFormatting>
  <conditionalFormatting sqref="L81">
    <cfRule type="cellIs" dxfId="40" priority="54" operator="greaterThan">
      <formula>$L$80</formula>
    </cfRule>
  </conditionalFormatting>
  <conditionalFormatting sqref="L97">
    <cfRule type="cellIs" dxfId="39" priority="43" operator="greaterThan">
      <formula>$L$96</formula>
    </cfRule>
  </conditionalFormatting>
  <conditionalFormatting sqref="L105">
    <cfRule type="cellIs" dxfId="38" priority="33" operator="greaterThan">
      <formula>$L$104</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account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accounts" xr:uid="{63C31A0C-C046-4C6B-B63E-AA3031EC5E49}"/>
    <hyperlink ref="N60" r:id="rId20" location="step-5-participant-dashboards--conserve-consume-and-trade" xr:uid="{E1DA626C-61A5-4CB7-94B9-52C34A1556D5}"/>
    <hyperlink ref="N62" r:id="rId21" location="ii-compensation" xr:uid="{19918E71-71AD-4C9C-BB3F-A5AF3D55F1D7}"/>
    <hyperlink ref="N63" r:id="rId22" location="iii-net-trade-volume-all-participants" xr:uid="{3E7AF6CA-1278-4129-B9E4-725FD18D820D}"/>
    <hyperlink ref="N64" r:id="rId23" location="iv-available-water" xr:uid="{4566CC8F-1D0F-43BA-BAD8-C66179151606}"/>
    <hyperlink ref="N65" r:id="rId24" location="v-enter-withdraw-within-available-water" display="Help withdraw" xr:uid="{FA435611-F017-4A4C-84C0-3BC240C90BC3}"/>
    <hyperlink ref="N66" r:id="rId25" location="vi-end-of-year-balance" xr:uid="{43A45EF2-1AE7-497D-9090-A6710371091B}"/>
    <hyperlink ref="N100" r:id="rId26" location="5a-shared-reserve-dashboard" display="Help shared, reserve" xr:uid="{93564FFE-2F11-4E1B-8E30-F04D091042B0}"/>
    <hyperlink ref="N108" r:id="rId27" location="step-6-summary-of-participant-actions" xr:uid="{39E9E91B-EE9B-4603-9A19-992E43688C4C}"/>
    <hyperlink ref="N131" r:id="rId28" location="6a-combined-storage--end-of-year" xr:uid="{18709FDC-6FB8-4FF1-82C7-3E0140C4C207}"/>
    <hyperlink ref="N132" r:id="rId29" location="step-7-assign-combined-storage-to-powell-and-mead" xr:uid="{1164B6D2-F3C8-48D1-8657-5BD58376EED3}"/>
    <hyperlink ref="N133" r:id="rId30" location="i-powell-and-mead-storage-volumes-and-levels" display="Help Powell and Mead storage and elevations" xr:uid="{4636EBE2-023F-463E-9564-041FE5D1FB21}"/>
    <hyperlink ref="N137" r:id="rId31" location="i-preserve-status-quo-for-endangered-native-fish-of-the-grand-canyon" xr:uid="{5A416EE1-639F-4706-BDF3-96F9482C4BC5}"/>
    <hyperlink ref="N138" r:id="rId32" location="ii-lake-powell-release-to-achieve-powell-and-mead-storage-volumes" xr:uid="{482E502E-E60E-4E4B-A4B2-1E010E299F6C}"/>
    <hyperlink ref="N139" r:id="rId33" location="iii-turbine-release-water-temperature" xr:uid="{897F93B4-0984-4DB9-BB8E-3B21D59DF5A6}"/>
    <hyperlink ref="N140" r:id="rId34" location="iv-suitability-for-native-endangered-fish-of-the-grand-canyon" xr:uid="{FDE7C974-7C24-48F6-95FB-E499A8975C43}"/>
    <hyperlink ref="N141" r:id="rId35" location="v-suitability-for-tailwater-trout" xr:uid="{8B78A0E8-F6F5-43CC-A282-5E047FD31D73}"/>
    <hyperlink ref="N142" r:id="rId36" location="step-8-move-to-next-year" xr:uid="{0D1EBCA9-BE7F-441F-A17C-5330CFCE7596}"/>
    <hyperlink ref="N134:N136" r:id="rId37" location="i-powell-and-mead-storage-volumes-and-levels" display="Help Powell and Mead storage and elevations" xr:uid="{ACE27804-9D71-4CD5-9E0E-7E93A66F9F16}"/>
    <hyperlink ref="N76" r:id="rId38" location="step-5-player-dashboards--conserve-consume-and-trade" xr:uid="{115088D1-B3CF-4D72-A6D6-92770E18F116}"/>
    <hyperlink ref="N77" r:id="rId39" location="i-buy-or-sell-water-from-other-players" xr:uid="{D5A878F8-1AB0-4367-BFA6-4F25001F73AD}"/>
    <hyperlink ref="N78" r:id="rId40" location="ii-compensation" xr:uid="{74477D73-291E-4A7F-86F2-C21A0DF60CEA}"/>
    <hyperlink ref="N80" r:id="rId41" location="iv-available-water" xr:uid="{096A8B03-D32B-4628-BC3E-B3E64954FA42}"/>
    <hyperlink ref="N81" r:id="rId42" location="v-enter-withdraw-within-available-water" display="Help withdraw" xr:uid="{4ED17C45-EBF9-4C45-9229-5218A5ECD61F}"/>
    <hyperlink ref="N82" r:id="rId43" location="vi-end-of-year-balance" xr:uid="{C6E40832-042B-43D8-90B9-CD82703389C7}"/>
    <hyperlink ref="N25" r:id="rId44" location="upper-basin-pre-1922-water-rights" xr:uid="{25504FB1-E197-4C3D-945D-5BDD83C2C59E}"/>
    <hyperlink ref="N61" r:id="rId45" location="i-buy-or-sell-water-from-other-participantss" xr:uid="{D2AC05B4-FD61-425B-9046-D87C8AAAAEA0}"/>
    <hyperlink ref="N68" r:id="rId46" location="step-5-participant-dashboards--conserve-consume-and-trade" xr:uid="{D67E6EF8-391E-4D21-9E33-260AECB2DB20}"/>
    <hyperlink ref="N70" r:id="rId47" location="ii-compensation" xr:uid="{5D3E22F6-98D1-4F8D-AC9B-79BC60BD9D4C}"/>
    <hyperlink ref="N71" r:id="rId48" location="iii-net-trade-volume-all-participants" xr:uid="{E4C097D5-D12A-4D05-9CB5-F12180A8841F}"/>
    <hyperlink ref="N72" r:id="rId49" location="iv-available-water" xr:uid="{92A2BD5E-9234-4CDA-B631-2F26F1EDA2F6}"/>
    <hyperlink ref="N73" r:id="rId50" location="v-enter-withdraw-within-available-water" display="Help withdraw" xr:uid="{D566555A-5FE4-4D77-A91F-AB8CA37C5882}"/>
    <hyperlink ref="N74" r:id="rId51" location="vi-end-of-year-balance" xr:uid="{43994CDC-2740-40CF-8975-5A1D654DE92E}"/>
    <hyperlink ref="N69" r:id="rId52" location="i-buy-or-sell-water-from-other-participantss" xr:uid="{99CA01B4-F83D-4392-BFD6-E3696F3B060F}"/>
    <hyperlink ref="N79" r:id="rId53" location="iii-net-trade-volume-all-participants" xr:uid="{35106ED0-ED39-4B94-A4D9-B79EFE11A2E6}"/>
    <hyperlink ref="N84" r:id="rId54" location="step-5-player-dashboards--conserve-consume-and-trade" xr:uid="{AEF1AABF-406E-492C-A9C6-6D4F230E19E9}"/>
    <hyperlink ref="N85" r:id="rId55" location="i-buy-or-sell-water-from-other-players" xr:uid="{A414CAB3-AC71-40F2-BCEE-3B4BD79CCEC2}"/>
    <hyperlink ref="N86" r:id="rId56" location="ii-compensation" xr:uid="{8233903D-3600-4882-9905-8BB60669B1D3}"/>
    <hyperlink ref="N88" r:id="rId57" location="iv-available-water" xr:uid="{BD162207-CEDD-4927-ACFE-B798DB92B590}"/>
    <hyperlink ref="N89" r:id="rId58" location="v-enter-withdraw-within-available-water" display="Help withdraw" xr:uid="{80D88F54-62DF-498A-A03F-9FC4097F6B84}"/>
    <hyperlink ref="N90" r:id="rId59" location="vi-end-of-year-balance" xr:uid="{3C22C7BF-428B-4FE8-9C2E-F555E1D2FB9F}"/>
    <hyperlink ref="N87" r:id="rId60" location="iii-net-trade-volume-all-participants" xr:uid="{4F49F47E-D9E6-4681-A7EF-3B21819F5A2A}"/>
    <hyperlink ref="N92" r:id="rId61" location="step-5-player-dashboards--conserve-consume-and-trade" xr:uid="{0EF1BC22-639A-4CAC-8C5C-1003B2A67B6B}"/>
    <hyperlink ref="N93" r:id="rId62" location="i-buy-or-sell-water-from-other-players" xr:uid="{7B556B5C-2F11-4498-8C4A-C03479306858}"/>
    <hyperlink ref="N94" r:id="rId63" location="ii-compensation" xr:uid="{9ABDDEAE-D66A-426B-9D45-11CC8D3256D9}"/>
    <hyperlink ref="N96" r:id="rId64" location="iv-available-water" xr:uid="{7C9A8246-47D9-49E9-B1F6-3C1231D8F415}"/>
    <hyperlink ref="N97" r:id="rId65" location="v-enter-withdraw-within-available-water" display="Help withdraw" xr:uid="{3ACF8917-D3A9-467E-B1B3-4EFD5F90425B}"/>
    <hyperlink ref="N98" r:id="rId66" location="vi-end-of-year-balance" xr:uid="{64582986-19BE-4DA6-A576-9ED7048A63F6}"/>
    <hyperlink ref="N95" r:id="rId67"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4" t="str">
        <f>'ReadMe-Directions'!A1</f>
        <v>Colorado River Basin Accounts: Provoke discussion about more adaptive operations</v>
      </c>
      <c r="B1" s="234"/>
      <c r="C1" s="234"/>
      <c r="D1" s="234"/>
      <c r="E1" s="234"/>
      <c r="F1" s="234"/>
      <c r="G1" s="234"/>
    </row>
    <row r="2" spans="1:14" x14ac:dyDescent="0.35">
      <c r="A2" s="1" t="s">
        <v>188</v>
      </c>
      <c r="B2" s="1"/>
    </row>
    <row r="3" spans="1:14" ht="32.15" customHeight="1" x14ac:dyDescent="0.35">
      <c r="A3" s="244" t="s">
        <v>300</v>
      </c>
      <c r="B3" s="244"/>
      <c r="C3" s="244"/>
      <c r="D3" s="244"/>
      <c r="E3" s="244"/>
      <c r="F3" s="244"/>
      <c r="G3" s="244"/>
      <c r="H3" s="88"/>
      <c r="I3" s="88"/>
      <c r="J3" s="88"/>
      <c r="K3" s="88"/>
      <c r="N3" s="144" t="s">
        <v>248</v>
      </c>
    </row>
    <row r="4" spans="1:14" x14ac:dyDescent="0.35">
      <c r="A4" s="134" t="s">
        <v>314</v>
      </c>
      <c r="B4" s="134" t="s">
        <v>31</v>
      </c>
      <c r="C4" s="245" t="s">
        <v>32</v>
      </c>
      <c r="D4" s="246"/>
      <c r="E4" s="246"/>
      <c r="F4" s="246"/>
      <c r="G4" s="247"/>
      <c r="N4" s="146" t="s">
        <v>212</v>
      </c>
    </row>
    <row r="5" spans="1:14" x14ac:dyDescent="0.35">
      <c r="A5" s="96" t="str">
        <f>IF(Master!A5="","",Master!A5)</f>
        <v>Reclamation - Protect Zone</v>
      </c>
      <c r="B5" s="120" t="s">
        <v>258</v>
      </c>
      <c r="C5" s="248" t="s">
        <v>259</v>
      </c>
      <c r="D5" s="243"/>
      <c r="E5" s="243"/>
      <c r="F5" s="243"/>
      <c r="G5" s="243"/>
      <c r="N5" s="149"/>
    </row>
    <row r="6" spans="1:14" x14ac:dyDescent="0.35">
      <c r="A6" s="96" t="str">
        <f>IF(Master!A6="","",Master!A6)</f>
        <v>California</v>
      </c>
      <c r="B6" s="120" t="s">
        <v>258</v>
      </c>
      <c r="C6" s="248" t="s">
        <v>259</v>
      </c>
      <c r="D6" s="243"/>
      <c r="E6" s="243"/>
      <c r="F6" s="243"/>
      <c r="G6" s="243"/>
      <c r="N6" s="149"/>
    </row>
    <row r="7" spans="1:14" x14ac:dyDescent="0.35">
      <c r="A7" s="96" t="str">
        <f>IF(Master!A7="","",Master!A7)</f>
        <v>Arizona</v>
      </c>
      <c r="B7" s="120" t="s">
        <v>258</v>
      </c>
      <c r="C7" s="248" t="s">
        <v>259</v>
      </c>
      <c r="D7" s="243"/>
      <c r="E7" s="243"/>
      <c r="F7" s="243"/>
      <c r="G7" s="243"/>
      <c r="N7" s="149"/>
    </row>
    <row r="8" spans="1:14" x14ac:dyDescent="0.35">
      <c r="A8" s="96" t="str">
        <f>IF(Master!A8="","",Master!A8)</f>
        <v>Nevada</v>
      </c>
      <c r="B8" s="120" t="s">
        <v>258</v>
      </c>
      <c r="C8" s="248" t="s">
        <v>259</v>
      </c>
      <c r="D8" s="243"/>
      <c r="E8" s="243"/>
      <c r="F8" s="243"/>
      <c r="G8" s="243"/>
      <c r="N8" s="149"/>
    </row>
    <row r="9" spans="1:14" x14ac:dyDescent="0.35">
      <c r="A9" s="96"/>
      <c r="B9" s="120" t="str">
        <f>IF($A9&lt;&gt;"",B8,"")</f>
        <v/>
      </c>
      <c r="C9" s="256" t="s">
        <v>263</v>
      </c>
      <c r="D9" s="257"/>
      <c r="E9" s="257"/>
      <c r="F9" s="257"/>
      <c r="G9" s="258"/>
      <c r="N9" s="149"/>
    </row>
    <row r="10" spans="1:14" x14ac:dyDescent="0.35">
      <c r="A10" s="121" t="s">
        <v>97</v>
      </c>
      <c r="B10" s="121"/>
      <c r="C10" s="259" t="s">
        <v>260</v>
      </c>
      <c r="D10" s="259"/>
      <c r="E10" s="259"/>
      <c r="F10" s="259"/>
      <c r="G10" s="259"/>
      <c r="N10" s="149"/>
    </row>
    <row r="11" spans="1:14" x14ac:dyDescent="0.35">
      <c r="A11" s="14"/>
      <c r="B11" s="2"/>
      <c r="C11"/>
      <c r="N11" s="149"/>
    </row>
    <row r="12" spans="1:14" x14ac:dyDescent="0.35">
      <c r="A12" s="16" t="s">
        <v>191</v>
      </c>
      <c r="B12" s="250" t="s">
        <v>193</v>
      </c>
      <c r="C12" s="251"/>
      <c r="D12" s="252"/>
      <c r="N12" s="148" t="s">
        <v>213</v>
      </c>
    </row>
    <row r="13" spans="1:14" x14ac:dyDescent="0.35">
      <c r="B13" s="253" t="s">
        <v>298</v>
      </c>
      <c r="C13" s="254"/>
      <c r="D13" s="255"/>
      <c r="N13" s="149"/>
    </row>
    <row r="14" spans="1:14" x14ac:dyDescent="0.35">
      <c r="B14" s="235" t="s">
        <v>299</v>
      </c>
      <c r="C14" s="236"/>
      <c r="D14" s="237"/>
      <c r="N14" s="149"/>
    </row>
    <row r="15" spans="1:14" x14ac:dyDescent="0.35">
      <c r="B15" s="238" t="s">
        <v>33</v>
      </c>
      <c r="C15" s="239"/>
      <c r="D15" s="240"/>
      <c r="N15" s="149"/>
    </row>
    <row r="16" spans="1:14" x14ac:dyDescent="0.35">
      <c r="N16" s="149"/>
    </row>
    <row r="17" spans="1:15" x14ac:dyDescent="0.35">
      <c r="A17" s="1" t="s">
        <v>192</v>
      </c>
      <c r="B17" s="1" t="s">
        <v>81</v>
      </c>
      <c r="C17" s="12" t="s">
        <v>82</v>
      </c>
      <c r="N17" s="148" t="s">
        <v>214</v>
      </c>
    </row>
    <row r="18" spans="1:15" x14ac:dyDescent="0.35">
      <c r="A18" t="s">
        <v>80</v>
      </c>
      <c r="B18" s="116">
        <f>Master!B18</f>
        <v>0</v>
      </c>
      <c r="C18" s="116">
        <f>Master!C18</f>
        <v>6</v>
      </c>
      <c r="D18" s="17"/>
      <c r="N18" s="148" t="s">
        <v>216</v>
      </c>
    </row>
    <row r="19" spans="1:15" x14ac:dyDescent="0.35">
      <c r="A19" t="s">
        <v>209</v>
      </c>
      <c r="B19" s="116">
        <f>Master!B19</f>
        <v>1061.22</v>
      </c>
      <c r="C19" s="116">
        <f>Master!C19</f>
        <v>8.4990979999700009</v>
      </c>
      <c r="D19" s="11" t="str">
        <f>Master!D19</f>
        <v>July 12, 2023 values</v>
      </c>
      <c r="F19" s="136"/>
      <c r="N19" s="148" t="s">
        <v>215</v>
      </c>
    </row>
    <row r="20" spans="1:15" x14ac:dyDescent="0.35">
      <c r="A20" t="s">
        <v>107</v>
      </c>
      <c r="B20" s="167">
        <v>3525</v>
      </c>
      <c r="C20" s="167">
        <v>1020</v>
      </c>
      <c r="D20" s="11"/>
      <c r="N20" s="148" t="s">
        <v>217</v>
      </c>
    </row>
    <row r="21" spans="1:15" x14ac:dyDescent="0.35">
      <c r="A21" t="s">
        <v>104</v>
      </c>
      <c r="B21" s="116">
        <f>VLOOKUP(B20,'Powell-Elevation-Area'!$A$5:$B$689,2)/1000000</f>
        <v>5.9265762500000001</v>
      </c>
      <c r="C21" s="116">
        <f>VLOOKUP(C20,'Mead-Elevation-Area'!$A$5:$B$689,2)/1000000</f>
        <v>5.664593</v>
      </c>
      <c r="D21" s="11"/>
      <c r="E21" s="29"/>
      <c r="N21" s="148" t="s">
        <v>219</v>
      </c>
    </row>
    <row r="22" spans="1:15" x14ac:dyDescent="0.35">
      <c r="A22" t="s">
        <v>203</v>
      </c>
      <c r="B22" s="116">
        <f>Master!B22</f>
        <v>0</v>
      </c>
      <c r="C22"/>
      <c r="D22" s="117"/>
      <c r="E22" s="29"/>
      <c r="N22" s="148" t="s">
        <v>218</v>
      </c>
    </row>
    <row r="23" spans="1:15" x14ac:dyDescent="0.35">
      <c r="A23" t="s">
        <v>204</v>
      </c>
      <c r="B23" s="137">
        <f>Master!B23</f>
        <v>0.17</v>
      </c>
      <c r="C23"/>
      <c r="D23" s="117"/>
      <c r="E23" s="29"/>
      <c r="N23" s="148" t="s">
        <v>220</v>
      </c>
    </row>
    <row r="24" spans="1:15" x14ac:dyDescent="0.35">
      <c r="A24" t="s">
        <v>202</v>
      </c>
      <c r="B24" s="116">
        <f>Master!B24</f>
        <v>82.33</v>
      </c>
      <c r="C24"/>
      <c r="D24" s="117"/>
      <c r="E24" s="29"/>
      <c r="N24" s="148" t="s">
        <v>221</v>
      </c>
    </row>
    <row r="25" spans="1:15" x14ac:dyDescent="0.35">
      <c r="A25" t="s">
        <v>252</v>
      </c>
      <c r="B25" s="116">
        <f>Master!B25</f>
        <v>1.2399999999999998</v>
      </c>
      <c r="C25"/>
      <c r="D25" s="117"/>
      <c r="E25" s="29"/>
      <c r="N25" s="148" t="s">
        <v>255</v>
      </c>
    </row>
    <row r="26" spans="1:15" x14ac:dyDescent="0.35">
      <c r="B26" s="29"/>
      <c r="N26" s="149"/>
    </row>
    <row r="27" spans="1:15" s="1" customFormat="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c r="O27"/>
    </row>
    <row r="28" spans="1:15" x14ac:dyDescent="0.35">
      <c r="A28" s="131" t="s">
        <v>179</v>
      </c>
      <c r="B28" s="1"/>
      <c r="C28" s="103">
        <f>IF(Master!C28&lt;&gt;"",Master!C28,"")</f>
        <v>9</v>
      </c>
      <c r="D28" s="103" t="str">
        <f>IF(Master!D28&lt;&gt;"",Master!D28,"")</f>
        <v/>
      </c>
      <c r="E28" s="103" t="str">
        <f>IF(Master!E28&lt;&gt;"",Master!E28,"")</f>
        <v/>
      </c>
      <c r="F28" s="103" t="str">
        <f>IF(Master!F28&lt;&gt;"",Master!F28,"")</f>
        <v/>
      </c>
      <c r="G28" s="103" t="str">
        <f>IF(Master!G28&lt;&gt;"",Master!G28,"")</f>
        <v/>
      </c>
      <c r="H28" s="103"/>
      <c r="I28" s="103"/>
      <c r="J28" s="103"/>
      <c r="K28" s="103"/>
      <c r="L28" s="103"/>
      <c r="N28" s="146" t="s">
        <v>222</v>
      </c>
    </row>
    <row r="29" spans="1:15" x14ac:dyDescent="0.35">
      <c r="A29" s="1" t="s">
        <v>86</v>
      </c>
      <c r="B29" s="1"/>
      <c r="C29" s="102">
        <f>IF(C$28&lt;&gt;"",Master!C29,"")</f>
        <v>0.8</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223</v>
      </c>
    </row>
    <row r="30" spans="1:15" x14ac:dyDescent="0.35">
      <c r="A30" s="1" t="s">
        <v>165</v>
      </c>
      <c r="B30" s="1"/>
      <c r="C30" s="102">
        <f>IF(C$28&lt;&gt;"",Master!C30,"")</f>
        <v>0.2</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224</v>
      </c>
    </row>
    <row r="31" spans="1:15" x14ac:dyDescent="0.35">
      <c r="A31" s="1" t="s">
        <v>152</v>
      </c>
      <c r="B31" s="1"/>
      <c r="C31" s="102">
        <f>IF(C$28&lt;&gt;"",Master!C31,"")</f>
        <v>0.6</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225</v>
      </c>
    </row>
    <row r="32" spans="1:15" x14ac:dyDescent="0.35">
      <c r="A32" s="131" t="s">
        <v>180</v>
      </c>
      <c r="C32" s="13">
        <f>IF(C$28&lt;&gt;"",SUM(B19:C19),"")</f>
        <v>1069.71909799997</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226</v>
      </c>
    </row>
    <row r="33" spans="1:14" x14ac:dyDescent="0.35">
      <c r="A33" t="str">
        <f t="shared" ref="A33:A38" si="4">IF(A5="","","    "&amp;A5&amp;" Balance")</f>
        <v xml:space="preserve">    Reclamation - Protect Zone Balance</v>
      </c>
      <c r="B33" s="86">
        <f>B19-B21</f>
        <v>1055.2934237500001</v>
      </c>
      <c r="C33" s="84">
        <f>IF(OR(C$28="",$A33=""),"",B33)</f>
        <v>1055.2934237500001</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f t="shared" ref="C34:C38" si="6">IF(OR(C$28="",$A34=""),"",B34)</f>
        <v>2.660504999970001</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f t="shared" si="6"/>
        <v>0.17399999999999999</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f t="shared" si="6"/>
        <v>0</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f t="shared" si="6"/>
        <v>11.59116925</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189</v>
      </c>
      <c r="C39"/>
      <c r="N39" s="148" t="s">
        <v>246</v>
      </c>
    </row>
    <row r="40" spans="1:14" x14ac:dyDescent="0.35">
      <c r="A40" t="s">
        <v>83</v>
      </c>
      <c r="C40" s="13">
        <f>IF(C$28&lt;&gt;"",IF(COLUMN(C27)=COLUMN($C27),$B$19,B133),"")</f>
        <v>1061.22</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84</v>
      </c>
      <c r="C41" s="13">
        <f>IF(C$28&lt;&gt;"",IF(COLUMN(C28)=COLUMN($C28),$C$19,B134),"")</f>
        <v>8.4990979999700009</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181</v>
      </c>
      <c r="B42" s="1"/>
      <c r="C42" s="13">
        <f>IF(C$28&lt;&gt;"",VLOOKUP(C40*1000000,'Powell-Elevation-Area'!$B$5:$D$689,3)*$B$18/1000000 + VLOOKUP(C41*1000000,'Mead-Elevation-Area'!$B$5:$D$676,3)*$C$18/1000000,"")</f>
        <v>0.45716399999939999</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227</v>
      </c>
    </row>
    <row r="43" spans="1:14" x14ac:dyDescent="0.35">
      <c r="A43" t="str">
        <f t="shared" ref="A43:A48" si="9">IF(A5="","","    "&amp;A5&amp;" Share")</f>
        <v xml:space="preserve">    Reclamation - Protect Zone Share</v>
      </c>
      <c r="B43" s="1"/>
      <c r="C43" s="13">
        <f t="shared" ref="C43:L48" si="10">IF(OR(C$28="",$A43=""),"",C$42*C33/C$32)</f>
        <v>0.45099892455563634</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f t="shared" si="10"/>
        <v>1.1370154184203631E-3</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f t="shared" si="10"/>
        <v>7.4362078931396091E-5</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f t="shared" si="10"/>
        <v>0</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f t="shared" si="10"/>
        <v>4.9536979464119028E-3</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182</v>
      </c>
      <c r="B49" s="52"/>
      <c r="C49" s="32">
        <f>IF(C$28&lt;&gt;"",1.5-0.21/9/2-VLOOKUP(C41,MandatoryConservation!$C$5:$P$13,13)-C57*(1.5/8.7),"")</f>
        <v>1.3048850574712643</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228</v>
      </c>
    </row>
    <row r="50" spans="1:16" x14ac:dyDescent="0.35">
      <c r="A50" s="131" t="s">
        <v>205</v>
      </c>
      <c r="B50" s="1"/>
      <c r="C50" s="13">
        <f>IF(C28="","",SUM(C28:C30))</f>
        <v>10</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5" t="s">
        <v>229</v>
      </c>
      <c r="P50" t="s">
        <v>250</v>
      </c>
    </row>
    <row r="51" spans="1:16" x14ac:dyDescent="0.35">
      <c r="A51" t="str">
        <f t="shared" ref="A51:A56" si="12">IF(A5="","","    To "&amp;A5)</f>
        <v xml:space="preserve">    To Reclamation - Protect Zone</v>
      </c>
      <c r="B51" s="100" t="s">
        <v>253</v>
      </c>
      <c r="C51" s="84">
        <f>IF(OR(C$28="",$A52=""),"",MAX(0,C50-SUM(C52:C57)))</f>
        <v>1.2400000000000002</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f>IF(OR(C$28="",$A52=""),"",IF(C50&lt;=SUM(C53:C57),0,IF(C50&lt;=SUM(C53:C57)+2*$B$25,(C50-SUM(C53:C57))/2,IF(C50&lt;=SUM(C53:C57)+2*$B$25+$B$52-$B$25,C50-SUM(C53:C57)-$B$25,$B$52))))</f>
        <v>6.8346056890267679</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308</v>
      </c>
      <c r="C53" s="85">
        <f>IF(OR(C$28="",$A53=""),"",MIN(C49,C$50-SUM(C54:C57)))</f>
        <v>1.3048850574712643</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f>IF(OR(C$28="",$A54=""),"",MIN($B54,C$50-SUM(C55:C57)))</f>
        <v>1.5555555555555553E-2</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172</v>
      </c>
      <c r="C56" s="160">
        <f>IF(OR(C$28="",$A56=""),"",IF(C$50&gt;C48,C48,C50))</f>
        <v>4.9536979464119028E-3</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254</v>
      </c>
      <c r="C57" s="161">
        <f>IF(OR(C$28="",$A57=""),"",MIN(C31,C50-C56))</f>
        <v>0.6</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206</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79</v>
      </c>
      <c r="N60" s="146" t="s">
        <v>230</v>
      </c>
    </row>
    <row r="61" spans="1:16" x14ac:dyDescent="0.35">
      <c r="A61" s="132" t="str">
        <f>IF(A60="[Unused]","","   Enter volume to Buy(+) or Sell(-) [maf]")</f>
        <v xml:space="preserve">   Enter volume to Buy(+) or Sell(-) [maf]</v>
      </c>
      <c r="C61" s="99">
        <f>IF(OR(C$28="",$A61=""),"",IF(C33+C51-C43&lt;4.2,4.2-(C33+C51-C43),0))</f>
        <v>0</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f>SUM(C61:L61)</f>
        <v>0</v>
      </c>
      <c r="N61" s="151" t="s">
        <v>231</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232</v>
      </c>
    </row>
    <row r="63" spans="1:16" x14ac:dyDescent="0.35">
      <c r="A63" t="str">
        <f>IF(A62="","","   Net trade volume all participants (should be zero)")</f>
        <v xml:space="preserve">   Net trade volume all participants (should be zero)</v>
      </c>
      <c r="C63" s="46">
        <f t="shared" ref="C63:M63" ca="1" si="52">IF(OR(C$28="",$A63=""),"",C$116)</f>
        <v>0</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233</v>
      </c>
    </row>
    <row r="64" spans="1:16" x14ac:dyDescent="0.35">
      <c r="A64" s="1" t="str">
        <f>IF(A62="","","   Available Water [maf]")</f>
        <v xml:space="preserve">   Available Water [maf]</v>
      </c>
      <c r="C64" s="13">
        <f>IF(OR(C$28="",$A64=""),"",C33+C51-C43+C61)</f>
        <v>1056.0824248254444</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234</v>
      </c>
    </row>
    <row r="65" spans="1:14" x14ac:dyDescent="0.35">
      <c r="A65" s="131" t="str">
        <f>IF(A64="","","   Enter withdraw [maf] within available water")</f>
        <v xml:space="preserve">   Enter withdraw [maf] within available water</v>
      </c>
      <c r="C65" s="99">
        <f t="shared" ref="C65:D65" si="54">IF(C$28&lt;&gt;"",IF(C64&gt;4.2,4.2,MAX(C64,0)-0.01),"")</f>
        <v>4.2</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247</v>
      </c>
    </row>
    <row r="66" spans="1:14" x14ac:dyDescent="0.35">
      <c r="A66" t="str">
        <f>IF(A65="","","   End of Year Balance [maf]")</f>
        <v xml:space="preserve">   End of Year Balance [maf]</v>
      </c>
      <c r="C66" s="13">
        <f>IF(OR(C$28="",$A66=""),"",C64-C65)</f>
        <v>1051.8824248254443</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235</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79</v>
      </c>
      <c r="N68" s="146" t="s">
        <v>230</v>
      </c>
    </row>
    <row r="69" spans="1:14" x14ac:dyDescent="0.35">
      <c r="A69" s="132" t="str">
        <f>IF(A68="[Unused]","",$A$61)</f>
        <v xml:space="preserve">   Enter volume to Buy(+) or Sell(-) [maf]</v>
      </c>
      <c r="C69" s="99">
        <f>IF(OR(C$28="",$A69=""),"",IF(C34+C52-C44&lt;C73,C73-(C34+C52-C44),0))</f>
        <v>0</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f>SUM(C69:L69)</f>
        <v>0</v>
      </c>
      <c r="N69" s="151" t="s">
        <v>231</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232</v>
      </c>
    </row>
    <row r="71" spans="1:14" x14ac:dyDescent="0.35">
      <c r="A71" s="138" t="str">
        <f>IF(A70="","",$A$63)</f>
        <v xml:space="preserve">   Net trade volume all participants (should be zero)</v>
      </c>
      <c r="C71" s="46">
        <f t="shared" ref="C71:M71" ca="1" si="65">IF(OR(C$28="",$A71=""),"",C$116)</f>
        <v>0</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233</v>
      </c>
    </row>
    <row r="72" spans="1:14" x14ac:dyDescent="0.35">
      <c r="A72" s="1" t="str">
        <f>IF(A70="","","   Available Water [maf]")</f>
        <v xml:space="preserve">   Available Water [maf]</v>
      </c>
      <c r="C72" s="13">
        <f>IF(OR(C$28="",$A72=""),"",C34+C52-C44+C69)</f>
        <v>9.4939736735783491</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234</v>
      </c>
    </row>
    <row r="73" spans="1:14" x14ac:dyDescent="0.35">
      <c r="A73" s="131" t="str">
        <f>IF(A72="","",$A$65)</f>
        <v xml:space="preserve">   Enter withdraw [maf] within available water</v>
      </c>
      <c r="C73" s="99">
        <f>IF(C28&lt;&gt;"",7.5-VLOOKUP(C41,MandatoryConservation!$C$5:$P$13,14)-0.001,"")</f>
        <v>6.8860000000000001</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247</v>
      </c>
    </row>
    <row r="74" spans="1:14" x14ac:dyDescent="0.35">
      <c r="A74" t="str">
        <f>IF(A73="","","   End of Year Balance [maf]")</f>
        <v xml:space="preserve">   End of Year Balance [maf]</v>
      </c>
      <c r="C74" s="13">
        <f>IF(OR(C$28="",$A74=""),"",C72-C73)</f>
        <v>2.607973673578349</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235</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79</v>
      </c>
      <c r="N76" s="146" t="s">
        <v>230</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231</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232</v>
      </c>
    </row>
    <row r="79" spans="1:14" x14ac:dyDescent="0.35">
      <c r="A79" s="138" t="str">
        <f>IF(A78="","",$A$63)</f>
        <v xml:space="preserve">   Net trade volume all participants (should be zero)</v>
      </c>
      <c r="C79" s="46">
        <f t="shared" ref="C79:M79" ca="1" si="68">IF(OR(C$28="",$A79=""),"",C$116)</f>
        <v>0</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233</v>
      </c>
    </row>
    <row r="80" spans="1:14" x14ac:dyDescent="0.35">
      <c r="A80" s="1" t="str">
        <f>IF(A78="","","   Available Water [maf]")</f>
        <v xml:space="preserve">   Available Water [maf]</v>
      </c>
      <c r="C80" s="13">
        <f>IF(OR(C$28="",$A80=""),"",C35+C53-C45+C77)</f>
        <v>1.4788106953923328</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234</v>
      </c>
    </row>
    <row r="81" spans="1:14" x14ac:dyDescent="0.35">
      <c r="A81" s="131" t="str">
        <f>IF(A80="","",$A$65)</f>
        <v xml:space="preserve">   Enter withdraw [maf] within available water</v>
      </c>
      <c r="C81" s="99">
        <f>IF(C28&lt;&gt;"",MIN(C49,C80-0.001),"")</f>
        <v>1.3048850574712643</v>
      </c>
      <c r="D81" s="99" t="str">
        <f t="shared" ref="D81:G81" si="70">IF(D28&lt;&gt;"",MIN(D49,D80-0.001),"")</f>
        <v/>
      </c>
      <c r="E81" s="99" t="str">
        <f t="shared" si="70"/>
        <v/>
      </c>
      <c r="F81" s="99" t="str">
        <f t="shared" si="70"/>
        <v/>
      </c>
      <c r="G81" s="99" t="str">
        <f t="shared" si="70"/>
        <v/>
      </c>
      <c r="H81" s="99"/>
      <c r="I81" s="99"/>
      <c r="J81" s="99"/>
      <c r="K81" s="99"/>
      <c r="L81" s="99"/>
      <c r="N81" s="148" t="s">
        <v>247</v>
      </c>
    </row>
    <row r="82" spans="1:14" x14ac:dyDescent="0.35">
      <c r="A82" t="str">
        <f>IF(A81="","","   End of Year Balance [maf]")</f>
        <v xml:space="preserve">   End of Year Balance [maf]</v>
      </c>
      <c r="C82" s="13">
        <f>IF(OR(C$28="",$A82=""),"",C80-C81)</f>
        <v>0.17392563792106852</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235</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79</v>
      </c>
      <c r="N84" s="146" t="s">
        <v>230</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231</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232</v>
      </c>
    </row>
    <row r="87" spans="1:14" x14ac:dyDescent="0.35">
      <c r="A87" s="138" t="str">
        <f>IF(A86="","",$A$63)</f>
        <v xml:space="preserve">   Net trade volume all participants (should be zero)</v>
      </c>
      <c r="C87" s="46">
        <f t="shared" ref="C87:M87" ca="1" si="72">IF(OR(C$28="",$A87=""),"",C$116)</f>
        <v>0</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233</v>
      </c>
    </row>
    <row r="88" spans="1:14" x14ac:dyDescent="0.35">
      <c r="A88" s="1" t="str">
        <f>IF(A86="","","   Available Water [maf]")</f>
        <v xml:space="preserve">   Available Water [maf]</v>
      </c>
      <c r="C88" s="123">
        <f>IF(OR(C$28="",$A88=""),"",C36+C54-C46+C85)</f>
        <v>1.5555555555555553E-2</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234</v>
      </c>
    </row>
    <row r="89" spans="1:14" x14ac:dyDescent="0.35">
      <c r="A89" s="131" t="str">
        <f>IF(A88="","",$A$65)</f>
        <v xml:space="preserve">   Enter withdraw [maf] within available water</v>
      </c>
      <c r="C89" s="124"/>
      <c r="D89" s="124"/>
      <c r="E89" s="124"/>
      <c r="F89" s="124"/>
      <c r="G89" s="124"/>
      <c r="H89" s="124"/>
      <c r="I89" s="124"/>
      <c r="J89" s="124"/>
      <c r="K89" s="124"/>
      <c r="L89" s="124"/>
      <c r="N89" s="148" t="s">
        <v>247</v>
      </c>
    </row>
    <row r="90" spans="1:14" x14ac:dyDescent="0.35">
      <c r="A90" t="str">
        <f>IF(A89="","","   End of Year Balance [maf]")</f>
        <v xml:space="preserve">   End of Year Balance [maf]</v>
      </c>
      <c r="C90" s="13">
        <f>IF(OR(C$28="",$A90=""),"",C88-C89)</f>
        <v>1.5555555555555553E-2</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235</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79</v>
      </c>
      <c r="N92" s="146" t="s">
        <v>230</v>
      </c>
    </row>
    <row r="93" spans="1:14" x14ac:dyDescent="0.35">
      <c r="A93" t="str">
        <f>IF(A92="[Unused]","",$A$61)</f>
        <v/>
      </c>
      <c r="C93" s="97"/>
      <c r="D93" s="97"/>
      <c r="E93" s="97"/>
      <c r="F93" s="97"/>
      <c r="G93" s="97"/>
      <c r="H93" s="97"/>
      <c r="I93" s="97"/>
      <c r="J93" s="97"/>
      <c r="K93" s="97"/>
      <c r="L93" s="97"/>
      <c r="M93" s="46">
        <f>SUM(C93:L93)</f>
        <v>0</v>
      </c>
      <c r="N93" s="151" t="s">
        <v>231</v>
      </c>
    </row>
    <row r="94" spans="1:14" x14ac:dyDescent="0.35">
      <c r="A94" t="str">
        <f>IF(A93="","",$A$62)</f>
        <v/>
      </c>
      <c r="C94" s="98"/>
      <c r="D94" s="98"/>
      <c r="E94" s="98"/>
      <c r="F94" s="98"/>
      <c r="G94" s="98"/>
      <c r="H94" s="98"/>
      <c r="I94" s="98"/>
      <c r="J94" s="98"/>
      <c r="K94" s="98"/>
      <c r="L94" s="98"/>
      <c r="M94" s="45">
        <f>SUM(C94:L94)</f>
        <v>0</v>
      </c>
      <c r="N94" s="152" t="s">
        <v>232</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233</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234</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247</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235</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79</v>
      </c>
      <c r="N100" s="148" t="s">
        <v>245</v>
      </c>
    </row>
    <row r="101" spans="1:14" x14ac:dyDescent="0.35">
      <c r="A101" s="132" t="str">
        <f>IF(A100="[Unused]","",$A$61)</f>
        <v xml:space="preserve">   Enter volume to Buy(+) or Sell(-) [maf]</v>
      </c>
      <c r="C101" s="28">
        <f>IF(OR(C$28="",$A101=""),"",-C61-C69)</f>
        <v>0</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f t="shared" ref="C103:M103" ca="1" si="80">IF(OR(C$28="",$A103=""),"",C$116)</f>
        <v>0</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f>IF(OR(C$28="",$A104=""),"",C38+C56-C48+C101)</f>
        <v>11.59116925</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f>IF(OR(C$28="",$A106=""),"",C104-C105)</f>
        <v>11.59116925</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297</v>
      </c>
      <c r="B108" s="107"/>
      <c r="C108" s="107"/>
      <c r="D108" s="107"/>
      <c r="E108" s="107"/>
      <c r="F108" s="107"/>
      <c r="G108" s="107"/>
      <c r="H108" s="107"/>
      <c r="I108" s="107"/>
      <c r="J108" s="107"/>
      <c r="K108" s="107"/>
      <c r="L108" s="107"/>
      <c r="M108" s="107"/>
      <c r="N108" s="148" t="s">
        <v>236</v>
      </c>
    </row>
    <row r="109" spans="1:14" x14ac:dyDescent="0.35">
      <c r="A109" s="1" t="s">
        <v>174</v>
      </c>
      <c r="C109"/>
      <c r="M109" t="s">
        <v>106</v>
      </c>
      <c r="N109" s="149"/>
    </row>
    <row r="110" spans="1:14" x14ac:dyDescent="0.35">
      <c r="A110" t="str">
        <f t="shared" ref="A110:A115" si="83">IF(A5="","","    "&amp;A5)</f>
        <v xml:space="preserve">    Reclamation - Protect Zone</v>
      </c>
      <c r="B110" s="1"/>
      <c r="C110" s="46">
        <f t="shared" ref="C110:L115" ca="1" si="84">IF(OR(C$28="",$A110=""),"",OFFSET(C$61,8*(ROW(B110)-ROW(B$110)),0))</f>
        <v>0</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f ca="1">IF(OR($A110=""),"",SUM(C110:L110))</f>
        <v>0</v>
      </c>
      <c r="N110" s="153"/>
    </row>
    <row r="111" spans="1:14" x14ac:dyDescent="0.35">
      <c r="A111" t="str">
        <f t="shared" si="83"/>
        <v xml:space="preserve">    California</v>
      </c>
      <c r="B111" s="1"/>
      <c r="C111" s="46">
        <f t="shared" ca="1" si="84"/>
        <v>0</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f t="shared" ref="M111:M115" ca="1" si="85">IF(OR($A111=""),"",SUM(C111:L111))</f>
        <v>0</v>
      </c>
      <c r="N111" s="153"/>
    </row>
    <row r="112" spans="1:14" x14ac:dyDescent="0.35">
      <c r="A112" t="str">
        <f t="shared" si="83"/>
        <v xml:space="preserve">    Arizona</v>
      </c>
      <c r="B112" s="1"/>
      <c r="C112" s="46">
        <f t="shared" ca="1" si="84"/>
        <v>0</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f t="shared" ca="1" si="84"/>
        <v>0</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f t="shared" ca="1" si="84"/>
        <v>0</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5"/>
        <v>0</v>
      </c>
      <c r="N115" s="153"/>
    </row>
    <row r="116" spans="1:14" x14ac:dyDescent="0.35">
      <c r="A116" t="s">
        <v>93</v>
      </c>
      <c r="B116" s="1"/>
      <c r="C116" s="34">
        <f ca="1">IF(C$28&lt;&gt;"",SUM(C110:C115),"")</f>
        <v>0</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175</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f t="shared" ref="C118:L123" ca="1" si="87">IF(OR(C$28="",$A118=""),"",OFFSET(C$65,8*(ROW(B118)-ROW(B$118)),0))</f>
        <v>4.2</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f t="shared" ca="1" si="87"/>
        <v>6.8860000000000001</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f t="shared" ca="1" si="87"/>
        <v>1.3048850574712643</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f t="shared" ca="1" si="87"/>
        <v>0</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f t="shared" ca="1" si="87"/>
        <v>0</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90</v>
      </c>
      <c r="B124" s="1"/>
      <c r="D124" s="2"/>
      <c r="E124" s="2"/>
      <c r="F124" s="2"/>
      <c r="G124" s="2"/>
      <c r="H124" s="2"/>
      <c r="I124" s="2"/>
      <c r="J124" s="2"/>
      <c r="K124" s="2"/>
      <c r="L124" s="2"/>
      <c r="N124" s="149"/>
    </row>
    <row r="125" spans="1:14" x14ac:dyDescent="0.35">
      <c r="A125" t="str">
        <f t="shared" ref="A125:A130" si="88">IF(A5="","","    "&amp;A5)</f>
        <v xml:space="preserve">    Reclamation - Protect Zone</v>
      </c>
      <c r="C125" s="46">
        <f t="shared" ref="C125:L130" ca="1" si="89">IF(OR(C$28="",$A125=""),"",OFFSET(C$66,8*(ROW(B125)-ROW(B$125)),0))</f>
        <v>1051.8824248254443</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f t="shared" ca="1" si="89"/>
        <v>2.607973673578349</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f t="shared" ca="1" si="89"/>
        <v>0.17392563792106852</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f t="shared" ca="1" si="89"/>
        <v>1.5555555555555553E-2</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f t="shared" ca="1" si="89"/>
        <v>11.59116925</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176</v>
      </c>
      <c r="B131" s="1"/>
      <c r="C131" s="13">
        <f ca="1">IF(C$28&lt;&gt;"",SUM(C125:C130),"")</f>
        <v>1066.271048942499</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237</v>
      </c>
    </row>
    <row r="132" spans="1:15" ht="29.5" customHeight="1" x14ac:dyDescent="0.35">
      <c r="A132" s="241" t="s">
        <v>210</v>
      </c>
      <c r="B132" s="242"/>
      <c r="C132" s="133">
        <v>0.5</v>
      </c>
      <c r="D132" s="133">
        <v>0.5</v>
      </c>
      <c r="E132" s="133">
        <v>0.5</v>
      </c>
      <c r="F132" s="133"/>
      <c r="G132" s="133"/>
      <c r="H132" s="133"/>
      <c r="I132" s="133"/>
      <c r="J132" s="133"/>
      <c r="K132" s="133"/>
      <c r="L132" s="133"/>
      <c r="N132" s="146" t="s">
        <v>238</v>
      </c>
    </row>
    <row r="133" spans="1:15" x14ac:dyDescent="0.35">
      <c r="A133" s="1" t="s">
        <v>184</v>
      </c>
      <c r="B133" s="1"/>
      <c r="C133" s="13">
        <f ca="1">IF(C28="","",C$132*C$131)</f>
        <v>533.13552447124948</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249</v>
      </c>
    </row>
    <row r="134" spans="1:15" x14ac:dyDescent="0.35">
      <c r="A134" s="1" t="s">
        <v>185</v>
      </c>
      <c r="B134" s="1"/>
      <c r="C134" s="13">
        <f ca="1">IF(C29="","",(1-C$132)*C$131)</f>
        <v>533.13552447124948</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249</v>
      </c>
    </row>
    <row r="135" spans="1:15" x14ac:dyDescent="0.35">
      <c r="A135" t="s">
        <v>135</v>
      </c>
      <c r="B135" s="1"/>
      <c r="C135" s="60">
        <f ca="1">IF(C$28&lt;&gt;"",VLOOKUP(C133*1000000,'Powell-Elevation-Area'!$B$5:$H$689,7),"")</f>
        <v>3711.5</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249</v>
      </c>
    </row>
    <row r="136" spans="1:15" x14ac:dyDescent="0.35">
      <c r="A136" t="s">
        <v>136</v>
      </c>
      <c r="B136" s="1"/>
      <c r="C136" s="60">
        <f ca="1">IF(C$28&lt;&gt;"",VLOOKUP(C134*1000000,'Mead-Elevation-Area'!$B$5:$H$689,7),"")</f>
        <v>1250</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249</v>
      </c>
    </row>
    <row r="137" spans="1:15" x14ac:dyDescent="0.35">
      <c r="A137" s="1" t="s">
        <v>186</v>
      </c>
      <c r="B137" s="1"/>
      <c r="N137" s="148" t="s">
        <v>239</v>
      </c>
    </row>
    <row r="138" spans="1:15" x14ac:dyDescent="0.35">
      <c r="A138" t="s">
        <v>187</v>
      </c>
      <c r="B138" s="1"/>
      <c r="C138" s="13">
        <f ca="1">IF(C$28&lt;&gt;"",-C133+C40+C28-C65-VLOOKUP(C40*1000000,'Powell-Elevation-Area'!$B$5:$D$689,3)*$B$18/1000000,"")</f>
        <v>532.8844755287505</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240</v>
      </c>
    </row>
    <row r="139" spans="1:15" x14ac:dyDescent="0.35">
      <c r="A139" t="s">
        <v>177</v>
      </c>
      <c r="B139" s="1"/>
      <c r="C139" s="60" t="str">
        <f ca="1">IF(C$28&lt;&gt;"",VLOOKUP(C135,PowellReleaseTemperature!$A$5:$B$11,2),"")</f>
        <v>&lt; 12</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241</v>
      </c>
    </row>
    <row r="140" spans="1:15" s="62" customFormat="1" ht="62.5" customHeight="1" x14ac:dyDescent="0.35">
      <c r="A140" s="62" t="s">
        <v>178</v>
      </c>
      <c r="B140" s="61"/>
      <c r="C140" s="90" t="str">
        <f ca="1">IF(C$28&lt;&gt;"",VLOOKUP(C$135,PowellReleaseTemperature!$A$5:$E$11,5),"")</f>
        <v>Help grow, reproduce, and survive</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243</v>
      </c>
      <c r="O140"/>
    </row>
    <row r="141" spans="1:15" s="62" customFormat="1" ht="32.15" customHeight="1" x14ac:dyDescent="0.35">
      <c r="A141" s="62" t="s">
        <v>160</v>
      </c>
      <c r="B141" s="61"/>
      <c r="C141" s="90" t="str">
        <f ca="1">IF(C$28&lt;&gt;"",VLOOKUP(C$135,PowellReleaseTemperature!$A$5:$F$11,6),"")</f>
        <v>Help all</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242</v>
      </c>
      <c r="O141"/>
    </row>
    <row r="142" spans="1:15" x14ac:dyDescent="0.35">
      <c r="A142" s="131" t="s">
        <v>211</v>
      </c>
      <c r="C142" s="19"/>
      <c r="N142" s="148" t="s">
        <v>244</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1" zoomScale="170" zoomScaleNormal="170" workbookViewId="0">
      <selection activeCell="O26" sqref="O26"/>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5.08984375" customWidth="1"/>
    <col min="10" max="10" width="13.453125" customWidth="1"/>
    <col min="11" max="11" width="12.08984375" customWidth="1"/>
    <col min="12" max="12" width="8"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337</v>
      </c>
    </row>
    <row r="3" spans="1:21" x14ac:dyDescent="0.35">
      <c r="A3" t="s">
        <v>338</v>
      </c>
    </row>
    <row r="4" spans="1:21" ht="21" customHeight="1" x14ac:dyDescent="0.35"/>
    <row r="5" spans="1:21" ht="16.5" customHeight="1" x14ac:dyDescent="0.35">
      <c r="I5" s="271" t="s">
        <v>14</v>
      </c>
      <c r="J5" s="271" t="s">
        <v>339</v>
      </c>
      <c r="K5" s="271" t="s">
        <v>340</v>
      </c>
      <c r="L5" s="272" t="s">
        <v>341</v>
      </c>
      <c r="M5" s="273"/>
      <c r="N5" s="273"/>
      <c r="O5" s="273"/>
      <c r="P5" s="274"/>
      <c r="Q5" s="275" t="s">
        <v>342</v>
      </c>
      <c r="R5" s="276"/>
      <c r="S5" s="276"/>
      <c r="T5" s="276"/>
      <c r="U5" s="277"/>
    </row>
    <row r="6" spans="1:21" s="278" customFormat="1" ht="27.5" customHeight="1" x14ac:dyDescent="0.3">
      <c r="B6" s="279" t="s">
        <v>343</v>
      </c>
      <c r="C6" s="279" t="s">
        <v>321</v>
      </c>
      <c r="D6" s="279" t="s">
        <v>322</v>
      </c>
      <c r="E6" s="279" t="s">
        <v>320</v>
      </c>
      <c r="F6" s="279" t="s">
        <v>30</v>
      </c>
      <c r="G6" s="279" t="s">
        <v>79</v>
      </c>
      <c r="I6" s="280"/>
      <c r="J6" s="280"/>
      <c r="K6" s="280"/>
      <c r="L6" s="281" t="s">
        <v>344</v>
      </c>
      <c r="M6" s="281" t="s">
        <v>345</v>
      </c>
      <c r="N6" s="281" t="s">
        <v>346</v>
      </c>
      <c r="O6" s="281" t="s">
        <v>347</v>
      </c>
      <c r="P6" s="281" t="s">
        <v>348</v>
      </c>
      <c r="Q6" s="282" t="s">
        <v>349</v>
      </c>
      <c r="R6" s="282" t="s">
        <v>350</v>
      </c>
      <c r="S6" s="282" t="s">
        <v>351</v>
      </c>
      <c r="T6" s="282" t="s">
        <v>352</v>
      </c>
      <c r="U6" s="282" t="s">
        <v>353</v>
      </c>
    </row>
    <row r="7" spans="1:21" s="278" customFormat="1" ht="13" customHeight="1" x14ac:dyDescent="0.3">
      <c r="B7" s="272" t="s">
        <v>354</v>
      </c>
      <c r="C7" s="273"/>
      <c r="D7" s="273"/>
      <c r="E7" s="273"/>
      <c r="F7" s="273"/>
      <c r="G7" s="274"/>
      <c r="I7" s="283" t="s">
        <v>355</v>
      </c>
      <c r="J7" s="283">
        <f>B13</f>
        <v>0</v>
      </c>
      <c r="K7" s="284">
        <v>9</v>
      </c>
      <c r="L7" s="285">
        <v>2.8</v>
      </c>
      <c r="M7" s="285">
        <v>0.3</v>
      </c>
      <c r="N7" s="285">
        <v>4.4000000000000004</v>
      </c>
      <c r="O7" s="285">
        <v>1.5</v>
      </c>
      <c r="P7" s="285">
        <f>SUM(L7:O7)</f>
        <v>9</v>
      </c>
      <c r="Q7" s="286">
        <f t="shared" ref="Q7:T11" si="0">L7/$K7</f>
        <v>0.31111111111111112</v>
      </c>
      <c r="R7" s="286">
        <f t="shared" si="0"/>
        <v>3.3333333333333333E-2</v>
      </c>
      <c r="S7" s="286">
        <f t="shared" si="0"/>
        <v>0.48888888888888893</v>
      </c>
      <c r="T7" s="286">
        <f t="shared" si="0"/>
        <v>0.16666666666666666</v>
      </c>
      <c r="U7" s="287">
        <f>SUM(Q7:T7)</f>
        <v>1</v>
      </c>
    </row>
    <row r="8" spans="1:21" s="288" customFormat="1" ht="14" x14ac:dyDescent="0.3">
      <c r="B8" s="289">
        <v>0</v>
      </c>
      <c r="C8" s="290">
        <v>0</v>
      </c>
      <c r="D8" s="290">
        <v>0</v>
      </c>
      <c r="E8" s="290">
        <v>0</v>
      </c>
      <c r="F8" s="290">
        <v>0</v>
      </c>
      <c r="G8" s="290">
        <f>SUM(C8:F8)</f>
        <v>0</v>
      </c>
      <c r="I8" s="283" t="s">
        <v>356</v>
      </c>
      <c r="J8" s="283">
        <f>B14</f>
        <v>0.3</v>
      </c>
      <c r="K8" s="291">
        <f>K$7-J8</f>
        <v>8.6999999999999993</v>
      </c>
      <c r="L8" s="292">
        <f t="shared" ref="L8:O11" si="1">L$7-C14</f>
        <v>2.5599999999999996</v>
      </c>
      <c r="M8" s="292">
        <f t="shared" si="1"/>
        <v>0.29000999999999999</v>
      </c>
      <c r="N8" s="292">
        <f t="shared" si="1"/>
        <v>4.4000000000000004</v>
      </c>
      <c r="O8" s="292">
        <f t="shared" si="1"/>
        <v>1.4499900000000001</v>
      </c>
      <c r="P8" s="285">
        <f t="shared" ref="P8:P11" si="2">SUM(L8:O8)</f>
        <v>8.6999999999999993</v>
      </c>
      <c r="Q8" s="286">
        <f t="shared" si="0"/>
        <v>0.29425287356321839</v>
      </c>
      <c r="R8" s="286">
        <f t="shared" si="0"/>
        <v>3.3334482758620693E-2</v>
      </c>
      <c r="S8" s="286">
        <f t="shared" si="0"/>
        <v>0.50574712643678166</v>
      </c>
      <c r="T8" s="286">
        <f t="shared" si="0"/>
        <v>0.16666551724137935</v>
      </c>
      <c r="U8" s="287">
        <f t="shared" ref="U8:U13" si="3">SUM(Q8:T8)</f>
        <v>1</v>
      </c>
    </row>
    <row r="9" spans="1:21" s="288" customFormat="1" ht="14" x14ac:dyDescent="0.3">
      <c r="B9" s="289" t="s">
        <v>357</v>
      </c>
      <c r="C9" s="293">
        <v>0.8</v>
      </c>
      <c r="D9" s="293">
        <v>3.3300000000000003E-2</v>
      </c>
      <c r="E9" s="293">
        <v>0</v>
      </c>
      <c r="F9" s="293">
        <v>0.16669999999999999</v>
      </c>
      <c r="G9" s="293">
        <f t="shared" ref="G9:G10" si="4">SUM(C9:F9)</f>
        <v>1</v>
      </c>
      <c r="I9" s="283" t="s">
        <v>358</v>
      </c>
      <c r="J9" s="283">
        <f>B15</f>
        <v>0.4</v>
      </c>
      <c r="K9" s="291">
        <f>K$7-J9</f>
        <v>8.6</v>
      </c>
      <c r="L9" s="292">
        <f t="shared" si="1"/>
        <v>2.51667</v>
      </c>
      <c r="M9" s="292">
        <f t="shared" si="1"/>
        <v>0.28667999999999999</v>
      </c>
      <c r="N9" s="292">
        <f t="shared" si="1"/>
        <v>4.3633300000000004</v>
      </c>
      <c r="O9" s="292">
        <f t="shared" si="1"/>
        <v>1.4333199999999999</v>
      </c>
      <c r="P9" s="285">
        <f t="shared" si="2"/>
        <v>8.6</v>
      </c>
      <c r="Q9" s="286">
        <f t="shared" si="0"/>
        <v>0.29263604651162789</v>
      </c>
      <c r="R9" s="286">
        <f t="shared" si="0"/>
        <v>3.3334883720930235E-2</v>
      </c>
      <c r="S9" s="286">
        <f t="shared" si="0"/>
        <v>0.50736395348837215</v>
      </c>
      <c r="T9" s="286">
        <f t="shared" si="0"/>
        <v>0.16666511627906977</v>
      </c>
      <c r="U9" s="287">
        <f t="shared" si="3"/>
        <v>1</v>
      </c>
    </row>
    <row r="10" spans="1:21" s="288" customFormat="1" ht="14" x14ac:dyDescent="0.3">
      <c r="B10" s="289" t="s">
        <v>359</v>
      </c>
      <c r="C10" s="293">
        <v>0.43330000000000002</v>
      </c>
      <c r="D10" s="293">
        <v>3.3300000000000003E-2</v>
      </c>
      <c r="E10" s="293">
        <v>0.36670000000000003</v>
      </c>
      <c r="F10" s="293">
        <v>0.16669999999999999</v>
      </c>
      <c r="G10" s="293">
        <f t="shared" si="4"/>
        <v>1</v>
      </c>
      <c r="I10" s="283" t="s">
        <v>360</v>
      </c>
      <c r="J10" s="283">
        <f>B16</f>
        <v>1</v>
      </c>
      <c r="K10" s="291">
        <f>K$7-J10</f>
        <v>8</v>
      </c>
      <c r="L10" s="292">
        <f t="shared" si="1"/>
        <v>2.2566899999999999</v>
      </c>
      <c r="M10" s="292">
        <f t="shared" si="1"/>
        <v>0.26669999999999999</v>
      </c>
      <c r="N10" s="292">
        <f t="shared" si="1"/>
        <v>4.1433100000000005</v>
      </c>
      <c r="O10" s="292">
        <f t="shared" si="1"/>
        <v>1.3332999999999999</v>
      </c>
      <c r="P10" s="285">
        <f t="shared" si="2"/>
        <v>8</v>
      </c>
      <c r="Q10" s="286">
        <f t="shared" si="0"/>
        <v>0.28208624999999998</v>
      </c>
      <c r="R10" s="286">
        <f t="shared" si="0"/>
        <v>3.3337499999999999E-2</v>
      </c>
      <c r="S10" s="286">
        <f t="shared" si="0"/>
        <v>0.51791375000000006</v>
      </c>
      <c r="T10" s="286">
        <f t="shared" si="0"/>
        <v>0.16666249999999999</v>
      </c>
      <c r="U10" s="287">
        <f t="shared" si="3"/>
        <v>1</v>
      </c>
    </row>
    <row r="11" spans="1:21" s="288" customFormat="1" ht="14" x14ac:dyDescent="0.3">
      <c r="B11" s="289" t="s">
        <v>361</v>
      </c>
      <c r="C11" s="294" t="s">
        <v>362</v>
      </c>
      <c r="D11" s="294"/>
      <c r="E11" s="294"/>
      <c r="F11" s="294"/>
      <c r="G11" s="294"/>
      <c r="I11" s="283" t="s">
        <v>363</v>
      </c>
      <c r="J11" s="283">
        <f>B17</f>
        <v>1.5</v>
      </c>
      <c r="K11" s="291">
        <f>K$7-J11</f>
        <v>7.5</v>
      </c>
      <c r="L11" s="292">
        <f t="shared" si="1"/>
        <v>2.0400399999999999</v>
      </c>
      <c r="M11" s="292">
        <f t="shared" si="1"/>
        <v>0.25004999999999999</v>
      </c>
      <c r="N11" s="292">
        <f t="shared" si="1"/>
        <v>3.9599600000000001</v>
      </c>
      <c r="O11" s="292">
        <f t="shared" si="1"/>
        <v>1.2499500000000001</v>
      </c>
      <c r="P11" s="285">
        <f t="shared" si="2"/>
        <v>7.5</v>
      </c>
      <c r="Q11" s="286">
        <f t="shared" si="0"/>
        <v>0.27200533333333332</v>
      </c>
      <c r="R11" s="286">
        <f t="shared" si="0"/>
        <v>3.3340000000000002E-2</v>
      </c>
      <c r="S11" s="286">
        <f t="shared" si="0"/>
        <v>0.52799466666666672</v>
      </c>
      <c r="T11" s="286">
        <f t="shared" si="0"/>
        <v>0.16666</v>
      </c>
      <c r="U11" s="287">
        <f t="shared" si="3"/>
        <v>1</v>
      </c>
    </row>
    <row r="12" spans="1:21" s="288" customFormat="1" ht="14" x14ac:dyDescent="0.3">
      <c r="B12" s="295" t="s">
        <v>364</v>
      </c>
      <c r="C12" s="296"/>
      <c r="D12" s="296"/>
      <c r="E12" s="296"/>
      <c r="F12" s="296"/>
      <c r="G12" s="296"/>
      <c r="I12" s="283" t="s">
        <v>365</v>
      </c>
      <c r="J12" s="283" t="s">
        <v>361</v>
      </c>
      <c r="K12" s="291" t="s">
        <v>366</v>
      </c>
      <c r="L12" s="297" t="s">
        <v>362</v>
      </c>
      <c r="M12" s="298"/>
      <c r="N12" s="298"/>
      <c r="O12" s="298"/>
      <c r="P12" s="299"/>
      <c r="Q12" s="297" t="s">
        <v>362</v>
      </c>
      <c r="R12" s="298"/>
      <c r="S12" s="298"/>
      <c r="T12" s="298"/>
      <c r="U12" s="299"/>
    </row>
    <row r="13" spans="1:21" s="288" customFormat="1" ht="14" x14ac:dyDescent="0.3">
      <c r="B13" s="289">
        <v>0</v>
      </c>
      <c r="C13" s="300">
        <v>0</v>
      </c>
      <c r="D13" s="300">
        <v>0</v>
      </c>
      <c r="E13" s="300">
        <v>0</v>
      </c>
      <c r="F13" s="300">
        <v>0</v>
      </c>
      <c r="G13" s="300">
        <f>SUM(C13:F13)</f>
        <v>0</v>
      </c>
      <c r="I13" s="283" t="s">
        <v>367</v>
      </c>
      <c r="J13" s="283">
        <v>2.7</v>
      </c>
      <c r="K13" s="291">
        <f>K$7-J13</f>
        <v>6.3</v>
      </c>
      <c r="L13" s="292">
        <f>L11-C10*($K11-$K13)</f>
        <v>1.5200799999999997</v>
      </c>
      <c r="M13" s="292">
        <f>M11-D10*($K11-$K13)</f>
        <v>0.21009</v>
      </c>
      <c r="N13" s="292">
        <f>N11-E10*($K11-$K13)</f>
        <v>3.5199199999999999</v>
      </c>
      <c r="O13" s="292">
        <f>O11-F10*($K11-$K13)</f>
        <v>1.0499100000000001</v>
      </c>
      <c r="P13" s="292">
        <f>P11-G10*($K11-$K13)</f>
        <v>6.3</v>
      </c>
      <c r="Q13" s="286">
        <f>L13/$K13</f>
        <v>0.24128253968253963</v>
      </c>
      <c r="R13" s="286">
        <f>M13/$K13</f>
        <v>3.334761904761905E-2</v>
      </c>
      <c r="S13" s="286">
        <f>N13/$K13</f>
        <v>0.55871746031746028</v>
      </c>
      <c r="T13" s="286">
        <f>O13/$K13</f>
        <v>0.16665238095238097</v>
      </c>
      <c r="U13" s="301">
        <f t="shared" si="3"/>
        <v>1</v>
      </c>
    </row>
    <row r="14" spans="1:21" s="288" customFormat="1" ht="14" x14ac:dyDescent="0.3">
      <c r="B14" s="289">
        <v>0.3</v>
      </c>
      <c r="C14" s="292">
        <f>$B14*C9</f>
        <v>0.24</v>
      </c>
      <c r="D14" s="292">
        <f>$B14*D9</f>
        <v>9.9900000000000006E-3</v>
      </c>
      <c r="E14" s="292">
        <f>$B14*E9</f>
        <v>0</v>
      </c>
      <c r="F14" s="292">
        <f>$B14*F9</f>
        <v>5.0009999999999992E-2</v>
      </c>
      <c r="G14" s="292">
        <f>SUM(C14:F14)</f>
        <v>0.3</v>
      </c>
      <c r="I14" s="302" t="s">
        <v>368</v>
      </c>
      <c r="J14" s="303"/>
      <c r="K14" s="304"/>
      <c r="L14" s="305"/>
      <c r="M14" s="305"/>
      <c r="N14" s="305"/>
      <c r="O14" s="305"/>
      <c r="P14" s="305"/>
      <c r="Q14" s="306"/>
      <c r="R14" s="306"/>
      <c r="S14" s="306"/>
      <c r="T14" s="306"/>
      <c r="U14" s="307"/>
    </row>
    <row r="15" spans="1:21" s="288" customFormat="1" ht="14" x14ac:dyDescent="0.3">
      <c r="B15" s="289">
        <v>0.4</v>
      </c>
      <c r="C15" s="292">
        <f t="shared" ref="C15:F17" si="5">C$14+C$10*($B15-$B$14)</f>
        <v>0.28333000000000003</v>
      </c>
      <c r="D15" s="292">
        <f t="shared" si="5"/>
        <v>1.3320000000000002E-2</v>
      </c>
      <c r="E15" s="292">
        <f t="shared" si="5"/>
        <v>3.6670000000000015E-2</v>
      </c>
      <c r="F15" s="292">
        <f t="shared" si="5"/>
        <v>6.6679999999999989E-2</v>
      </c>
      <c r="G15" s="292">
        <f>SUM(C15:F15)</f>
        <v>0.4</v>
      </c>
      <c r="I15" s="303" t="s">
        <v>369</v>
      </c>
      <c r="J15" s="303"/>
      <c r="U15" s="308"/>
    </row>
    <row r="16" spans="1:21" s="288" customFormat="1" ht="14" x14ac:dyDescent="0.3">
      <c r="B16" s="289">
        <v>1</v>
      </c>
      <c r="C16" s="292">
        <f t="shared" si="5"/>
        <v>0.54330999999999996</v>
      </c>
      <c r="D16" s="292">
        <f t="shared" si="5"/>
        <v>3.3300000000000003E-2</v>
      </c>
      <c r="E16" s="292">
        <f t="shared" si="5"/>
        <v>0.25669000000000003</v>
      </c>
      <c r="F16" s="292">
        <f t="shared" si="5"/>
        <v>0.16669999999999999</v>
      </c>
      <c r="G16" s="292">
        <f t="shared" ref="G16:G17" si="6">SUM(C16:F16)</f>
        <v>0.99999999999999989</v>
      </c>
      <c r="U16" s="308"/>
    </row>
    <row r="17" spans="2:21" s="288" customFormat="1" ht="14" x14ac:dyDescent="0.3">
      <c r="B17" s="289">
        <v>1.5</v>
      </c>
      <c r="C17" s="292">
        <f t="shared" si="5"/>
        <v>0.75995999999999997</v>
      </c>
      <c r="D17" s="292">
        <f t="shared" si="5"/>
        <v>4.9950000000000001E-2</v>
      </c>
      <c r="E17" s="292">
        <f t="shared" si="5"/>
        <v>0.44004000000000004</v>
      </c>
      <c r="F17" s="292">
        <f t="shared" si="5"/>
        <v>0.25004999999999994</v>
      </c>
      <c r="G17" s="292">
        <f t="shared" si="6"/>
        <v>1.5</v>
      </c>
      <c r="U17" s="308"/>
    </row>
    <row r="18" spans="2:21" s="288" customFormat="1" ht="14" x14ac:dyDescent="0.3">
      <c r="B18" s="289" t="s">
        <v>361</v>
      </c>
      <c r="C18" s="294" t="s">
        <v>362</v>
      </c>
      <c r="D18" s="294"/>
      <c r="E18" s="294"/>
      <c r="F18" s="294"/>
      <c r="G18" s="294"/>
      <c r="U18" s="308"/>
    </row>
    <row r="19" spans="2:21" s="288" customFormat="1" ht="14" x14ac:dyDescent="0.3">
      <c r="U19" s="308"/>
    </row>
    <row r="20" spans="2:21" s="288" customFormat="1" ht="14" x14ac:dyDescent="0.3">
      <c r="U20" s="308"/>
    </row>
    <row r="21" spans="2:21" s="288" customFormat="1" ht="14" x14ac:dyDescent="0.3">
      <c r="U21" s="308"/>
    </row>
    <row r="22" spans="2:21" s="288" customFormat="1" ht="17.5" customHeight="1" x14ac:dyDescent="0.3">
      <c r="U22" s="308"/>
    </row>
    <row r="23" spans="2:21" s="288" customFormat="1" ht="27.5" customHeight="1" x14ac:dyDescent="0.3">
      <c r="U23" s="308"/>
    </row>
    <row r="24" spans="2:21" s="288" customFormat="1" ht="14" x14ac:dyDescent="0.3">
      <c r="U24" s="308"/>
    </row>
    <row r="25" spans="2:21" s="288" customFormat="1" ht="14" x14ac:dyDescent="0.3">
      <c r="U25" s="308"/>
    </row>
    <row r="26" spans="2:21" s="288" customFormat="1" ht="14" x14ac:dyDescent="0.3">
      <c r="U26" s="308"/>
    </row>
    <row r="27" spans="2:21" s="288" customFormat="1" ht="14" x14ac:dyDescent="0.3">
      <c r="U27" s="308"/>
    </row>
    <row r="28" spans="2:21" s="288" customFormat="1" ht="14" x14ac:dyDescent="0.3">
      <c r="U28" s="308"/>
    </row>
    <row r="29" spans="2:21" s="288" customFormat="1" ht="14" x14ac:dyDescent="0.3">
      <c r="U29" s="308"/>
    </row>
    <row r="30" spans="2:21" s="288" customFormat="1" ht="14" x14ac:dyDescent="0.3">
      <c r="U30" s="308"/>
    </row>
    <row r="31" spans="2:21" s="288" customFormat="1" ht="14" x14ac:dyDescent="0.3">
      <c r="U31" s="308"/>
    </row>
    <row r="32" spans="2:21" s="288" customFormat="1" ht="14" x14ac:dyDescent="0.3">
      <c r="U32" s="308"/>
    </row>
  </sheetData>
  <mergeCells count="11">
    <mergeCell ref="C11:G11"/>
    <mergeCell ref="B12:G12"/>
    <mergeCell ref="L12:P12"/>
    <mergeCell ref="Q12:U12"/>
    <mergeCell ref="C18:G18"/>
    <mergeCell ref="I5:I6"/>
    <mergeCell ref="J5:J6"/>
    <mergeCell ref="K5:K6"/>
    <mergeCell ref="L5:P5"/>
    <mergeCell ref="Q5:U5"/>
    <mergeCell ref="B7: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4" t="str">
        <f>'ReadMe-Directions'!A1</f>
        <v>Colorado River Basin Accounts: Provoke discussion about more adaptive operations</v>
      </c>
      <c r="B1" s="234"/>
      <c r="C1" s="234"/>
      <c r="D1" s="234"/>
      <c r="E1" s="234"/>
      <c r="F1" s="234"/>
      <c r="G1" s="234"/>
    </row>
    <row r="2" spans="1:14" x14ac:dyDescent="0.35">
      <c r="A2" s="1" t="s">
        <v>289</v>
      </c>
      <c r="B2" s="1"/>
    </row>
    <row r="3" spans="1:14" ht="32.15" customHeight="1" x14ac:dyDescent="0.35">
      <c r="A3" s="244" t="s">
        <v>284</v>
      </c>
      <c r="B3" s="244"/>
      <c r="C3" s="244"/>
      <c r="D3" s="244"/>
      <c r="E3" s="244"/>
      <c r="F3" s="244"/>
      <c r="G3" s="244"/>
      <c r="H3" s="88"/>
      <c r="I3" s="88"/>
      <c r="J3" s="88"/>
      <c r="K3" s="88"/>
      <c r="N3" s="144" t="s">
        <v>248</v>
      </c>
    </row>
    <row r="4" spans="1:14" x14ac:dyDescent="0.35">
      <c r="A4" s="134" t="s">
        <v>190</v>
      </c>
      <c r="B4" s="134" t="s">
        <v>31</v>
      </c>
      <c r="C4" s="245" t="s">
        <v>32</v>
      </c>
      <c r="D4" s="246"/>
      <c r="E4" s="246"/>
      <c r="F4" s="246"/>
      <c r="G4" s="247"/>
      <c r="N4" s="146" t="s">
        <v>212</v>
      </c>
    </row>
    <row r="5" spans="1:14" x14ac:dyDescent="0.35">
      <c r="A5" s="96" t="s">
        <v>28</v>
      </c>
      <c r="B5" s="120"/>
      <c r="C5" s="248"/>
      <c r="D5" s="243"/>
      <c r="E5" s="243"/>
      <c r="F5" s="243"/>
      <c r="G5" s="243"/>
      <c r="N5" s="149"/>
    </row>
    <row r="6" spans="1:14" x14ac:dyDescent="0.35">
      <c r="A6" s="96" t="s">
        <v>29</v>
      </c>
      <c r="B6" s="120"/>
      <c r="C6" s="248"/>
      <c r="D6" s="243"/>
      <c r="E6" s="243"/>
      <c r="F6" s="243"/>
      <c r="G6" s="243"/>
      <c r="N6" s="149"/>
    </row>
    <row r="7" spans="1:14" x14ac:dyDescent="0.35">
      <c r="A7" s="96" t="s">
        <v>30</v>
      </c>
      <c r="B7" s="120"/>
      <c r="C7" s="248"/>
      <c r="D7" s="243"/>
      <c r="E7" s="243"/>
      <c r="F7" s="243"/>
      <c r="G7" s="243"/>
      <c r="N7" s="149"/>
    </row>
    <row r="8" spans="1:14" x14ac:dyDescent="0.35">
      <c r="A8" s="120" t="s">
        <v>94</v>
      </c>
      <c r="B8" s="96"/>
      <c r="C8" s="243"/>
      <c r="D8" s="243"/>
      <c r="E8" s="243"/>
      <c r="F8" s="243"/>
      <c r="G8" s="243"/>
      <c r="N8" s="149"/>
    </row>
    <row r="9" spans="1:14" x14ac:dyDescent="0.35">
      <c r="A9" s="120" t="s">
        <v>261</v>
      </c>
      <c r="B9" s="96"/>
      <c r="C9" s="249"/>
      <c r="D9" s="249"/>
      <c r="E9" s="249"/>
      <c r="F9" s="249"/>
      <c r="G9" s="249"/>
      <c r="N9" s="149"/>
    </row>
    <row r="10" spans="1:14" x14ac:dyDescent="0.35">
      <c r="A10" s="121" t="s">
        <v>97</v>
      </c>
      <c r="B10" s="121"/>
      <c r="C10" s="259"/>
      <c r="D10" s="259"/>
      <c r="E10" s="259"/>
      <c r="F10" s="259"/>
      <c r="G10" s="259"/>
      <c r="N10" s="149"/>
    </row>
    <row r="11" spans="1:14" x14ac:dyDescent="0.35">
      <c r="A11" s="14"/>
      <c r="B11" s="2"/>
      <c r="C11"/>
      <c r="N11" s="149"/>
    </row>
    <row r="12" spans="1:14" x14ac:dyDescent="0.35">
      <c r="A12" s="16" t="s">
        <v>191</v>
      </c>
      <c r="B12" s="250" t="s">
        <v>193</v>
      </c>
      <c r="C12" s="251"/>
      <c r="D12" s="252"/>
      <c r="N12" s="148" t="s">
        <v>213</v>
      </c>
    </row>
    <row r="13" spans="1:14" x14ac:dyDescent="0.35">
      <c r="B13" s="253" t="s">
        <v>194</v>
      </c>
      <c r="C13" s="254"/>
      <c r="D13" s="255"/>
      <c r="N13" s="149"/>
    </row>
    <row r="14" spans="1:14" x14ac:dyDescent="0.35">
      <c r="B14" s="235" t="s">
        <v>195</v>
      </c>
      <c r="C14" s="236"/>
      <c r="D14" s="237"/>
      <c r="N14" s="149"/>
    </row>
    <row r="15" spans="1:14" x14ac:dyDescent="0.35">
      <c r="B15" s="238" t="s">
        <v>33</v>
      </c>
      <c r="C15" s="239"/>
      <c r="D15" s="240"/>
      <c r="N15" s="149"/>
    </row>
    <row r="16" spans="1:14" x14ac:dyDescent="0.35">
      <c r="N16" s="149"/>
    </row>
    <row r="17" spans="1:14" x14ac:dyDescent="0.35">
      <c r="A17" s="1" t="s">
        <v>192</v>
      </c>
      <c r="B17" s="1" t="s">
        <v>81</v>
      </c>
      <c r="C17" s="12" t="s">
        <v>82</v>
      </c>
      <c r="N17" s="148" t="s">
        <v>214</v>
      </c>
    </row>
    <row r="18" spans="1:14" x14ac:dyDescent="0.35">
      <c r="A18" t="s">
        <v>80</v>
      </c>
      <c r="B18" s="116">
        <v>5.73</v>
      </c>
      <c r="C18" s="116">
        <v>6</v>
      </c>
      <c r="D18" s="17"/>
      <c r="N18" s="148" t="s">
        <v>216</v>
      </c>
    </row>
    <row r="19" spans="1:14" x14ac:dyDescent="0.35">
      <c r="A19" t="s">
        <v>209</v>
      </c>
      <c r="B19" s="116">
        <v>7.2</v>
      </c>
      <c r="C19" s="116">
        <v>9</v>
      </c>
      <c r="D19" s="136" t="s">
        <v>198</v>
      </c>
      <c r="F19" s="136"/>
      <c r="N19" s="148" t="s">
        <v>215</v>
      </c>
    </row>
    <row r="20" spans="1:14" x14ac:dyDescent="0.35">
      <c r="A20" t="s">
        <v>107</v>
      </c>
      <c r="B20" s="167">
        <v>3525</v>
      </c>
      <c r="C20" s="167">
        <v>1020</v>
      </c>
      <c r="D20" s="11"/>
      <c r="N20" s="148" t="s">
        <v>217</v>
      </c>
    </row>
    <row r="21" spans="1:14" x14ac:dyDescent="0.35">
      <c r="A21" t="s">
        <v>104</v>
      </c>
      <c r="B21" s="116">
        <f>VLOOKUP(B20,'Powell-Elevation-Area'!$A$5:$B$689,2)/1000000</f>
        <v>5.9265762500000001</v>
      </c>
      <c r="C21" s="116">
        <f>VLOOKUP(C20,'Mead-Elevation-Area'!$A$5:$B$689,2)/1000000</f>
        <v>5.664593</v>
      </c>
      <c r="D21" s="11"/>
      <c r="E21" s="29"/>
      <c r="N21" s="148" t="s">
        <v>219</v>
      </c>
    </row>
    <row r="22" spans="1:14" x14ac:dyDescent="0.35">
      <c r="A22" t="s">
        <v>203</v>
      </c>
      <c r="B22" s="116">
        <f>78.1</f>
        <v>78.099999999999994</v>
      </c>
      <c r="C22"/>
      <c r="D22" s="117"/>
      <c r="E22" s="29"/>
      <c r="N22" s="148" t="s">
        <v>218</v>
      </c>
    </row>
    <row r="23" spans="1:14" x14ac:dyDescent="0.35">
      <c r="A23" t="s">
        <v>204</v>
      </c>
      <c r="B23" s="137">
        <v>0.17</v>
      </c>
      <c r="C23"/>
      <c r="D23" s="117"/>
      <c r="E23" s="29"/>
      <c r="N23" s="148" t="s">
        <v>220</v>
      </c>
    </row>
    <row r="24" spans="1:14" x14ac:dyDescent="0.35">
      <c r="A24" t="s">
        <v>202</v>
      </c>
      <c r="B24" s="116">
        <f>10*(7.5+1.5/2)-B22-B23</f>
        <v>4.2300000000000058</v>
      </c>
      <c r="C24"/>
      <c r="D24" s="117"/>
      <c r="E24" s="29"/>
      <c r="N24" s="148" t="s">
        <v>221</v>
      </c>
    </row>
    <row r="25" spans="1:14" x14ac:dyDescent="0.35">
      <c r="A25" t="s">
        <v>252</v>
      </c>
      <c r="B25" s="116">
        <f>2.3 - IF(A9&lt;&gt;"",1.06,0)</f>
        <v>1.2399999999999998</v>
      </c>
      <c r="C25"/>
      <c r="D25" s="117"/>
      <c r="E25" s="29"/>
      <c r="N25" s="148" t="s">
        <v>255</v>
      </c>
    </row>
    <row r="26" spans="1:14" x14ac:dyDescent="0.35">
      <c r="B26" s="29"/>
      <c r="N26" s="149"/>
    </row>
    <row r="27" spans="1:14" s="1" customFormat="1" hidden="1" x14ac:dyDescent="0.35">
      <c r="A27" s="108" t="s">
        <v>183</v>
      </c>
      <c r="B27" s="109" t="s">
        <v>34</v>
      </c>
      <c r="C27" s="109" t="s">
        <v>0</v>
      </c>
      <c r="D27" s="109" t="s">
        <v>1</v>
      </c>
      <c r="E27" s="109" t="s">
        <v>2</v>
      </c>
      <c r="F27" s="109" t="s">
        <v>3</v>
      </c>
      <c r="G27" s="109" t="s">
        <v>4</v>
      </c>
      <c r="H27" s="109" t="s">
        <v>5</v>
      </c>
      <c r="I27" s="109" t="s">
        <v>6</v>
      </c>
      <c r="J27" s="109" t="s">
        <v>7</v>
      </c>
      <c r="K27" s="109" t="s">
        <v>26</v>
      </c>
      <c r="L27" s="109" t="s">
        <v>27</v>
      </c>
      <c r="M27" s="109" t="s">
        <v>79</v>
      </c>
      <c r="N27" s="145" t="str">
        <f>N3</f>
        <v>HELP, CONTEXT, and SUGGESTIONS</v>
      </c>
    </row>
    <row r="28" spans="1:14" x14ac:dyDescent="0.35">
      <c r="A28" s="131" t="s">
        <v>179</v>
      </c>
      <c r="B28" s="1"/>
      <c r="C28" s="103">
        <v>0</v>
      </c>
      <c r="D28" s="103">
        <v>0</v>
      </c>
      <c r="E28" s="103">
        <v>0.2</v>
      </c>
      <c r="F28" s="103">
        <v>2.1</v>
      </c>
      <c r="G28" s="103">
        <v>3.5</v>
      </c>
      <c r="H28" s="103">
        <v>6</v>
      </c>
      <c r="I28" s="103">
        <v>8</v>
      </c>
      <c r="J28" s="103">
        <v>11.26</v>
      </c>
      <c r="K28" s="103">
        <v>12.5</v>
      </c>
      <c r="L28" s="103">
        <v>16</v>
      </c>
      <c r="N28" s="146" t="s">
        <v>222</v>
      </c>
    </row>
    <row r="29" spans="1:14" x14ac:dyDescent="0.35">
      <c r="A29" s="1" t="s">
        <v>86</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223</v>
      </c>
    </row>
    <row r="30" spans="1:14" x14ac:dyDescent="0.35">
      <c r="A30" s="1" t="s">
        <v>165</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224</v>
      </c>
    </row>
    <row r="31" spans="1:14" x14ac:dyDescent="0.35">
      <c r="A31" s="1" t="s">
        <v>152</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225</v>
      </c>
    </row>
    <row r="32" spans="1:14" x14ac:dyDescent="0.35">
      <c r="A32" s="1" t="s">
        <v>286</v>
      </c>
      <c r="C32"/>
      <c r="N32" s="148" t="s">
        <v>246</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287</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181</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227</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182</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228</v>
      </c>
    </row>
    <row r="39" spans="1:16" x14ac:dyDescent="0.35">
      <c r="A39" s="131" t="s">
        <v>205</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f>Master!C50</f>
        <v>9</v>
      </c>
      <c r="N39" s="147" t="s">
        <v>229</v>
      </c>
    </row>
    <row r="40" spans="1:16" x14ac:dyDescent="0.35">
      <c r="A40" t="str">
        <f t="shared" ref="A40:A45" si="6">IF(A5="","","    To "&amp;A5)</f>
        <v xml:space="preserve">    To Upper Basin</v>
      </c>
      <c r="B40" s="100" t="s">
        <v>253</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f>Master!C51</f>
        <v>0.25609543566162268</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f>Master!C52</f>
        <v>0.55871746031746028</v>
      </c>
      <c r="N41" s="150"/>
      <c r="P41" s="84"/>
    </row>
    <row r="42" spans="1:16" x14ac:dyDescent="0.35">
      <c r="A42" t="str">
        <f t="shared" si="6"/>
        <v xml:space="preserve">    To Mexico</v>
      </c>
      <c r="B42" s="101" t="s">
        <v>307</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f>Master!C53</f>
        <v>1.3048850574712643</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91">
        <f>Master!C54</f>
        <v>3.3000000000000002E-2</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f>Master!C55</f>
        <v>0.16700000000000001</v>
      </c>
      <c r="N44" s="150"/>
    </row>
    <row r="45" spans="1:16" x14ac:dyDescent="0.35">
      <c r="A45" t="str">
        <f t="shared" si="6"/>
        <v xml:space="preserve">    To Shared, Reserve</v>
      </c>
      <c r="B45" s="101" t="s">
        <v>172</v>
      </c>
      <c r="C45" s="192">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f>Master!C56</f>
        <v>1.0975736133704127E-2</v>
      </c>
      <c r="N45" s="150"/>
    </row>
    <row r="46" spans="1:16" x14ac:dyDescent="0.35">
      <c r="A46" t="str">
        <f>IF(A31="","","    To "&amp;A31)</f>
        <v xml:space="preserve">    To Havasu / Parker evaporation and ET</v>
      </c>
      <c r="B46" s="159" t="s">
        <v>254</v>
      </c>
      <c r="C46" s="193">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f>Master!C57</f>
        <v>0.6</v>
      </c>
      <c r="N46" s="150"/>
    </row>
    <row r="47" spans="1:16" x14ac:dyDescent="0.35">
      <c r="B47" s="20"/>
      <c r="C47" s="19"/>
      <c r="D47" s="19"/>
      <c r="E47" s="19"/>
      <c r="F47" s="122"/>
      <c r="G47" s="29"/>
      <c r="N47" s="149"/>
    </row>
    <row r="48" spans="1:16" x14ac:dyDescent="0.35">
      <c r="B48" t="s">
        <v>301</v>
      </c>
      <c r="C48" s="191">
        <f>SUM(C40:C46)</f>
        <v>0</v>
      </c>
      <c r="D48" s="191">
        <f>SUM(D40:D46)</f>
        <v>0.6</v>
      </c>
      <c r="E48" s="191">
        <f t="shared" ref="E48:L48" si="15">SUM(E40:E46)</f>
        <v>1.2</v>
      </c>
      <c r="F48" s="191">
        <f t="shared" si="15"/>
        <v>3.1000000000000005</v>
      </c>
      <c r="G48" s="191">
        <f t="shared" si="15"/>
        <v>4.5</v>
      </c>
      <c r="H48" s="191">
        <f t="shared" si="15"/>
        <v>7</v>
      </c>
      <c r="I48" s="191">
        <f t="shared" si="15"/>
        <v>8.9999999999999982</v>
      </c>
      <c r="J48" s="191">
        <f t="shared" si="15"/>
        <v>12.26</v>
      </c>
      <c r="K48" s="191">
        <f t="shared" si="15"/>
        <v>13.5</v>
      </c>
      <c r="L48" s="191">
        <f t="shared" si="15"/>
        <v>17.000000000000004</v>
      </c>
    </row>
    <row r="49" spans="1:8" x14ac:dyDescent="0.35">
      <c r="D49" s="15"/>
    </row>
    <row r="50" spans="1:8" x14ac:dyDescent="0.35">
      <c r="B50" s="2"/>
      <c r="H50" s="122">
        <f>SUM(I42:I46)</f>
        <v>4.4849790327249481</v>
      </c>
    </row>
    <row r="53" spans="1:8" x14ac:dyDescent="0.35">
      <c r="A53" t="s">
        <v>302</v>
      </c>
      <c r="B53">
        <v>8.1999999999999993</v>
      </c>
    </row>
    <row r="54" spans="1:8" x14ac:dyDescent="0.35">
      <c r="A54" t="s">
        <v>303</v>
      </c>
      <c r="B54">
        <v>1.2</v>
      </c>
    </row>
    <row r="55" spans="1:8" x14ac:dyDescent="0.35">
      <c r="A55" t="s">
        <v>304</v>
      </c>
      <c r="B55">
        <v>0.95</v>
      </c>
    </row>
    <row r="56" spans="1:8" x14ac:dyDescent="0.35">
      <c r="A56" t="s">
        <v>305</v>
      </c>
      <c r="B56">
        <f>1.5/2</f>
        <v>0.75</v>
      </c>
    </row>
    <row r="57" spans="1:8" x14ac:dyDescent="0.35">
      <c r="A57" t="s">
        <v>306</v>
      </c>
      <c r="B57">
        <f>B53-SUM(B54:B56)</f>
        <v>5.2999999999999989</v>
      </c>
    </row>
    <row r="58" spans="1:8" x14ac:dyDescent="0.35">
      <c r="B58" s="194"/>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117</v>
      </c>
    </row>
    <row r="3" spans="1:16" s="1" customFormat="1" x14ac:dyDescent="0.35">
      <c r="D3" s="260" t="s">
        <v>118</v>
      </c>
      <c r="E3" s="260"/>
      <c r="F3" s="260" t="s">
        <v>119</v>
      </c>
      <c r="G3" s="260"/>
      <c r="H3" s="260"/>
      <c r="I3" s="260" t="s">
        <v>120</v>
      </c>
      <c r="J3" s="260"/>
      <c r="K3" s="260"/>
      <c r="L3" s="141"/>
      <c r="M3" s="260" t="s">
        <v>30</v>
      </c>
      <c r="N3" s="260"/>
      <c r="O3" s="260"/>
    </row>
    <row r="4" spans="1:16" s="49" customFormat="1" ht="42.65" customHeight="1" x14ac:dyDescent="0.35">
      <c r="A4" s="48" t="s">
        <v>87</v>
      </c>
      <c r="B4" s="48" t="s">
        <v>88</v>
      </c>
      <c r="C4" s="48" t="s">
        <v>129</v>
      </c>
      <c r="D4" s="48" t="s">
        <v>121</v>
      </c>
      <c r="E4" s="48" t="s">
        <v>122</v>
      </c>
      <c r="F4" s="48" t="s">
        <v>121</v>
      </c>
      <c r="G4" s="48" t="s">
        <v>122</v>
      </c>
      <c r="H4" s="48" t="s">
        <v>123</v>
      </c>
      <c r="I4" s="48" t="s">
        <v>121</v>
      </c>
      <c r="J4" s="48" t="s">
        <v>122</v>
      </c>
      <c r="K4" s="48" t="s">
        <v>123</v>
      </c>
      <c r="L4" s="48" t="s">
        <v>127</v>
      </c>
      <c r="M4" s="48" t="s">
        <v>125</v>
      </c>
      <c r="N4" s="48" t="s">
        <v>126</v>
      </c>
      <c r="O4" s="48" t="s">
        <v>124</v>
      </c>
      <c r="P4" s="48" t="s">
        <v>89</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128</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AllocateAvailableWater</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2024-11-08T19:06:05Z</dcterms:modified>
</cp:coreProperties>
</file>