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EAFB9AE1-1D77-4289-BC9D-DDDA16CA5912}" xr6:coauthVersionLast="47" xr6:coauthVersionMax="47" xr10:uidLastSave="{00000000-0000-0000-0000-000000000000}"/>
  <bookViews>
    <workbookView xWindow="57480" yWindow="-1260" windowWidth="29040" windowHeight="157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64" l="1"/>
  <c r="I26" i="64"/>
  <c r="I25" i="64"/>
  <c r="I24" i="64"/>
  <c r="I23" i="64"/>
  <c r="I22" i="64"/>
  <c r="I21" i="64"/>
  <c r="I20" i="64"/>
  <c r="I19" i="64"/>
  <c r="I18" i="64"/>
  <c r="I17" i="64"/>
  <c r="I16" i="64"/>
  <c r="I15" i="64"/>
  <c r="I14" i="64"/>
  <c r="I13" i="64"/>
  <c r="I12" i="64"/>
  <c r="I11" i="64"/>
  <c r="I10" i="64"/>
  <c r="I9" i="64"/>
  <c r="I8" i="64"/>
  <c r="I7" i="64"/>
  <c r="I6" i="64"/>
  <c r="C36" i="47"/>
  <c r="C20" i="47"/>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B36" i="47" l="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57" i="47" l="1"/>
  <c r="G91" i="47" s="1"/>
  <c r="G93" i="47" s="1"/>
  <c r="G131" i="47" s="1"/>
  <c r="G83" i="47"/>
  <c r="G85" i="47" s="1"/>
  <c r="G130" i="47" s="1"/>
  <c r="G75" i="47"/>
  <c r="G77" i="47" s="1"/>
  <c r="G129" i="47" s="1"/>
  <c r="G58" i="47"/>
  <c r="G99" i="47" s="1"/>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<sst xmlns="http://schemas.openxmlformats.org/spreadsheetml/2006/main" count="581" uniqueCount="420">
  <si>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</si>
  <si>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</si>
  <si>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</si>
  <si>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</si>
  <si>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</si>
  <si>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</si>
  <si>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</si>
  <si>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</si>
  <si>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</si>
  <si>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</si>
  <si>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</si>
  <si>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</si>
  <si>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</si>
  <si>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</si>
  <si>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</si>
  <si>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</si>
  <si>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</si>
  <si>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</si>
  <si>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</si>
  <si>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</si>
  <si>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</si>
  <si>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</si>
  <si>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</si>
  <si>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</si>
  <si>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</si>
  <si>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</si>
  <si>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</si>
  <si>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</si>
  <si>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</si>
  <si>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</si>
  <si>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</si>
  <si>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</si>
  <si>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</si>
  <si>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</si>
  <si>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</si>
  <si>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</si>
  <si>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</si>
  <si>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</si>
  <si>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</si>
  <si>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</si>
  <si>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</si>
  <si>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</si>
  <si>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</si>
  <si>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</si>
  <si>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</si>
  <si>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</si>
  <si>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</si>
  <si>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</si>
  <si>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</si>
  <si>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</si>
  <si>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</si>
  <si>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</si>
  <si>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</si>
  <si>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</si>
  <si>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</si>
  <si>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</si>
  <si>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</si>
  <si>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</si>
  <si>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</si>
  <si>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</si>
  <si>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</si>
  <si>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</si>
  <si>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</si>
  <si>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</si>
  <si>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</si>
  <si>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</si>
  <si>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</si>
  <si>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</si>
  <si>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</si>
  <si>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</si>
  <si>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</si>
  <si>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</si>
  <si>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</si>
  <si>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</si>
  <si>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</si>
  <si>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</si>
  <si>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</si>
  <si>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</si>
  <si>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</si>
  <si>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</si>
  <si>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</si>
  <si>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</si>
  <si>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</si>
  <si>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</si>
  <si>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</si>
  <si>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</si>
  <si>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</si>
  <si>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</si>
  <si>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</si>
  <si>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</si>
  <si>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</si>
  <si>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</si>
  <si>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</si>
  <si>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</si>
  <si>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</si>
  <si>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</si>
  <si>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</si>
  <si>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</si>
  <si>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</si>
  <si>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</si>
  <si>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</si>
  <si>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</si>
  <si>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</si>
  <si>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</si>
  <si>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</si>
  <si>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</si>
  <si>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</si>
  <si>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</si>
  <si>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</si>
  <si>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</si>
  <si>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</si>
  <si>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</si>
  <si>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</si>
  <si>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</si>
  <si>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</si>
  <si>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</si>
  <si>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</si>
  <si>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</si>
  <si>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</si>
  <si>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</si>
  <si>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</si>
  <si>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</si>
  <si>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</si>
  <si>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</si>
  <si>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</si>
  <si>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</si>
  <si>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</si>
  <si>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</si>
  <si>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</si>
  <si>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</si>
  <si>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</si>
  <si>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</si>
  <si>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</si>
  <si>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</si>
  <si>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</si>
  <si>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</si>
  <si>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</si>
  <si>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</si>
  <si>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</si>
  <si>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</si>
  <si>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</si>
  <si>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</si>
  <si>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</si>
  <si>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</si>
  <si>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</si>
  <si>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</si>
  <si>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</si>
  <si>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</si>
  <si>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</si>
  <si>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</si>
  <si>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</si>
  <si>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</si>
  <si>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</si>
  <si>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</si>
  <si>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</si>
  <si>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</si>
  <si>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</si>
  <si>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</si>
  <si>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</si>
  <si>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</si>
  <si>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</si>
  <si>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</si>
  <si>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</si>
  <si>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</si>
  <si>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</si>
  <si>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</si>
  <si>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</si>
  <si>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</si>
  <si>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</si>
  <si>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</si>
  <si>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</si>
  <si>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</si>
  <si>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</si>
  <si>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</si>
  <si>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</si>
  <si>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</si>
  <si>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</si>
  <si>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</si>
  <si>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</si>
  <si>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</si>
  <si>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</si>
  <si>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</si>
  <si>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</si>
  <si>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</si>
  <si>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</si>
  <si>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</si>
  <si>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</si>
  <si>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</si>
  <si>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</si>
  <si>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</si>
  <si>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</si>
  <si>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</si>
  <si>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</si>
  <si>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</si>
  <si>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</si>
  <si>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</si>
  <si>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</si>
  <si>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</si>
  <si>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</si>
  <si>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</si>
  <si>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</si>
  <si>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</si>
  <si>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</si>
  <si>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</si>
  <si>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</si>
  <si>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</si>
  <si>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</si>
  <si>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</si>
  <si>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</si>
  <si>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</si>
  <si>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</si>
  <si>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</si>
  <si>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</si>
  <si>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</si>
  <si>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</si>
  <si>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</si>
  <si>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</si>
  <si>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</si>
  <si>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</si>
  <si>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</si>
  <si>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</si>
  <si>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</si>
  <si>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</si>
  <si>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</si>
  <si>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</si>
  <si>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</si>
  <si>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</si>
  <si>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</si>
  <si>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</si>
  <si>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</si>
  <si>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</si>
  <si>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</si>
  <si>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</si>
  <si>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</si>
  <si>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</si>
  <si>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</si>
  <si>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</si>
  <si>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</si>
  <si>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</si>
  <si>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</si>
  <si>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</si>
  <si>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</si>
  <si>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</si>
  <si>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</si>
  <si>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</si>
  <si>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</si>
  <si>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</si>
  <si>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</si>
  <si>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</si>
  <si>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</si>
  <si>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</si>
  <si>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</si>
  <si>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</si>
  <si>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</si>
  <si>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</si>
  <si>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</si>
  <si>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</si>
  <si>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</si>
  <si>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</si>
  <si>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</si>
  <si>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</si>
  <si>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</si>
  <si>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</si>
  <si>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</si>
  <si>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</si>
  <si>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</si>
  <si>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</si>
  <si>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</si>
  <si>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</si>
  <si>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</si>
  <si>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</si>
  <si>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</si>
  <si>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</si>
  <si>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</si>
  <si>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</si>
  <si>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</si>
  <si>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</si>
  <si>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</si>
  <si>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</si>
  <si>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</si>
  <si>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</si>
  <si>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</si>
  <si>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</si>
  <si>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</si>
  <si>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</si>
  <si>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</si>
  <si>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</si>
  <si>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</si>
  <si>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</si>
  <si>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</si>
  <si>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</si>
  <si>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</si>
  <si>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</si>
  <si>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</si>
  <si>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</si>
  <si>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</si>
  <si>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</si>
  <si>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</si>
  <si>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</si>
  <si>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</si>
  <si>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</si>
  <si>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</si>
  <si>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</si>
  <si>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</si>
  <si>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</si>
  <si>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</si>
  <si>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</si>
  <si>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</si>
  <si>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</si>
  <si>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</si>
  <si>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</si>
  <si>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</si>
  <si>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</si>
  <si>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</si>
  <si>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</si>
  <si>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</si>
  <si>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</si>
  <si>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</si>
  <si>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</si>
  <si>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</si>
  <si>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</si>
  <si>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</si>
  <si>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</si>
  <si>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</si>
  <si>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</si>
  <si>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</si>
  <si>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</si>
  <si>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</si>
  <si>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</si>
  <si>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</si>
  <si>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</si>
  <si>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</si>
  <si>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</si>
  <si>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</si>
  <si>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</si>
  <si>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</si>
  <si>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</si>
  <si>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</si>
  <si>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</si>
  <si>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</si>
  <si>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</si>
  <si>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</si>
  <si>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</si>
  <si>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</si>
  <si>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</si>
  <si>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</si>
  <si>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</si>
  <si>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</si>
  <si>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</si>
  <si>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</si>
  <si>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</si>
  <si>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</si>
  <si>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</si>
  <si>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</si>
  <si>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</si>
  <si>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</si>
  <si>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</si>
  <si>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</si>
  <si>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</si>
  <si>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</si>
  <si>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</si>
  <si>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</si>
  <si>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</si>
  <si>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</si>
  <si>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</si>
  <si>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</si>
  <si>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</si>
  <si>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</si>
  <si>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</si>
  <si>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Minimum Summation of Ensemble</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</si>
  <si>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</si>
  <si>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</si>
  <si>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</si>
  <si>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</si>
  <si>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</si>
  <si>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</si>
  <si>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</si>
  <si>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</si>
  <si>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</si>
  <si>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</si>
  <si>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</si>
  <si>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</si>
  <si>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</si>
  <si>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</si>
  <si>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</si>
  <si>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</si>
  <si>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</si>
  <si>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</si>
  <si>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</si>
  <si>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</si>
  <si>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</si>
  <si>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</si>
  <si>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</si>
  <si>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</si>
  <si>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</si>
  <si>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</si>
  <si>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</si>
  <si>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</si>
  <si>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</si>
  <si>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</si>
  <si>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</si>
  <si>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</si>
  <si>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</si>
  <si>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</si>
  <si>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</si>
  <si>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</si>
  <si>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</si>
  <si>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</si>
  <si>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</si>
  <si>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DATE). All Ensembles and traces were used in determining Lake Mead’s inflow. Using code written in Python, three consecutive smallest values in each trace were found.</t>
    </r>
  </si>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</sst>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s>
  <fills count="3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6" tint="0.39997558519241921"/>
        <bgColor indexed="64"/>
      </patternFill>
    </fill>
    <fill>
      <patternFill patternType="solid">
        <fgColor theme="6" tint="0.79998168889431442"/>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auto="1"/>
      </left>
      <right/>
      <top style="medium">
        <color indexed="64"/>
      </top>
      <bottom/>
      <diagonal/>
    </border>
    <border>
      <left style="thin">
        <color auto="1"/>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62">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7" fillId="29" borderId="21" xfId="0" applyFont="1" applyFill="1" applyBorder="1" applyAlignment="1">
      <alignment horizontal="center" vertical="top"/>
    </xf>
    <xf numFmtId="0" fontId="27" fillId="29" borderId="22" xfId="0" applyFont="1" applyFill="1" applyBorder="1" applyAlignment="1">
      <alignment horizontal="center" vertical="top"/>
    </xf>
    <xf numFmtId="0" fontId="28" fillId="29" borderId="23" xfId="0" applyFont="1" applyFill="1" applyBorder="1" applyAlignment="1">
      <alignment horizontal="center" vertical="top"/>
    </xf>
    <xf numFmtId="0" fontId="28" fillId="29" borderId="24" xfId="0" applyFont="1" applyFill="1" applyBorder="1" applyAlignment="1">
      <alignment horizontal="center" vertical="top"/>
    </xf>
    <xf numFmtId="0" fontId="27" fillId="30" borderId="25" xfId="0" applyFont="1" applyFill="1" applyBorder="1"/>
    <xf numFmtId="0" fontId="29" fillId="0" borderId="0" xfId="0" applyFont="1"/>
    <xf numFmtId="164" fontId="0" fillId="0" borderId="26" xfId="0" applyNumberFormat="1" applyBorder="1"/>
    <xf numFmtId="0" fontId="29" fillId="0" borderId="0" xfId="0" applyFont="1" applyAlignment="1">
      <alignment horizontal="center"/>
    </xf>
    <xf numFmtId="0" fontId="27" fillId="30" borderId="27" xfId="0" applyFont="1" applyFill="1" applyBorder="1"/>
    <xf numFmtId="0" fontId="29" fillId="0" borderId="28" xfId="0" applyFont="1" applyBorder="1"/>
    <xf numFmtId="0" fontId="0" fillId="0" borderId="28" xfId="0" applyBorder="1"/>
    <xf numFmtId="0" fontId="0" fillId="0" borderId="28" xfId="0" applyBorder="1" applyAlignment="1">
      <alignment horizontal="center"/>
    </xf>
    <xf numFmtId="164" fontId="0" fillId="0" borderId="29" xfId="0" applyNumberFormat="1" applyBorder="1"/>
    <xf numFmtId="0" fontId="30" fillId="0" borderId="0" xfId="0" applyFont="1"/>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abSelected="1" zoomScale="160" zoomScaleNormal="160" workbookViewId="0">
      <selection sqref="A1:L1"/>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3" max="13" width="3.81640625" customWidth="1"/>
  </cols>
  <sheetData>
    <row r="1" spans="1:18" ht="15.5" x14ac:dyDescent="0.35">
      <c r="A1" s="272" t="s">
        <v>310</v>
      </c>
      <c r="B1" s="272"/>
      <c r="C1" s="272"/>
      <c r="D1" s="272"/>
      <c r="E1" s="272"/>
      <c r="F1" s="272"/>
      <c r="G1" s="272"/>
      <c r="H1" s="272"/>
      <c r="I1" s="272"/>
      <c r="J1" s="272"/>
      <c r="K1" s="272"/>
      <c r="L1" s="272"/>
    </row>
    <row r="2" spans="1:18" x14ac:dyDescent="0.35">
      <c r="A2" s="1"/>
      <c r="B2" s="1"/>
      <c r="C2" s="2"/>
      <c r="D2"/>
    </row>
    <row r="3" spans="1:18" x14ac:dyDescent="0.35">
      <c r="A3" s="154" t="s">
        <v>165</v>
      </c>
      <c r="B3" s="155"/>
      <c r="C3" s="156"/>
      <c r="D3" s="157"/>
      <c r="E3" s="157"/>
      <c r="F3" s="157"/>
      <c r="G3" s="157"/>
      <c r="H3" s="157"/>
      <c r="I3" s="157"/>
      <c r="J3" s="157"/>
      <c r="K3" s="157"/>
      <c r="L3" s="158"/>
      <c r="N3" s="1"/>
    </row>
    <row r="4" spans="1:18" s="54" customFormat="1" ht="53.5" customHeight="1" x14ac:dyDescent="0.35">
      <c r="A4" s="273" t="s">
        <v>311</v>
      </c>
      <c r="B4" s="274"/>
      <c r="C4" s="274"/>
      <c r="D4" s="274"/>
      <c r="E4" s="274"/>
      <c r="F4" s="274"/>
      <c r="G4" s="274"/>
      <c r="H4" s="274"/>
      <c r="I4" s="274"/>
      <c r="J4" s="274"/>
      <c r="K4" s="274"/>
      <c r="L4" s="275"/>
      <c r="N4" s="276"/>
      <c r="O4" s="276"/>
      <c r="P4" s="276"/>
      <c r="Q4" s="276"/>
      <c r="R4" s="276"/>
    </row>
    <row r="5" spans="1:18" s="54" customFormat="1" ht="35" customHeight="1" x14ac:dyDescent="0.35">
      <c r="A5" s="277" t="s">
        <v>294</v>
      </c>
      <c r="B5" s="278"/>
      <c r="C5" s="278"/>
      <c r="D5" s="278"/>
      <c r="E5" s="278"/>
      <c r="F5" s="278"/>
      <c r="G5" s="278"/>
      <c r="H5" s="278"/>
      <c r="I5" s="278"/>
      <c r="J5" s="278"/>
      <c r="K5" s="278"/>
      <c r="L5" s="279"/>
      <c r="N5" s="113"/>
      <c r="O5" s="113"/>
      <c r="P5" s="113"/>
      <c r="Q5" s="113"/>
      <c r="R5" s="113"/>
    </row>
    <row r="6" spans="1:18" s="54" customFormat="1" ht="14" customHeight="1" x14ac:dyDescent="0.35">
      <c r="A6" s="277" t="s">
        <v>312</v>
      </c>
      <c r="B6" s="278"/>
      <c r="C6" s="278"/>
      <c r="D6" s="278"/>
      <c r="E6" s="278"/>
      <c r="F6" s="278"/>
      <c r="G6" s="278"/>
      <c r="H6" s="278"/>
      <c r="I6" s="278"/>
      <c r="J6" s="278"/>
      <c r="K6" s="278"/>
      <c r="L6" s="279"/>
      <c r="N6" s="113"/>
      <c r="O6" s="113"/>
      <c r="P6" s="113"/>
      <c r="Q6" s="113"/>
      <c r="R6" s="113"/>
    </row>
    <row r="7" spans="1:18" s="54" customFormat="1" ht="14" customHeight="1" x14ac:dyDescent="0.35">
      <c r="A7" s="232"/>
      <c r="B7" s="278" t="s">
        <v>313</v>
      </c>
      <c r="C7" s="278"/>
      <c r="D7" s="278"/>
      <c r="E7" s="278"/>
      <c r="F7" s="278"/>
      <c r="G7" s="278"/>
      <c r="H7" s="278"/>
      <c r="I7" s="278"/>
      <c r="J7" s="278"/>
      <c r="K7" s="278"/>
      <c r="L7" s="279"/>
      <c r="N7" s="113"/>
      <c r="O7" s="113"/>
      <c r="P7" s="113"/>
      <c r="Q7" s="113"/>
      <c r="R7" s="113"/>
    </row>
    <row r="8" spans="1:18" s="54" customFormat="1" ht="14" customHeight="1" x14ac:dyDescent="0.35">
      <c r="A8" s="233"/>
      <c r="B8" s="295" t="s">
        <v>314</v>
      </c>
      <c r="C8" s="295"/>
      <c r="D8" s="295"/>
      <c r="E8" s="295"/>
      <c r="F8" s="295"/>
      <c r="G8" s="295"/>
      <c r="H8" s="295"/>
      <c r="I8" s="295"/>
      <c r="J8" s="295"/>
      <c r="K8" s="295"/>
      <c r="L8" s="296"/>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97" t="s">
        <v>349</v>
      </c>
      <c r="B10" s="298"/>
      <c r="C10" s="298"/>
      <c r="D10" s="298"/>
      <c r="E10" s="298"/>
      <c r="F10" s="298"/>
      <c r="G10" s="298"/>
      <c r="H10" s="298"/>
      <c r="I10" s="298"/>
      <c r="J10" s="298"/>
      <c r="K10" s="298"/>
      <c r="L10" s="299"/>
    </row>
    <row r="11" spans="1:18" s="58" customFormat="1" ht="14.5" customHeight="1" x14ac:dyDescent="0.35">
      <c r="A11" s="253" t="s">
        <v>350</v>
      </c>
      <c r="B11" s="300" t="s">
        <v>353</v>
      </c>
      <c r="C11" s="300"/>
      <c r="D11" s="300"/>
      <c r="E11" s="300"/>
      <c r="F11" s="300"/>
      <c r="G11" s="300"/>
      <c r="H11" s="300"/>
      <c r="I11" s="300"/>
      <c r="J11" s="300"/>
      <c r="K11" s="300"/>
      <c r="L11" s="301"/>
    </row>
    <row r="12" spans="1:18" s="59" customFormat="1" ht="161.5" customHeight="1" x14ac:dyDescent="0.35">
      <c r="A12" s="245"/>
      <c r="B12" s="251"/>
      <c r="C12" s="251"/>
      <c r="D12" s="251"/>
      <c r="E12" s="251"/>
      <c r="F12" s="251"/>
      <c r="G12" s="251"/>
      <c r="H12" s="251"/>
      <c r="I12" s="251"/>
      <c r="J12" s="251"/>
      <c r="K12" s="251"/>
      <c r="L12" s="252"/>
    </row>
    <row r="13" spans="1:18" s="58" customFormat="1" ht="14.5" customHeight="1" x14ac:dyDescent="0.35">
      <c r="A13" s="253" t="s">
        <v>351</v>
      </c>
      <c r="B13" s="300" t="s">
        <v>354</v>
      </c>
      <c r="C13" s="300"/>
      <c r="D13" s="300"/>
      <c r="E13" s="300"/>
      <c r="F13" s="300"/>
      <c r="G13" s="300"/>
      <c r="H13" s="300"/>
      <c r="I13" s="300"/>
      <c r="J13" s="300"/>
      <c r="K13" s="300"/>
      <c r="L13" s="301"/>
    </row>
    <row r="14" spans="1:18" s="59" customFormat="1" ht="90.5" customHeight="1" x14ac:dyDescent="0.35">
      <c r="A14" s="245"/>
      <c r="B14" s="311"/>
      <c r="C14" s="311"/>
      <c r="D14" s="311"/>
      <c r="E14" s="311"/>
      <c r="F14" s="311"/>
      <c r="G14" s="311"/>
      <c r="H14" s="311"/>
      <c r="I14" s="311"/>
      <c r="J14" s="311"/>
      <c r="K14" s="311"/>
      <c r="L14" s="312"/>
    </row>
    <row r="15" spans="1:18" s="58" customFormat="1" ht="29" customHeight="1" x14ac:dyDescent="0.35">
      <c r="A15" s="253" t="s">
        <v>352</v>
      </c>
      <c r="B15" s="300" t="s">
        <v>355</v>
      </c>
      <c r="C15" s="300"/>
      <c r="D15" s="300"/>
      <c r="E15" s="300"/>
      <c r="F15" s="300"/>
      <c r="G15" s="300"/>
      <c r="H15" s="300"/>
      <c r="I15" s="300"/>
      <c r="J15" s="300"/>
      <c r="K15" s="300"/>
      <c r="L15" s="301"/>
    </row>
    <row r="16" spans="1:18" s="59" customFormat="1" ht="94.5" customHeight="1" x14ac:dyDescent="0.35">
      <c r="A16" s="245"/>
      <c r="B16" s="251"/>
      <c r="C16" s="251"/>
      <c r="D16" s="251"/>
      <c r="E16" s="251"/>
      <c r="F16" s="251"/>
      <c r="G16" s="251"/>
      <c r="H16" s="251"/>
      <c r="I16" s="251"/>
      <c r="J16" s="251"/>
      <c r="K16" s="251"/>
      <c r="L16" s="252"/>
    </row>
    <row r="17" spans="1:14" s="59" customFormat="1" ht="14.5" customHeight="1" x14ac:dyDescent="0.35">
      <c r="A17" s="309" t="s">
        <v>359</v>
      </c>
      <c r="B17" s="310"/>
      <c r="C17" s="310"/>
      <c r="D17" s="310"/>
      <c r="E17" s="250" t="s">
        <v>360</v>
      </c>
      <c r="F17" s="248"/>
      <c r="G17" s="248"/>
      <c r="H17" s="248"/>
      <c r="I17" s="248"/>
      <c r="J17" s="248"/>
      <c r="K17" s="248"/>
      <c r="L17" s="249"/>
    </row>
    <row r="18" spans="1:14" s="59" customFormat="1" ht="14.5" customHeight="1" x14ac:dyDescent="0.35">
      <c r="A18" s="113"/>
      <c r="B18" s="113"/>
      <c r="C18" s="113"/>
      <c r="D18" s="113"/>
      <c r="E18" s="113"/>
      <c r="F18" s="113"/>
      <c r="G18" s="113"/>
      <c r="H18" s="113"/>
      <c r="I18" s="113"/>
      <c r="J18" s="113"/>
      <c r="K18" s="113"/>
      <c r="L18" s="113"/>
    </row>
    <row r="19" spans="1:14" s="59" customFormat="1" ht="14.5" customHeight="1" x14ac:dyDescent="0.35">
      <c r="A19" s="280" t="s">
        <v>166</v>
      </c>
      <c r="B19" s="281"/>
      <c r="C19" s="281"/>
      <c r="D19" s="281"/>
      <c r="E19" s="281"/>
      <c r="F19" s="281"/>
      <c r="G19" s="281"/>
      <c r="H19" s="281"/>
      <c r="I19" s="281"/>
      <c r="J19" s="281"/>
      <c r="K19" s="281"/>
      <c r="L19" s="282"/>
    </row>
    <row r="20" spans="1:14" s="59" customFormat="1" ht="14.5" customHeight="1" x14ac:dyDescent="0.35">
      <c r="A20" s="283" t="s">
        <v>295</v>
      </c>
      <c r="B20" s="284"/>
      <c r="C20" s="284"/>
      <c r="D20" s="284"/>
      <c r="E20" s="284"/>
      <c r="F20" s="284"/>
      <c r="G20" s="284"/>
      <c r="H20" s="284"/>
      <c r="I20" s="284"/>
      <c r="J20" s="284"/>
      <c r="K20" s="284"/>
      <c r="L20" s="285"/>
    </row>
    <row r="21" spans="1:14" s="59" customFormat="1" ht="14.5" customHeight="1" x14ac:dyDescent="0.35">
      <c r="A21" s="286" t="s">
        <v>296</v>
      </c>
      <c r="B21" s="287"/>
      <c r="C21" s="287"/>
      <c r="D21" s="287"/>
      <c r="E21" s="287"/>
      <c r="F21" s="287"/>
      <c r="G21" s="287"/>
      <c r="H21" s="287"/>
      <c r="I21" s="287"/>
      <c r="J21" s="287"/>
      <c r="K21" s="287"/>
      <c r="L21" s="288"/>
    </row>
    <row r="22" spans="1:14" s="59" customFormat="1" ht="14.5" customHeight="1" x14ac:dyDescent="0.35">
      <c r="A22" s="286" t="s">
        <v>167</v>
      </c>
      <c r="B22" s="287"/>
      <c r="C22" s="287"/>
      <c r="D22" s="287"/>
      <c r="E22" s="287"/>
      <c r="F22" s="287"/>
      <c r="G22" s="287"/>
      <c r="H22" s="287"/>
      <c r="I22" s="287"/>
      <c r="J22" s="287"/>
      <c r="K22" s="287"/>
      <c r="L22" s="288"/>
    </row>
    <row r="23" spans="1:14" s="59" customFormat="1" ht="14.5" customHeight="1" x14ac:dyDescent="0.35">
      <c r="A23" s="289" t="s">
        <v>297</v>
      </c>
      <c r="B23" s="290"/>
      <c r="C23" s="290"/>
      <c r="D23" s="290"/>
      <c r="E23" s="290"/>
      <c r="F23" s="290"/>
      <c r="G23" s="290"/>
      <c r="H23" s="290"/>
      <c r="I23" s="290"/>
      <c r="J23" s="290"/>
      <c r="K23" s="290"/>
      <c r="L23" s="291"/>
    </row>
    <row r="24" spans="1:14" s="59" customFormat="1" ht="14.5" customHeight="1" x14ac:dyDescent="0.35">
      <c r="A24" s="113"/>
      <c r="B24" s="113"/>
      <c r="C24" s="113"/>
      <c r="D24" s="113"/>
      <c r="E24" s="113"/>
      <c r="F24" s="113"/>
      <c r="G24" s="113"/>
      <c r="H24" s="113"/>
      <c r="I24" s="113"/>
      <c r="J24" s="113"/>
      <c r="K24" s="113"/>
      <c r="L24" s="113"/>
    </row>
    <row r="25" spans="1:14" s="59" customFormat="1" ht="16.5" customHeight="1" x14ac:dyDescent="0.35">
      <c r="A25" s="292" t="s">
        <v>293</v>
      </c>
      <c r="B25" s="293"/>
      <c r="C25" s="293"/>
      <c r="D25" s="293"/>
      <c r="E25" s="293"/>
      <c r="F25" s="293"/>
      <c r="G25" s="293"/>
      <c r="H25" s="293"/>
      <c r="I25" s="293"/>
      <c r="J25" s="293"/>
      <c r="K25" s="293"/>
      <c r="L25" s="294"/>
      <c r="N25" s="1"/>
    </row>
    <row r="26" spans="1:14" s="59" customFormat="1" ht="16.5" customHeight="1" x14ac:dyDescent="0.35">
      <c r="A26" s="269" t="s">
        <v>176</v>
      </c>
      <c r="B26" s="270"/>
      <c r="C26" s="270"/>
      <c r="D26" s="270"/>
      <c r="E26" s="270"/>
      <c r="F26" s="270"/>
      <c r="G26" s="270"/>
      <c r="H26" s="270"/>
      <c r="I26" s="270"/>
      <c r="J26" s="270"/>
      <c r="K26" s="270"/>
      <c r="L26" s="271"/>
      <c r="N26" s="1"/>
    </row>
    <row r="27" spans="1:14" s="59" customFormat="1" ht="15" customHeight="1" x14ac:dyDescent="0.35">
      <c r="A27" s="227">
        <v>1</v>
      </c>
      <c r="B27" s="304" t="s">
        <v>175</v>
      </c>
      <c r="C27" s="304"/>
      <c r="D27" s="304"/>
      <c r="E27" s="304"/>
      <c r="F27" s="304"/>
      <c r="G27" s="304"/>
      <c r="H27" s="304"/>
      <c r="I27" s="304"/>
      <c r="J27" s="304"/>
      <c r="K27" s="304"/>
      <c r="L27" s="305"/>
    </row>
    <row r="28" spans="1:14" s="59" customFormat="1" ht="30" customHeight="1" x14ac:dyDescent="0.35">
      <c r="A28" s="227">
        <v>2</v>
      </c>
      <c r="B28" s="304" t="s">
        <v>289</v>
      </c>
      <c r="C28" s="304"/>
      <c r="D28" s="304"/>
      <c r="E28" s="304"/>
      <c r="F28" s="304"/>
      <c r="G28" s="304"/>
      <c r="H28" s="304"/>
      <c r="I28" s="304"/>
      <c r="J28" s="304"/>
      <c r="K28" s="304"/>
      <c r="L28" s="305"/>
      <c r="N28" s="106"/>
    </row>
    <row r="29" spans="1:14" s="59" customFormat="1" ht="15" customHeight="1" x14ac:dyDescent="0.35">
      <c r="A29" s="227">
        <v>3</v>
      </c>
      <c r="B29" s="304" t="s">
        <v>168</v>
      </c>
      <c r="C29" s="304"/>
      <c r="D29" s="304"/>
      <c r="E29" s="304"/>
      <c r="F29" s="304"/>
      <c r="G29" s="304"/>
      <c r="H29" s="304"/>
      <c r="I29" s="304"/>
      <c r="J29" s="304"/>
      <c r="K29" s="304"/>
      <c r="L29" s="305"/>
      <c r="N29" s="106"/>
    </row>
    <row r="30" spans="1:14" s="59" customFormat="1" ht="15" customHeight="1" x14ac:dyDescent="0.35">
      <c r="A30" s="227">
        <v>4</v>
      </c>
      <c r="B30" s="304" t="s">
        <v>298</v>
      </c>
      <c r="C30" s="304"/>
      <c r="D30" s="304"/>
      <c r="E30" s="304"/>
      <c r="F30" s="304"/>
      <c r="G30" s="304"/>
      <c r="H30" s="304"/>
      <c r="I30" s="304"/>
      <c r="J30" s="304"/>
      <c r="K30" s="304"/>
      <c r="L30" s="305"/>
      <c r="N30" s="106"/>
    </row>
    <row r="31" spans="1:14" s="59" customFormat="1" ht="15" customHeight="1" x14ac:dyDescent="0.35">
      <c r="A31" s="227">
        <v>5</v>
      </c>
      <c r="B31" s="304" t="s">
        <v>169</v>
      </c>
      <c r="C31" s="304"/>
      <c r="D31" s="304"/>
      <c r="E31" s="304"/>
      <c r="F31" s="304"/>
      <c r="G31" s="304"/>
      <c r="H31" s="304"/>
      <c r="I31" s="304"/>
      <c r="J31" s="304"/>
      <c r="K31" s="304"/>
      <c r="L31" s="305"/>
      <c r="N31" s="106"/>
    </row>
    <row r="32" spans="1:14" s="59" customFormat="1" ht="15" customHeight="1" x14ac:dyDescent="0.35">
      <c r="A32" s="227"/>
      <c r="B32" s="304" t="s">
        <v>170</v>
      </c>
      <c r="C32" s="304"/>
      <c r="D32" s="304"/>
      <c r="E32" s="304"/>
      <c r="F32" s="304"/>
      <c r="G32" s="304"/>
      <c r="H32" s="304"/>
      <c r="I32" s="304"/>
      <c r="J32" s="304"/>
      <c r="K32" s="304"/>
      <c r="L32" s="305"/>
      <c r="N32" s="106"/>
    </row>
    <row r="33" spans="1:14" s="59" customFormat="1" ht="15" customHeight="1" x14ac:dyDescent="0.35">
      <c r="A33" s="227"/>
      <c r="B33" s="304" t="s">
        <v>171</v>
      </c>
      <c r="C33" s="304"/>
      <c r="D33" s="304"/>
      <c r="E33" s="304"/>
      <c r="F33" s="304"/>
      <c r="G33" s="304"/>
      <c r="H33" s="304"/>
      <c r="I33" s="304"/>
      <c r="J33" s="304"/>
      <c r="K33" s="304"/>
      <c r="L33" s="305"/>
      <c r="N33" s="106"/>
    </row>
    <row r="34" spans="1:14" s="59" customFormat="1" ht="15" customHeight="1" x14ac:dyDescent="0.35">
      <c r="A34" s="306" t="s">
        <v>177</v>
      </c>
      <c r="B34" s="307"/>
      <c r="C34" s="307"/>
      <c r="D34" s="307"/>
      <c r="E34" s="307"/>
      <c r="F34" s="307"/>
      <c r="G34" s="307"/>
      <c r="H34" s="307"/>
      <c r="I34" s="307"/>
      <c r="J34" s="307"/>
      <c r="K34" s="307"/>
      <c r="L34" s="308"/>
      <c r="N34" s="106"/>
    </row>
    <row r="35" spans="1:14" s="59" customFormat="1" ht="15" customHeight="1" x14ac:dyDescent="0.35">
      <c r="A35" s="227">
        <v>1</v>
      </c>
      <c r="B35" s="304" t="s">
        <v>172</v>
      </c>
      <c r="C35" s="304"/>
      <c r="D35" s="304"/>
      <c r="E35" s="304"/>
      <c r="F35" s="304"/>
      <c r="G35" s="304"/>
      <c r="H35" s="304"/>
      <c r="I35" s="304"/>
      <c r="J35" s="304"/>
      <c r="K35" s="304"/>
      <c r="L35" s="305"/>
      <c r="N35" s="106"/>
    </row>
    <row r="36" spans="1:14" s="59" customFormat="1" ht="30.75" customHeight="1" x14ac:dyDescent="0.35">
      <c r="A36" s="227"/>
      <c r="B36" s="302" t="s">
        <v>299</v>
      </c>
      <c r="C36" s="302"/>
      <c r="D36" s="302"/>
      <c r="E36" s="302"/>
      <c r="F36" s="302"/>
      <c r="G36" s="302"/>
      <c r="H36" s="302"/>
      <c r="I36" s="302"/>
      <c r="J36" s="302"/>
      <c r="K36" s="302"/>
      <c r="L36" s="303"/>
      <c r="N36" s="106"/>
    </row>
    <row r="37" spans="1:14" s="59" customFormat="1" ht="29.5" customHeight="1" x14ac:dyDescent="0.35">
      <c r="A37" s="227">
        <v>2</v>
      </c>
      <c r="B37" s="304" t="s">
        <v>292</v>
      </c>
      <c r="C37" s="304"/>
      <c r="D37" s="304"/>
      <c r="E37" s="304"/>
      <c r="F37" s="304"/>
      <c r="G37" s="304"/>
      <c r="H37" s="304"/>
      <c r="I37" s="304"/>
      <c r="J37" s="304"/>
      <c r="K37" s="304"/>
      <c r="L37" s="305"/>
      <c r="N37" s="106"/>
    </row>
    <row r="38" spans="1:14" s="59" customFormat="1" ht="26.5" customHeight="1" x14ac:dyDescent="0.35">
      <c r="A38" s="227">
        <v>3</v>
      </c>
      <c r="B38" s="304" t="s">
        <v>281</v>
      </c>
      <c r="C38" s="304"/>
      <c r="D38" s="304"/>
      <c r="E38" s="304"/>
      <c r="F38" s="304"/>
      <c r="G38" s="304"/>
      <c r="H38" s="304"/>
      <c r="I38" s="304"/>
      <c r="J38" s="304"/>
      <c r="K38" s="304"/>
      <c r="L38" s="305"/>
      <c r="N38" s="106"/>
    </row>
    <row r="39" spans="1:14" s="59" customFormat="1" ht="26.5" customHeight="1" x14ac:dyDescent="0.35">
      <c r="A39" s="227">
        <v>4</v>
      </c>
      <c r="B39" s="304" t="s">
        <v>300</v>
      </c>
      <c r="C39" s="304"/>
      <c r="D39" s="304"/>
      <c r="E39" s="304"/>
      <c r="F39" s="304"/>
      <c r="G39" s="304"/>
      <c r="H39" s="304"/>
      <c r="I39" s="304"/>
      <c r="J39" s="304"/>
      <c r="K39" s="304"/>
      <c r="L39" s="305"/>
      <c r="N39" s="106"/>
    </row>
    <row r="40" spans="1:14" s="59" customFormat="1" ht="15" customHeight="1" x14ac:dyDescent="0.35">
      <c r="A40" s="227">
        <v>5</v>
      </c>
      <c r="B40" s="302" t="s">
        <v>282</v>
      </c>
      <c r="C40" s="302"/>
      <c r="D40" s="302"/>
      <c r="E40" s="302"/>
      <c r="F40" s="302"/>
      <c r="G40" s="302"/>
      <c r="H40" s="302"/>
      <c r="I40" s="302"/>
      <c r="J40" s="302"/>
      <c r="K40" s="302"/>
      <c r="L40" s="303"/>
      <c r="N40" s="106"/>
    </row>
    <row r="41" spans="1:14" s="59" customFormat="1" ht="28.5" customHeight="1" x14ac:dyDescent="0.35">
      <c r="A41" s="227">
        <v>6</v>
      </c>
      <c r="B41" s="302" t="s">
        <v>287</v>
      </c>
      <c r="C41" s="302"/>
      <c r="D41" s="302"/>
      <c r="E41" s="302"/>
      <c r="F41" s="302"/>
      <c r="G41" s="302"/>
      <c r="H41" s="302"/>
      <c r="I41" s="302"/>
      <c r="J41" s="302"/>
      <c r="K41" s="302"/>
      <c r="L41" s="303"/>
      <c r="N41" s="106"/>
    </row>
    <row r="42" spans="1:14" s="59" customFormat="1" ht="16.5" customHeight="1" x14ac:dyDescent="0.35">
      <c r="A42" s="227">
        <v>7</v>
      </c>
      <c r="B42" s="304" t="s">
        <v>283</v>
      </c>
      <c r="C42" s="304"/>
      <c r="D42" s="304"/>
      <c r="E42" s="304"/>
      <c r="F42" s="304"/>
      <c r="G42" s="304"/>
      <c r="H42" s="304"/>
      <c r="I42" s="304"/>
      <c r="J42" s="304"/>
      <c r="K42" s="304"/>
      <c r="L42" s="305"/>
    </row>
    <row r="43" spans="1:14" s="59" customFormat="1" ht="17.5" customHeight="1" x14ac:dyDescent="0.35">
      <c r="A43" s="227"/>
      <c r="B43" s="228"/>
      <c r="C43" s="228"/>
      <c r="D43" s="228"/>
      <c r="E43" s="228"/>
      <c r="F43" s="228"/>
      <c r="G43" s="228"/>
      <c r="H43" s="228"/>
      <c r="I43" s="228"/>
      <c r="J43" s="228"/>
      <c r="K43" s="228"/>
      <c r="L43" s="229"/>
    </row>
    <row r="44" spans="1:14" s="59" customFormat="1" ht="16.5" customHeight="1" x14ac:dyDescent="0.35">
      <c r="A44" s="306" t="s">
        <v>286</v>
      </c>
      <c r="B44" s="307"/>
      <c r="C44" s="307"/>
      <c r="D44" s="307"/>
      <c r="E44" s="307"/>
      <c r="F44" s="307"/>
      <c r="G44" s="307"/>
      <c r="H44" s="307"/>
      <c r="I44" s="307"/>
      <c r="J44" s="307"/>
      <c r="K44" s="307"/>
      <c r="L44" s="308"/>
    </row>
    <row r="45" spans="1:14" s="59" customFormat="1" ht="15" customHeight="1" x14ac:dyDescent="0.35">
      <c r="A45" s="230" t="s">
        <v>284</v>
      </c>
      <c r="B45" s="304" t="s">
        <v>173</v>
      </c>
      <c r="C45" s="304"/>
      <c r="D45" s="304"/>
      <c r="E45" s="304"/>
      <c r="F45" s="304"/>
      <c r="G45" s="304"/>
      <c r="H45" s="304"/>
      <c r="I45" s="304"/>
      <c r="J45" s="304"/>
      <c r="K45" s="304"/>
      <c r="L45" s="305"/>
    </row>
    <row r="46" spans="1:14" s="59" customFormat="1" ht="30.75" customHeight="1" x14ac:dyDescent="0.35">
      <c r="A46" s="231" t="s">
        <v>285</v>
      </c>
      <c r="B46" s="314" t="s">
        <v>288</v>
      </c>
      <c r="C46" s="314"/>
      <c r="D46" s="314"/>
      <c r="E46" s="314"/>
      <c r="F46" s="314"/>
      <c r="G46" s="314"/>
      <c r="H46" s="314"/>
      <c r="I46" s="314"/>
      <c r="J46" s="314"/>
      <c r="K46" s="314"/>
      <c r="L46" s="315"/>
    </row>
    <row r="47" spans="1:14" s="59" customFormat="1" ht="18" customHeight="1" x14ac:dyDescent="0.35">
      <c r="A47" s="160"/>
      <c r="B47" s="113"/>
      <c r="C47" s="113"/>
      <c r="D47" s="113"/>
      <c r="E47" s="113"/>
      <c r="F47" s="113"/>
      <c r="G47" s="113"/>
      <c r="H47" s="113"/>
      <c r="I47" s="113"/>
      <c r="J47" s="113"/>
      <c r="K47" s="113"/>
      <c r="L47" s="113"/>
    </row>
    <row r="48" spans="1:14" s="1" customFormat="1" ht="16.5" customHeight="1" x14ac:dyDescent="0.35">
      <c r="A48" s="316" t="s">
        <v>201</v>
      </c>
      <c r="B48" s="317"/>
      <c r="C48" s="317"/>
      <c r="D48" s="317"/>
      <c r="E48" s="317"/>
      <c r="F48" s="317"/>
      <c r="G48" s="317"/>
      <c r="H48" s="317"/>
      <c r="I48" s="317"/>
      <c r="J48" s="317"/>
      <c r="K48" s="317"/>
      <c r="L48" s="318"/>
    </row>
    <row r="49" spans="1:12" s="1" customFormat="1" ht="16.5" customHeight="1" x14ac:dyDescent="0.35">
      <c r="A49" s="234" t="s">
        <v>174</v>
      </c>
      <c r="B49" s="161"/>
      <c r="C49" s="161"/>
      <c r="D49" s="161"/>
      <c r="E49" s="161"/>
      <c r="F49" s="161"/>
      <c r="G49" s="161"/>
      <c r="H49" s="161"/>
      <c r="I49" s="161"/>
      <c r="J49" s="161"/>
      <c r="K49" s="161"/>
      <c r="L49" s="162"/>
    </row>
    <row r="50" spans="1:12" ht="14.25" customHeight="1" x14ac:dyDescent="0.35">
      <c r="B50" s="84"/>
      <c r="C50" s="84"/>
      <c r="D50" s="84"/>
      <c r="E50" s="84"/>
      <c r="F50" s="84"/>
      <c r="G50" s="84"/>
      <c r="H50" s="84"/>
      <c r="I50" s="84"/>
      <c r="J50" s="84"/>
      <c r="K50" s="84"/>
      <c r="L50" s="84"/>
    </row>
    <row r="51" spans="1:12" ht="16.5" customHeight="1" x14ac:dyDescent="0.35">
      <c r="A51" s="163" t="s">
        <v>127</v>
      </c>
      <c r="B51" s="164"/>
      <c r="C51" s="164"/>
      <c r="D51" s="165"/>
      <c r="E51" s="164"/>
      <c r="F51" s="164"/>
      <c r="G51" s="164"/>
      <c r="H51" s="164"/>
      <c r="I51" s="164"/>
      <c r="J51" s="164"/>
      <c r="K51" s="164"/>
      <c r="L51" s="166"/>
    </row>
    <row r="52" spans="1:12" ht="15" customHeight="1" x14ac:dyDescent="0.35">
      <c r="A52" s="167"/>
      <c r="B52" s="168" t="s">
        <v>24</v>
      </c>
      <c r="C52" s="169" t="s">
        <v>40</v>
      </c>
      <c r="D52" s="169"/>
      <c r="E52" s="169"/>
      <c r="F52" s="169"/>
      <c r="G52" s="169"/>
      <c r="H52" s="169"/>
      <c r="I52" s="169"/>
      <c r="J52" s="169"/>
      <c r="K52" s="169"/>
      <c r="L52" s="170"/>
    </row>
    <row r="53" spans="1:12" ht="14.25" customHeight="1" x14ac:dyDescent="0.35">
      <c r="A53" s="167"/>
      <c r="B53" s="168" t="s">
        <v>42</v>
      </c>
      <c r="C53" s="169" t="s">
        <v>52</v>
      </c>
      <c r="D53" s="169"/>
      <c r="E53" s="169"/>
      <c r="F53" s="169"/>
      <c r="G53" s="169"/>
      <c r="H53" s="169"/>
      <c r="I53" s="169"/>
      <c r="J53" s="169"/>
      <c r="K53" s="169"/>
      <c r="L53" s="170"/>
    </row>
    <row r="54" spans="1:12" s="58" customFormat="1" ht="33.75" customHeight="1" x14ac:dyDescent="0.35">
      <c r="A54" s="167"/>
      <c r="B54" s="168" t="s">
        <v>24</v>
      </c>
      <c r="C54" s="287" t="s">
        <v>273</v>
      </c>
      <c r="D54" s="287"/>
      <c r="E54" s="287"/>
      <c r="F54" s="287"/>
      <c r="G54" s="287"/>
      <c r="H54" s="287"/>
      <c r="I54" s="287"/>
      <c r="J54" s="287"/>
      <c r="K54" s="287"/>
      <c r="L54" s="288"/>
    </row>
    <row r="55" spans="1:12" s="58" customFormat="1" ht="33.75" customHeight="1" x14ac:dyDescent="0.35">
      <c r="A55" s="167"/>
      <c r="B55" s="168" t="s">
        <v>274</v>
      </c>
      <c r="C55" s="287" t="s">
        <v>275</v>
      </c>
      <c r="D55" s="287"/>
      <c r="E55" s="287"/>
      <c r="F55" s="287"/>
      <c r="G55" s="287"/>
      <c r="H55" s="287"/>
      <c r="I55" s="287"/>
      <c r="J55" s="287"/>
      <c r="K55" s="287"/>
      <c r="L55" s="288"/>
    </row>
    <row r="56" spans="1:12" s="58" customFormat="1" ht="33.75" customHeight="1" x14ac:dyDescent="0.35">
      <c r="A56" s="167"/>
      <c r="B56" s="168" t="s">
        <v>342</v>
      </c>
      <c r="C56" s="287" t="s">
        <v>343</v>
      </c>
      <c r="D56" s="287"/>
      <c r="E56" s="287"/>
      <c r="F56" s="287"/>
      <c r="G56" s="287"/>
      <c r="H56" s="287"/>
      <c r="I56" s="287"/>
      <c r="J56" s="287"/>
      <c r="K56" s="287"/>
      <c r="L56" s="288"/>
    </row>
    <row r="57" spans="1:12" ht="30.75" customHeight="1" x14ac:dyDescent="0.35">
      <c r="A57" s="167"/>
      <c r="B57" s="168" t="s">
        <v>99</v>
      </c>
      <c r="C57" s="287" t="s">
        <v>100</v>
      </c>
      <c r="D57" s="287"/>
      <c r="E57" s="287"/>
      <c r="F57" s="287"/>
      <c r="G57" s="287"/>
      <c r="H57" s="287"/>
      <c r="I57" s="287"/>
      <c r="J57" s="287"/>
      <c r="K57" s="287"/>
      <c r="L57" s="288"/>
    </row>
    <row r="58" spans="1:12" ht="30.75" customHeight="1" x14ac:dyDescent="0.35">
      <c r="A58" s="167"/>
      <c r="B58" s="168" t="s">
        <v>199</v>
      </c>
      <c r="C58" s="287" t="s">
        <v>200</v>
      </c>
      <c r="D58" s="287"/>
      <c r="E58" s="287"/>
      <c r="F58" s="287"/>
      <c r="G58" s="287"/>
      <c r="H58" s="287"/>
      <c r="I58" s="287"/>
      <c r="J58" s="287"/>
      <c r="K58" s="287"/>
      <c r="L58" s="288"/>
    </row>
    <row r="59" spans="1:12" x14ac:dyDescent="0.35">
      <c r="A59" s="167"/>
      <c r="B59" s="168" t="s">
        <v>164</v>
      </c>
      <c r="C59" s="169" t="s">
        <v>276</v>
      </c>
      <c r="D59" s="169"/>
      <c r="E59" s="169"/>
      <c r="F59" s="169"/>
      <c r="G59" s="169"/>
      <c r="H59" s="169"/>
      <c r="I59" s="169"/>
      <c r="J59" s="169"/>
      <c r="K59" s="169"/>
      <c r="L59" s="170"/>
    </row>
    <row r="60" spans="1:12" ht="14.5" customHeight="1" x14ac:dyDescent="0.35">
      <c r="A60" s="167"/>
      <c r="B60" s="168" t="s">
        <v>411</v>
      </c>
      <c r="C60" s="287" t="s">
        <v>412</v>
      </c>
      <c r="D60" s="287"/>
      <c r="E60" s="287"/>
      <c r="F60" s="287"/>
      <c r="G60" s="287"/>
      <c r="H60" s="287"/>
      <c r="I60" s="287"/>
      <c r="J60" s="287"/>
      <c r="K60" s="287"/>
      <c r="L60" s="288"/>
    </row>
    <row r="61" spans="1:12" x14ac:dyDescent="0.35">
      <c r="A61" s="167"/>
      <c r="B61" s="168" t="s">
        <v>36</v>
      </c>
      <c r="C61" s="169" t="s">
        <v>37</v>
      </c>
      <c r="D61" s="169"/>
      <c r="E61" s="169"/>
      <c r="F61" s="169"/>
      <c r="G61" s="169"/>
      <c r="H61" s="169"/>
      <c r="I61" s="169"/>
      <c r="J61" s="169"/>
      <c r="K61" s="169"/>
      <c r="L61" s="170"/>
    </row>
    <row r="62" spans="1:12" x14ac:dyDescent="0.35">
      <c r="A62" s="171"/>
      <c r="B62" s="172" t="s">
        <v>120</v>
      </c>
      <c r="C62" s="173" t="s">
        <v>121</v>
      </c>
      <c r="D62" s="173"/>
      <c r="E62" s="173"/>
      <c r="F62" s="173"/>
      <c r="G62" s="173"/>
      <c r="H62" s="173"/>
      <c r="I62" s="173"/>
      <c r="J62" s="173"/>
      <c r="K62" s="173"/>
      <c r="L62" s="174"/>
    </row>
    <row r="64" spans="1:12" x14ac:dyDescent="0.35">
      <c r="A64" s="1" t="s">
        <v>53</v>
      </c>
    </row>
    <row r="65" spans="1:2" x14ac:dyDescent="0.35">
      <c r="A65" s="1" t="s">
        <v>54</v>
      </c>
    </row>
    <row r="66" spans="1:2" x14ac:dyDescent="0.35">
      <c r="A66" t="s">
        <v>55</v>
      </c>
    </row>
    <row r="67" spans="1:2" x14ac:dyDescent="0.35">
      <c r="A67" s="45" t="s">
        <v>56</v>
      </c>
    </row>
    <row r="68" spans="1:2" x14ac:dyDescent="0.35">
      <c r="A68" s="45" t="s">
        <v>57</v>
      </c>
    </row>
    <row r="69" spans="1:2" x14ac:dyDescent="0.35">
      <c r="A69" s="45"/>
    </row>
    <row r="70" spans="1:2" x14ac:dyDescent="0.35">
      <c r="A70" s="45"/>
      <c r="B70" s="1" t="s">
        <v>413</v>
      </c>
    </row>
    <row r="71" spans="1:2" x14ac:dyDescent="0.35">
      <c r="A71" s="45"/>
      <c r="B71" t="s">
        <v>55</v>
      </c>
    </row>
    <row r="72" spans="1:2" x14ac:dyDescent="0.35">
      <c r="A72" s="45"/>
      <c r="B72" s="45" t="s">
        <v>414</v>
      </c>
    </row>
    <row r="73" spans="1:2" x14ac:dyDescent="0.35">
      <c r="A73" s="45"/>
    </row>
    <row r="74" spans="1:2" x14ac:dyDescent="0.35">
      <c r="A74" s="247" t="s">
        <v>356</v>
      </c>
    </row>
    <row r="75" spans="1:2" x14ac:dyDescent="0.35">
      <c r="A75" s="246" t="s">
        <v>357</v>
      </c>
    </row>
    <row r="76" spans="1:2" x14ac:dyDescent="0.35">
      <c r="A76" s="45" t="s">
        <v>358</v>
      </c>
    </row>
    <row r="77" spans="1:2" x14ac:dyDescent="0.35">
      <c r="A77" s="45"/>
    </row>
    <row r="78" spans="1:2" x14ac:dyDescent="0.35">
      <c r="A78" s="1" t="s">
        <v>162</v>
      </c>
    </row>
    <row r="79" spans="1:2" x14ac:dyDescent="0.35">
      <c r="A79" s="45" t="s">
        <v>277</v>
      </c>
    </row>
    <row r="81" spans="1:12" x14ac:dyDescent="0.35">
      <c r="A81" s="1" t="s">
        <v>23</v>
      </c>
    </row>
    <row r="82" spans="1:12" ht="29.25" customHeight="1" x14ac:dyDescent="0.35">
      <c r="A82" s="313" t="s">
        <v>415</v>
      </c>
      <c r="B82" s="313"/>
      <c r="C82" s="313"/>
      <c r="D82" s="313"/>
      <c r="E82" s="313"/>
      <c r="F82" s="313"/>
      <c r="G82" s="313"/>
      <c r="H82" s="313"/>
      <c r="I82" s="313"/>
      <c r="J82" s="313"/>
      <c r="K82" s="313"/>
      <c r="L82" s="313"/>
    </row>
    <row r="87" spans="1:12" ht="16" customHeight="1" x14ac:dyDescent="0.35"/>
    <row r="88" spans="1:12" ht="29.25" customHeight="1" x14ac:dyDescent="0.35"/>
  </sheetData>
  <mergeCells count="47">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9"/>
    <col min="3" max="3" width="3.6328125" style="59" customWidth="1"/>
    <col min="4" max="4" width="46.453125" style="59" customWidth="1"/>
  </cols>
  <sheetData>
    <row r="1" spans="1:4" x14ac:dyDescent="0.35">
      <c r="A1" s="59" t="s">
        <v>119</v>
      </c>
    </row>
    <row r="3" spans="1:4" s="1" customFormat="1" x14ac:dyDescent="0.35">
      <c r="A3" s="356" t="s">
        <v>117</v>
      </c>
      <c r="B3" s="356"/>
      <c r="C3" s="356"/>
      <c r="D3" s="128" t="s">
        <v>116</v>
      </c>
    </row>
    <row r="4" spans="1:4" ht="30" customHeight="1" x14ac:dyDescent="0.35">
      <c r="A4" s="357" t="s">
        <v>113</v>
      </c>
      <c r="B4" s="357"/>
      <c r="C4" s="357"/>
      <c r="D4" s="175" t="s">
        <v>183</v>
      </c>
    </row>
    <row r="5" spans="1:4" ht="43.5" x14ac:dyDescent="0.35">
      <c r="A5" s="361" t="s">
        <v>184</v>
      </c>
      <c r="B5" s="358"/>
      <c r="C5" s="358"/>
      <c r="D5" s="176" t="s">
        <v>202</v>
      </c>
    </row>
    <row r="6" spans="1:4" ht="57.5" customHeight="1" x14ac:dyDescent="0.35">
      <c r="A6" s="359" t="s">
        <v>185</v>
      </c>
      <c r="B6" s="359"/>
      <c r="C6" s="359"/>
      <c r="D6" s="177" t="s">
        <v>186</v>
      </c>
    </row>
    <row r="7" spans="1:4" ht="29" x14ac:dyDescent="0.35">
      <c r="A7" s="360" t="s">
        <v>21</v>
      </c>
      <c r="B7" s="360"/>
      <c r="C7" s="360"/>
      <c r="D7" s="178" t="s">
        <v>187</v>
      </c>
    </row>
    <row r="11" spans="1:4" x14ac:dyDescent="0.35">
      <c r="A11" s="357" t="s">
        <v>113</v>
      </c>
      <c r="B11" s="357"/>
      <c r="C11" s="357"/>
    </row>
    <row r="12" spans="1:4" x14ac:dyDescent="0.35">
      <c r="A12" s="358" t="s">
        <v>114</v>
      </c>
      <c r="B12" s="358"/>
      <c r="C12" s="358"/>
    </row>
    <row r="13" spans="1:4" x14ac:dyDescent="0.35">
      <c r="A13" s="359" t="s">
        <v>115</v>
      </c>
      <c r="B13" s="359"/>
      <c r="C13" s="359"/>
    </row>
    <row r="14" spans="1:4" x14ac:dyDescent="0.35">
      <c r="A14" s="360" t="s">
        <v>21</v>
      </c>
      <c r="B14" s="360"/>
      <c r="C14" s="360"/>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I27"/>
  <sheetViews>
    <sheetView topLeftCell="A3" workbookViewId="0">
      <selection activeCell="C3" sqref="C3"/>
    </sheetView>
  </sheetViews>
  <sheetFormatPr defaultColWidth="10.90625" defaultRowHeight="14.5" x14ac:dyDescent="0.35"/>
  <sheetData>
    <row r="1" spans="1:9" x14ac:dyDescent="0.35">
      <c r="A1" s="1" t="s">
        <v>410</v>
      </c>
    </row>
    <row r="2" spans="1:9" ht="16" x14ac:dyDescent="0.4">
      <c r="A2" s="268" t="s">
        <v>409</v>
      </c>
    </row>
    <row r="4" spans="1:9" ht="15" thickBot="1" x14ac:dyDescent="0.4"/>
    <row r="5" spans="1:9" x14ac:dyDescent="0.35">
      <c r="A5" s="255" t="s">
        <v>367</v>
      </c>
      <c r="B5" s="256" t="s">
        <v>368</v>
      </c>
      <c r="C5" s="257" t="s">
        <v>369</v>
      </c>
      <c r="D5" s="257" t="s">
        <v>370</v>
      </c>
      <c r="E5" s="257" t="s">
        <v>371</v>
      </c>
      <c r="F5" s="257" t="s">
        <v>372</v>
      </c>
      <c r="G5" s="257" t="s">
        <v>373</v>
      </c>
      <c r="H5" s="257" t="s">
        <v>374</v>
      </c>
      <c r="I5" s="258" t="s">
        <v>375</v>
      </c>
    </row>
    <row r="6" spans="1:9" x14ac:dyDescent="0.35">
      <c r="A6" s="259" t="s">
        <v>376</v>
      </c>
      <c r="B6" s="260">
        <v>64</v>
      </c>
      <c r="C6">
        <v>0</v>
      </c>
      <c r="D6" s="2">
        <v>8</v>
      </c>
      <c r="E6">
        <v>122</v>
      </c>
      <c r="F6">
        <v>0</v>
      </c>
      <c r="G6">
        <v>0</v>
      </c>
      <c r="H6">
        <v>0</v>
      </c>
      <c r="I6" s="261">
        <f t="shared" ref="I6:I27" si="0">AVERAGE(F6:H6)</f>
        <v>0</v>
      </c>
    </row>
    <row r="7" spans="1:9" x14ac:dyDescent="0.35">
      <c r="A7" s="259" t="s">
        <v>377</v>
      </c>
      <c r="B7" s="260">
        <v>112</v>
      </c>
      <c r="C7" s="260">
        <v>11.6</v>
      </c>
      <c r="D7" s="2" t="s">
        <v>378</v>
      </c>
      <c r="E7">
        <v>81</v>
      </c>
      <c r="F7">
        <v>2.8</v>
      </c>
      <c r="G7">
        <v>4.7</v>
      </c>
      <c r="H7">
        <v>4.2</v>
      </c>
      <c r="I7" s="261">
        <f t="shared" si="0"/>
        <v>3.9</v>
      </c>
    </row>
    <row r="8" spans="1:9" x14ac:dyDescent="0.35">
      <c r="A8" s="259" t="s">
        <v>379</v>
      </c>
      <c r="B8" s="260">
        <v>100</v>
      </c>
      <c r="C8">
        <v>14.1</v>
      </c>
      <c r="D8" s="2" t="s">
        <v>378</v>
      </c>
      <c r="E8">
        <v>13</v>
      </c>
      <c r="F8">
        <v>10</v>
      </c>
      <c r="G8">
        <v>-1.3</v>
      </c>
      <c r="H8">
        <v>5.4</v>
      </c>
      <c r="I8" s="261">
        <f t="shared" si="0"/>
        <v>4.7</v>
      </c>
    </row>
    <row r="9" spans="1:9" x14ac:dyDescent="0.35">
      <c r="A9" s="259" t="s">
        <v>380</v>
      </c>
      <c r="B9" s="260">
        <v>97</v>
      </c>
      <c r="C9">
        <v>14.1</v>
      </c>
      <c r="D9" s="2" t="s">
        <v>381</v>
      </c>
      <c r="E9">
        <v>147</v>
      </c>
      <c r="F9">
        <v>3.8</v>
      </c>
      <c r="G9">
        <v>6.3</v>
      </c>
      <c r="H9">
        <v>4</v>
      </c>
      <c r="I9" s="261">
        <f t="shared" si="0"/>
        <v>4.7</v>
      </c>
    </row>
    <row r="10" spans="1:9" x14ac:dyDescent="0.35">
      <c r="A10" s="259" t="s">
        <v>382</v>
      </c>
      <c r="B10" s="260">
        <v>112</v>
      </c>
      <c r="C10">
        <v>16.5</v>
      </c>
      <c r="D10" s="2" t="s">
        <v>383</v>
      </c>
      <c r="E10">
        <v>103</v>
      </c>
      <c r="F10">
        <v>5.9</v>
      </c>
      <c r="G10">
        <v>5.0999999999999996</v>
      </c>
      <c r="H10">
        <v>5.5</v>
      </c>
      <c r="I10" s="261">
        <f t="shared" si="0"/>
        <v>5.5</v>
      </c>
    </row>
    <row r="11" spans="1:9" x14ac:dyDescent="0.35">
      <c r="A11" s="259" t="s">
        <v>384</v>
      </c>
      <c r="B11" s="260">
        <v>100</v>
      </c>
      <c r="C11">
        <v>16.600000000000001</v>
      </c>
      <c r="D11" s="2" t="s">
        <v>385</v>
      </c>
      <c r="E11">
        <v>26</v>
      </c>
      <c r="F11">
        <v>5.5</v>
      </c>
      <c r="G11">
        <v>5.5</v>
      </c>
      <c r="H11">
        <v>5.5</v>
      </c>
      <c r="I11" s="261">
        <f t="shared" si="0"/>
        <v>5.5</v>
      </c>
    </row>
    <row r="12" spans="1:9" x14ac:dyDescent="0.35">
      <c r="A12" s="259" t="s">
        <v>386</v>
      </c>
      <c r="B12" s="260">
        <v>112</v>
      </c>
      <c r="C12" s="260">
        <v>16.600000000000001</v>
      </c>
      <c r="D12" s="2" t="s">
        <v>378</v>
      </c>
      <c r="E12">
        <v>81</v>
      </c>
      <c r="F12">
        <v>3.8</v>
      </c>
      <c r="G12">
        <v>6.6</v>
      </c>
      <c r="H12">
        <v>6.1</v>
      </c>
      <c r="I12" s="261">
        <f t="shared" si="0"/>
        <v>5.5</v>
      </c>
    </row>
    <row r="13" spans="1:9" x14ac:dyDescent="0.35">
      <c r="A13" s="259" t="s">
        <v>387</v>
      </c>
      <c r="B13" s="260">
        <v>100</v>
      </c>
      <c r="C13" s="260">
        <v>17.8</v>
      </c>
      <c r="D13" s="2" t="s">
        <v>388</v>
      </c>
      <c r="E13">
        <v>31</v>
      </c>
      <c r="F13">
        <v>5.9</v>
      </c>
      <c r="G13">
        <v>5.9</v>
      </c>
      <c r="H13">
        <v>5.9</v>
      </c>
      <c r="I13" s="261">
        <f t="shared" si="0"/>
        <v>5.9000000000000012</v>
      </c>
    </row>
    <row r="14" spans="1:9" x14ac:dyDescent="0.35">
      <c r="A14" s="259" t="s">
        <v>389</v>
      </c>
      <c r="B14" s="260">
        <v>100</v>
      </c>
      <c r="C14">
        <v>18</v>
      </c>
      <c r="D14" s="2" t="s">
        <v>390</v>
      </c>
      <c r="E14">
        <v>18</v>
      </c>
      <c r="F14">
        <v>11</v>
      </c>
      <c r="G14">
        <v>5.6</v>
      </c>
      <c r="H14">
        <v>8.1</v>
      </c>
      <c r="I14" s="261">
        <f t="shared" si="0"/>
        <v>8.2333333333333343</v>
      </c>
    </row>
    <row r="15" spans="1:9" x14ac:dyDescent="0.35">
      <c r="A15" s="259" t="s">
        <v>391</v>
      </c>
      <c r="B15" s="260">
        <v>112</v>
      </c>
      <c r="C15" s="260">
        <v>19.3</v>
      </c>
      <c r="D15" s="2" t="s">
        <v>378</v>
      </c>
      <c r="E15">
        <v>81</v>
      </c>
      <c r="F15">
        <v>4.4000000000000004</v>
      </c>
      <c r="G15">
        <v>7.8</v>
      </c>
      <c r="H15">
        <v>7.2</v>
      </c>
      <c r="I15" s="261">
        <f t="shared" si="0"/>
        <v>6.4666666666666659</v>
      </c>
    </row>
    <row r="16" spans="1:9" x14ac:dyDescent="0.35">
      <c r="A16" s="259" t="s">
        <v>392</v>
      </c>
      <c r="B16" s="260">
        <v>100</v>
      </c>
      <c r="C16">
        <v>20.399999999999999</v>
      </c>
      <c r="D16" s="2" t="s">
        <v>393</v>
      </c>
      <c r="E16">
        <v>48</v>
      </c>
      <c r="F16">
        <v>5.9</v>
      </c>
      <c r="G16">
        <v>5.9</v>
      </c>
      <c r="H16">
        <v>8.5</v>
      </c>
      <c r="I16" s="261">
        <f t="shared" si="0"/>
        <v>6.7666666666666666</v>
      </c>
    </row>
    <row r="17" spans="1:9" x14ac:dyDescent="0.35">
      <c r="A17" s="259" t="s">
        <v>394</v>
      </c>
      <c r="B17" s="260">
        <v>100</v>
      </c>
      <c r="C17" s="260">
        <v>20.399999999999999</v>
      </c>
      <c r="D17" s="2" t="s">
        <v>395</v>
      </c>
      <c r="E17">
        <v>45</v>
      </c>
      <c r="F17">
        <v>8.3000000000000007</v>
      </c>
      <c r="G17">
        <v>6.6</v>
      </c>
      <c r="H17">
        <v>5.5</v>
      </c>
      <c r="I17" s="261">
        <f t="shared" si="0"/>
        <v>6.8</v>
      </c>
    </row>
    <row r="18" spans="1:9" x14ac:dyDescent="0.35">
      <c r="A18" s="259" t="s">
        <v>396</v>
      </c>
      <c r="B18" s="260">
        <v>100</v>
      </c>
      <c r="C18" s="260">
        <v>20.5</v>
      </c>
      <c r="D18" s="2" t="s">
        <v>397</v>
      </c>
      <c r="E18">
        <v>2</v>
      </c>
      <c r="F18">
        <v>8.6</v>
      </c>
      <c r="G18">
        <v>5.9</v>
      </c>
      <c r="H18">
        <v>5.9</v>
      </c>
      <c r="I18" s="261">
        <f t="shared" si="0"/>
        <v>6.8</v>
      </c>
    </row>
    <row r="19" spans="1:9" x14ac:dyDescent="0.35">
      <c r="A19" s="259" t="s">
        <v>398</v>
      </c>
      <c r="B19" s="260">
        <v>1</v>
      </c>
      <c r="C19">
        <v>20.9</v>
      </c>
      <c r="D19" s="2" t="s">
        <v>388</v>
      </c>
      <c r="E19">
        <v>430</v>
      </c>
      <c r="F19">
        <v>6.4</v>
      </c>
      <c r="G19">
        <v>8.4</v>
      </c>
      <c r="H19">
        <v>6.1</v>
      </c>
      <c r="I19" s="261">
        <f t="shared" si="0"/>
        <v>6.9666666666666659</v>
      </c>
    </row>
    <row r="20" spans="1:9" x14ac:dyDescent="0.35">
      <c r="A20" s="259" t="s">
        <v>399</v>
      </c>
      <c r="B20" s="260">
        <v>1</v>
      </c>
      <c r="C20">
        <v>20.9</v>
      </c>
      <c r="D20" s="2" t="s">
        <v>388</v>
      </c>
      <c r="E20">
        <v>430</v>
      </c>
      <c r="F20">
        <v>6.4</v>
      </c>
      <c r="G20">
        <v>8.4</v>
      </c>
      <c r="H20">
        <v>6.1</v>
      </c>
      <c r="I20" s="261">
        <f t="shared" si="0"/>
        <v>6.9666666666666659</v>
      </c>
    </row>
    <row r="21" spans="1:9" x14ac:dyDescent="0.35">
      <c r="A21" s="259" t="s">
        <v>400</v>
      </c>
      <c r="B21" s="260">
        <v>112</v>
      </c>
      <c r="C21" s="260">
        <v>21.7</v>
      </c>
      <c r="D21" s="2" t="s">
        <v>378</v>
      </c>
      <c r="E21">
        <v>81</v>
      </c>
      <c r="F21">
        <v>4.9000000000000004</v>
      </c>
      <c r="G21">
        <v>8.6999999999999993</v>
      </c>
      <c r="H21">
        <v>8.1</v>
      </c>
      <c r="I21" s="261">
        <f t="shared" si="0"/>
        <v>7.2333333333333334</v>
      </c>
    </row>
    <row r="22" spans="1:9" x14ac:dyDescent="0.35">
      <c r="A22" s="259" t="s">
        <v>401</v>
      </c>
      <c r="B22" s="260">
        <v>112</v>
      </c>
      <c r="C22" s="260">
        <v>21.8</v>
      </c>
      <c r="D22" s="2" t="s">
        <v>378</v>
      </c>
      <c r="E22">
        <v>81</v>
      </c>
      <c r="F22">
        <v>5</v>
      </c>
      <c r="G22">
        <v>8.6999999999999993</v>
      </c>
      <c r="H22">
        <v>8.1</v>
      </c>
      <c r="I22" s="261">
        <f t="shared" si="0"/>
        <v>7.2666666666666657</v>
      </c>
    </row>
    <row r="23" spans="1:9" x14ac:dyDescent="0.35">
      <c r="A23" s="259" t="s">
        <v>402</v>
      </c>
      <c r="B23" s="260">
        <v>112</v>
      </c>
      <c r="C23" s="260">
        <v>24.2</v>
      </c>
      <c r="D23" s="2" t="s">
        <v>403</v>
      </c>
      <c r="E23">
        <v>80</v>
      </c>
      <c r="F23">
        <v>5.5</v>
      </c>
      <c r="G23">
        <v>9.6999999999999993</v>
      </c>
      <c r="H23">
        <v>9</v>
      </c>
      <c r="I23" s="261">
        <f t="shared" si="0"/>
        <v>8.0666666666666664</v>
      </c>
    </row>
    <row r="24" spans="1:9" x14ac:dyDescent="0.35">
      <c r="A24" s="259" t="s">
        <v>404</v>
      </c>
      <c r="B24" s="260">
        <v>100</v>
      </c>
      <c r="C24" s="260">
        <v>24.8</v>
      </c>
      <c r="D24" s="2" t="s">
        <v>405</v>
      </c>
      <c r="E24">
        <v>5</v>
      </c>
      <c r="F24">
        <v>8.4</v>
      </c>
      <c r="G24">
        <v>5.9</v>
      </c>
      <c r="H24">
        <v>10.5</v>
      </c>
      <c r="I24" s="261">
        <f t="shared" si="0"/>
        <v>8.2666666666666675</v>
      </c>
    </row>
    <row r="25" spans="1:9" x14ac:dyDescent="0.35">
      <c r="A25" s="259" t="s">
        <v>406</v>
      </c>
      <c r="B25" s="260">
        <v>1</v>
      </c>
      <c r="C25" s="260">
        <v>26.1</v>
      </c>
      <c r="D25" s="262" t="s">
        <v>388</v>
      </c>
      <c r="E25" s="260">
        <v>97</v>
      </c>
      <c r="F25" s="260">
        <v>5.9</v>
      </c>
      <c r="G25" s="260">
        <v>10.5</v>
      </c>
      <c r="H25" s="260">
        <v>9.6</v>
      </c>
      <c r="I25" s="261">
        <f t="shared" si="0"/>
        <v>8.6666666666666661</v>
      </c>
    </row>
    <row r="26" spans="1:9" x14ac:dyDescent="0.35">
      <c r="A26" s="259" t="s">
        <v>407</v>
      </c>
      <c r="B26" s="260">
        <v>1</v>
      </c>
      <c r="C26">
        <v>26.1</v>
      </c>
      <c r="D26" s="2" t="s">
        <v>388</v>
      </c>
      <c r="E26">
        <v>72</v>
      </c>
      <c r="F26">
        <v>5.9</v>
      </c>
      <c r="G26">
        <v>10.5</v>
      </c>
      <c r="H26">
        <v>9.6</v>
      </c>
      <c r="I26" s="261">
        <f t="shared" si="0"/>
        <v>8.6666666666666661</v>
      </c>
    </row>
    <row r="27" spans="1:9" ht="15" thickBot="1" x14ac:dyDescent="0.4">
      <c r="A27" s="263" t="s">
        <v>408</v>
      </c>
      <c r="B27" s="264">
        <v>1</v>
      </c>
      <c r="C27" s="265">
        <v>26.1</v>
      </c>
      <c r="D27" s="266" t="s">
        <v>388</v>
      </c>
      <c r="E27" s="265">
        <v>15</v>
      </c>
      <c r="F27" s="265">
        <v>5.9</v>
      </c>
      <c r="G27" s="265">
        <v>10.5</v>
      </c>
      <c r="H27" s="265">
        <v>9.6</v>
      </c>
      <c r="I27" s="267">
        <f t="shared" si="0"/>
        <v>8.6666666666666661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5" zoomScale="150" zoomScaleNormal="150" workbookViewId="0">
      <selection activeCell="G12" sqref="G12"/>
    </sheetView>
  </sheetViews>
  <sheetFormatPr defaultColWidth="8.81640625" defaultRowHeight="14.5" x14ac:dyDescent="0.35"/>
  <cols>
    <col min="1" max="1" width="12.453125" style="39" customWidth="1"/>
    <col min="2" max="2" width="7.81640625" style="150" customWidth="1"/>
    <col min="3" max="3" width="29.81640625" style="38" customWidth="1"/>
    <col min="4" max="4" width="7.36328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75" customHeight="1" x14ac:dyDescent="0.35">
      <c r="A1" s="36" t="s">
        <v>43</v>
      </c>
      <c r="B1" s="148" t="s">
        <v>49</v>
      </c>
      <c r="C1" s="37" t="s">
        <v>44</v>
      </c>
      <c r="D1" s="36" t="s">
        <v>247</v>
      </c>
      <c r="E1" s="36" t="s">
        <v>46</v>
      </c>
      <c r="F1" s="36" t="s">
        <v>45</v>
      </c>
      <c r="G1" s="36" t="s">
        <v>47</v>
      </c>
      <c r="I1" s="107" t="s">
        <v>58</v>
      </c>
      <c r="J1" s="107" t="s">
        <v>45</v>
      </c>
      <c r="K1" s="108" t="s">
        <v>47</v>
      </c>
    </row>
    <row r="2" spans="1:11" ht="43.5" x14ac:dyDescent="0.35">
      <c r="A2" s="57">
        <v>45413</v>
      </c>
      <c r="B2" s="149" t="s">
        <v>245</v>
      </c>
      <c r="C2" s="56" t="s">
        <v>249</v>
      </c>
      <c r="D2" s="55">
        <v>0.3</v>
      </c>
      <c r="E2" s="55" t="s">
        <v>246</v>
      </c>
      <c r="F2" s="55" t="s">
        <v>246</v>
      </c>
      <c r="G2" s="57"/>
      <c r="I2" s="38"/>
      <c r="J2" s="38"/>
      <c r="K2" s="40"/>
    </row>
    <row r="3" spans="1:11" ht="43.5" x14ac:dyDescent="0.35">
      <c r="A3" s="57">
        <v>45604</v>
      </c>
      <c r="B3" s="149" t="s">
        <v>248</v>
      </c>
      <c r="C3" s="56" t="s">
        <v>278</v>
      </c>
      <c r="D3" s="55">
        <v>4</v>
      </c>
      <c r="E3" s="55" t="s">
        <v>246</v>
      </c>
      <c r="F3" s="55" t="s">
        <v>246</v>
      </c>
      <c r="G3" s="57"/>
      <c r="I3" s="38"/>
      <c r="J3" s="38"/>
      <c r="K3" s="39"/>
    </row>
    <row r="4" spans="1:11" x14ac:dyDescent="0.35">
      <c r="A4" s="57">
        <v>45611</v>
      </c>
      <c r="B4" s="149" t="s">
        <v>279</v>
      </c>
      <c r="C4" s="56" t="s">
        <v>280</v>
      </c>
      <c r="D4" s="55">
        <v>0.3</v>
      </c>
      <c r="E4" s="55" t="s">
        <v>246</v>
      </c>
      <c r="F4" s="55" t="s">
        <v>246</v>
      </c>
      <c r="G4" s="57"/>
      <c r="I4" s="38"/>
      <c r="J4" s="38"/>
      <c r="K4" s="40"/>
    </row>
    <row r="5" spans="1:11" ht="40.5" customHeight="1" x14ac:dyDescent="0.35">
      <c r="A5" s="57">
        <v>45622</v>
      </c>
      <c r="B5" s="149" t="s">
        <v>306</v>
      </c>
      <c r="C5" s="56" t="s">
        <v>307</v>
      </c>
      <c r="D5" s="55">
        <v>4</v>
      </c>
      <c r="E5" s="55" t="s">
        <v>246</v>
      </c>
      <c r="F5" s="55" t="s">
        <v>246</v>
      </c>
      <c r="G5" s="57"/>
      <c r="I5" s="38"/>
      <c r="J5" s="38"/>
      <c r="K5" s="40"/>
    </row>
    <row r="6" spans="1:11" ht="38.5" customHeight="1" x14ac:dyDescent="0.35">
      <c r="A6" s="57">
        <v>45666</v>
      </c>
      <c r="B6" s="149" t="s">
        <v>315</v>
      </c>
      <c r="C6" s="56" t="s">
        <v>316</v>
      </c>
      <c r="D6" s="55">
        <v>3</v>
      </c>
      <c r="E6" s="55" t="s">
        <v>246</v>
      </c>
      <c r="F6" s="55" t="s">
        <v>246</v>
      </c>
      <c r="G6" s="57"/>
      <c r="I6" s="38"/>
      <c r="J6" s="38"/>
      <c r="K6" s="39"/>
    </row>
    <row r="7" spans="1:11" ht="58" x14ac:dyDescent="0.35">
      <c r="A7" s="57">
        <v>45670</v>
      </c>
      <c r="B7" s="149" t="s">
        <v>320</v>
      </c>
      <c r="C7" s="38" t="s">
        <v>317</v>
      </c>
      <c r="D7" s="55">
        <v>0.5</v>
      </c>
      <c r="E7" s="55" t="s">
        <v>246</v>
      </c>
      <c r="F7" s="55" t="s">
        <v>246</v>
      </c>
      <c r="G7" s="57"/>
      <c r="I7" s="38"/>
      <c r="J7" s="41"/>
      <c r="K7" s="40"/>
    </row>
    <row r="8" spans="1:11" ht="29" x14ac:dyDescent="0.35">
      <c r="A8" s="57">
        <v>45671</v>
      </c>
      <c r="B8" s="149" t="s">
        <v>347</v>
      </c>
      <c r="C8" s="56" t="s">
        <v>348</v>
      </c>
      <c r="D8" s="55">
        <v>0.5</v>
      </c>
      <c r="E8" s="55" t="s">
        <v>246</v>
      </c>
      <c r="F8" s="55" t="s">
        <v>246</v>
      </c>
      <c r="G8" s="57"/>
      <c r="I8" s="38"/>
      <c r="J8" s="41"/>
      <c r="K8" s="40"/>
    </row>
    <row r="9" spans="1:11" ht="29" x14ac:dyDescent="0.35">
      <c r="A9" s="57">
        <v>45681</v>
      </c>
      <c r="B9" s="149" t="s">
        <v>361</v>
      </c>
      <c r="C9" s="56" t="s">
        <v>362</v>
      </c>
      <c r="D9" s="55">
        <v>0.25</v>
      </c>
      <c r="E9" s="55" t="s">
        <v>246</v>
      </c>
      <c r="F9" s="55" t="s">
        <v>246</v>
      </c>
      <c r="G9" s="57"/>
      <c r="I9" s="38"/>
      <c r="J9" s="38"/>
      <c r="K9" s="40"/>
    </row>
    <row r="10" spans="1:11" ht="29" x14ac:dyDescent="0.35">
      <c r="A10" s="57">
        <v>45681</v>
      </c>
      <c r="B10" s="149" t="s">
        <v>365</v>
      </c>
      <c r="C10" s="56" t="s">
        <v>366</v>
      </c>
      <c r="D10" s="55">
        <v>1</v>
      </c>
      <c r="E10" s="55" t="s">
        <v>246</v>
      </c>
      <c r="F10" s="38" t="s">
        <v>363</v>
      </c>
      <c r="G10" s="57">
        <v>45678</v>
      </c>
      <c r="I10" s="38"/>
      <c r="J10" s="41"/>
      <c r="K10" s="40"/>
    </row>
    <row r="11" spans="1:11" ht="29" x14ac:dyDescent="0.35">
      <c r="A11" s="57">
        <v>45762</v>
      </c>
      <c r="B11" s="149" t="s">
        <v>416</v>
      </c>
      <c r="C11" s="56" t="s">
        <v>417</v>
      </c>
      <c r="D11" s="55">
        <v>12</v>
      </c>
      <c r="E11" s="55" t="s">
        <v>418</v>
      </c>
      <c r="F11" s="55" t="s">
        <v>419</v>
      </c>
      <c r="G11" s="57">
        <v>45702</v>
      </c>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opLeftCell="A46" zoomScale="150" zoomScaleNormal="150" workbookViewId="0">
      <selection activeCell="B57" sqref="B57"/>
    </sheetView>
  </sheetViews>
  <sheetFormatPr defaultColWidth="8.81640625" defaultRowHeight="14.5" x14ac:dyDescent="0.35"/>
  <cols>
    <col min="1" max="1" width="39.45312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319" t="str">
        <f>'ReadMe-Directions'!A1</f>
        <v>Immersive Model for Lake Mead based on the Principle of Divide Reservoir Inflow</v>
      </c>
      <c r="B1" s="319"/>
      <c r="C1" s="319"/>
      <c r="D1" s="319"/>
      <c r="E1" s="319"/>
      <c r="F1" s="319"/>
      <c r="G1" s="319"/>
    </row>
    <row r="2" spans="1:14" x14ac:dyDescent="0.35">
      <c r="A2" s="1" t="s">
        <v>179</v>
      </c>
      <c r="B2" s="1"/>
    </row>
    <row r="3" spans="1:14" ht="32.25" customHeight="1" x14ac:dyDescent="0.35">
      <c r="A3" s="327" t="s">
        <v>191</v>
      </c>
      <c r="B3" s="327"/>
      <c r="C3" s="327"/>
      <c r="D3" s="327"/>
      <c r="E3" s="327"/>
      <c r="F3" s="327"/>
      <c r="G3" s="327"/>
      <c r="H3" s="84"/>
      <c r="I3" s="84"/>
      <c r="J3" s="84"/>
      <c r="K3" s="84"/>
      <c r="N3" s="137" t="s">
        <v>157</v>
      </c>
    </row>
    <row r="4" spans="1:14" x14ac:dyDescent="0.35">
      <c r="A4" s="127" t="s">
        <v>269</v>
      </c>
      <c r="B4" s="127" t="s">
        <v>19</v>
      </c>
      <c r="C4" s="328" t="s">
        <v>270</v>
      </c>
      <c r="D4" s="329"/>
      <c r="E4" s="329"/>
      <c r="F4" s="329"/>
      <c r="G4" s="330"/>
      <c r="N4" s="141" t="s">
        <v>344</v>
      </c>
    </row>
    <row r="5" spans="1:14" x14ac:dyDescent="0.35">
      <c r="A5" s="90" t="s">
        <v>244</v>
      </c>
      <c r="B5" s="114"/>
      <c r="C5" s="331"/>
      <c r="D5" s="326"/>
      <c r="E5" s="326"/>
      <c r="F5" s="326"/>
      <c r="G5" s="326"/>
      <c r="N5" s="141"/>
    </row>
    <row r="6" spans="1:14" x14ac:dyDescent="0.35">
      <c r="A6" s="90" t="s">
        <v>203</v>
      </c>
      <c r="B6" s="114"/>
      <c r="C6" s="331"/>
      <c r="D6" s="326"/>
      <c r="E6" s="326"/>
      <c r="F6" s="326"/>
      <c r="G6" s="326"/>
      <c r="N6" s="142"/>
    </row>
    <row r="7" spans="1:14" x14ac:dyDescent="0.35">
      <c r="A7" s="90" t="s">
        <v>204</v>
      </c>
      <c r="B7" s="114"/>
      <c r="C7" s="331"/>
      <c r="D7" s="326"/>
      <c r="E7" s="326"/>
      <c r="F7" s="326"/>
      <c r="G7" s="326"/>
      <c r="N7" s="142"/>
    </row>
    <row r="8" spans="1:14" x14ac:dyDescent="0.35">
      <c r="A8" s="114" t="s">
        <v>205</v>
      </c>
      <c r="B8" s="90"/>
      <c r="C8" s="326"/>
      <c r="D8" s="326"/>
      <c r="E8" s="326"/>
      <c r="F8" s="326"/>
      <c r="G8" s="326"/>
      <c r="N8" s="142"/>
    </row>
    <row r="9" spans="1:14" x14ac:dyDescent="0.35">
      <c r="A9" s="114" t="s">
        <v>18</v>
      </c>
      <c r="B9" s="90"/>
      <c r="C9" s="332"/>
      <c r="D9" s="332"/>
      <c r="E9" s="332"/>
      <c r="F9" s="332"/>
      <c r="G9" s="332"/>
      <c r="N9" s="142"/>
    </row>
    <row r="10" spans="1:14" x14ac:dyDescent="0.35">
      <c r="A10" s="90" t="s">
        <v>291</v>
      </c>
      <c r="B10" s="90"/>
      <c r="C10" s="326"/>
      <c r="D10" s="326"/>
      <c r="E10" s="326"/>
      <c r="F10" s="326"/>
      <c r="G10" s="326"/>
      <c r="N10" s="142"/>
    </row>
    <row r="11" spans="1:14" x14ac:dyDescent="0.35">
      <c r="A11" s="13"/>
      <c r="B11" s="2"/>
      <c r="C11"/>
      <c r="N11" s="142"/>
    </row>
    <row r="12" spans="1:14" x14ac:dyDescent="0.35">
      <c r="A12" s="15" t="s">
        <v>111</v>
      </c>
      <c r="B12" s="333" t="s">
        <v>113</v>
      </c>
      <c r="C12" s="334"/>
      <c r="D12" s="335"/>
      <c r="N12" s="141" t="s">
        <v>130</v>
      </c>
    </row>
    <row r="13" spans="1:14" x14ac:dyDescent="0.35">
      <c r="B13" s="336" t="s">
        <v>190</v>
      </c>
      <c r="C13" s="337"/>
      <c r="D13" s="338"/>
    </row>
    <row r="14" spans="1:14" x14ac:dyDescent="0.35">
      <c r="B14" s="320" t="s">
        <v>185</v>
      </c>
      <c r="C14" s="321"/>
      <c r="D14" s="322"/>
      <c r="N14" s="142"/>
    </row>
    <row r="15" spans="1:14" x14ac:dyDescent="0.35">
      <c r="B15" s="323" t="s">
        <v>21</v>
      </c>
      <c r="C15" s="324"/>
      <c r="D15" s="325"/>
      <c r="N15" s="142"/>
    </row>
    <row r="16" spans="1:14" x14ac:dyDescent="0.35">
      <c r="N16" s="142"/>
    </row>
    <row r="17" spans="1:14" ht="29" x14ac:dyDescent="0.35">
      <c r="A17" s="1" t="s">
        <v>259</v>
      </c>
      <c r="B17" s="226" t="s">
        <v>206</v>
      </c>
      <c r="C17" s="226" t="s">
        <v>207</v>
      </c>
      <c r="N17" s="141" t="s">
        <v>131</v>
      </c>
    </row>
    <row r="18" spans="1:14" x14ac:dyDescent="0.35">
      <c r="A18" t="s">
        <v>260</v>
      </c>
      <c r="B18" s="225">
        <v>6</v>
      </c>
      <c r="D18" s="16"/>
      <c r="N18" s="141" t="s">
        <v>133</v>
      </c>
    </row>
    <row r="19" spans="1:14" x14ac:dyDescent="0.35">
      <c r="A19" t="s">
        <v>261</v>
      </c>
      <c r="B19" s="217">
        <v>1063.29</v>
      </c>
      <c r="C19" s="12">
        <f>VLOOKUP(B19,'Mead-Elevation-Area'!$A$5:$B$676,2)/1000000</f>
        <v>8.6522179999999995</v>
      </c>
      <c r="D19" s="129" t="s">
        <v>364</v>
      </c>
      <c r="F19" s="254" t="s">
        <v>209</v>
      </c>
      <c r="N19" s="141" t="s">
        <v>132</v>
      </c>
    </row>
    <row r="20" spans="1:14" x14ac:dyDescent="0.35">
      <c r="A20" s="125" t="str">
        <f>"     Set "&amp;A5</f>
        <v xml:space="preserve">     Set Reclamation - Protect Zone</v>
      </c>
      <c r="B20" s="184"/>
      <c r="C20" s="12">
        <f>VLOOKUP(IF(B20="",895,B20),'Mead-Elevation-Area'!$A$5:$B$689,2)/1000000</f>
        <v>0</v>
      </c>
      <c r="D20" s="10"/>
      <c r="N20" s="141" t="s">
        <v>134</v>
      </c>
    </row>
    <row r="21" spans="1:14" x14ac:dyDescent="0.35">
      <c r="A21" t="s">
        <v>262</v>
      </c>
      <c r="C21" s="12">
        <f>C19-C20</f>
        <v>8.6522179999999995</v>
      </c>
      <c r="D21" s="116"/>
      <c r="E21" s="28"/>
      <c r="F21" s="116"/>
      <c r="N21" s="141" t="s">
        <v>302</v>
      </c>
    </row>
    <row r="22" spans="1:14" x14ac:dyDescent="0.35">
      <c r="A22" t="s">
        <v>263</v>
      </c>
      <c r="C22" s="185">
        <v>3.5339999999999998</v>
      </c>
      <c r="D22" s="111" t="s">
        <v>211</v>
      </c>
      <c r="E22" s="28"/>
      <c r="F22" s="28"/>
      <c r="N22" s="141" t="s">
        <v>301</v>
      </c>
    </row>
    <row r="23" spans="1:14" x14ac:dyDescent="0.35">
      <c r="A23" t="s">
        <v>290</v>
      </c>
      <c r="C23" s="12">
        <f>C21-C22</f>
        <v>5.1182179999999997</v>
      </c>
      <c r="D23" s="111"/>
      <c r="E23" s="28"/>
      <c r="N23" s="141" t="s">
        <v>303</v>
      </c>
    </row>
    <row r="24" spans="1:14" x14ac:dyDescent="0.35">
      <c r="A24" t="s">
        <v>319</v>
      </c>
      <c r="B24" s="94">
        <f>TribalWater!H7</f>
        <v>0.16438105840220965</v>
      </c>
      <c r="C24"/>
      <c r="D24" s="111"/>
      <c r="E24" s="28"/>
      <c r="N24" s="141" t="s">
        <v>345</v>
      </c>
    </row>
    <row r="25" spans="1:14" x14ac:dyDescent="0.35">
      <c r="A25" t="s">
        <v>318</v>
      </c>
      <c r="B25" s="235">
        <f>1-B24</f>
        <v>0.83561894159779038</v>
      </c>
      <c r="C25"/>
      <c r="D25" s="111"/>
      <c r="E25" s="28"/>
      <c r="N25" s="141" t="s">
        <v>346</v>
      </c>
    </row>
    <row r="26" spans="1:14" x14ac:dyDescent="0.35">
      <c r="B26" s="28"/>
      <c r="N26" s="142"/>
    </row>
    <row r="27" spans="1:14" s="1" customFormat="1" x14ac:dyDescent="0.35">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35">
      <c r="A28" s="125" t="s">
        <v>208</v>
      </c>
      <c r="B28" s="1"/>
      <c r="C28" s="97"/>
      <c r="D28" s="97"/>
      <c r="E28" s="97"/>
      <c r="F28" s="97"/>
      <c r="G28" s="97"/>
      <c r="H28" s="97"/>
      <c r="I28" s="97"/>
      <c r="J28" s="97"/>
      <c r="K28" s="97"/>
      <c r="L28" s="97"/>
      <c r="N28" s="141" t="s">
        <v>305</v>
      </c>
    </row>
    <row r="29" spans="1:14" hidden="1" x14ac:dyDescent="0.35">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140</v>
      </c>
    </row>
    <row r="30" spans="1:14" hidden="1" x14ac:dyDescent="0.35">
      <c r="A30" s="1" t="s">
        <v>98</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141</v>
      </c>
    </row>
    <row r="31" spans="1:14" hidden="1" x14ac:dyDescent="0.35">
      <c r="A31" s="1" t="s">
        <v>87</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142</v>
      </c>
    </row>
    <row r="32" spans="1:14" x14ac:dyDescent="0.35">
      <c r="A32" s="1" t="s">
        <v>257</v>
      </c>
      <c r="B32" s="1"/>
      <c r="H32" s="96"/>
      <c r="I32" s="96"/>
      <c r="J32" s="96"/>
      <c r="K32" s="96"/>
      <c r="L32" s="96"/>
      <c r="N32" s="141"/>
    </row>
    <row r="33" spans="1:14" x14ac:dyDescent="0.35">
      <c r="A33" s="1" t="s">
        <v>254</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255</v>
      </c>
      <c r="B34" s="1"/>
      <c r="C34" s="218" t="str">
        <f>IF(C$28&lt;&gt;"",IF(COLUMN(C29)=COLUMN($C29),$B$19,B136),"")</f>
        <v/>
      </c>
      <c r="D34" s="218" t="str">
        <f t="shared" ref="D34:G34" si="3">IF(D$28&lt;&gt;"",IF(COLUMN(D29)=COLUMN($C29),$B$19,C136),"")</f>
        <v/>
      </c>
      <c r="E34" s="218" t="str">
        <f t="shared" si="3"/>
        <v/>
      </c>
      <c r="F34" s="218" t="str">
        <f t="shared" si="3"/>
        <v/>
      </c>
      <c r="G34" s="218" t="str">
        <f t="shared" si="3"/>
        <v/>
      </c>
      <c r="H34" s="96"/>
      <c r="I34" s="96"/>
      <c r="J34" s="96"/>
      <c r="K34" s="96"/>
      <c r="L34" s="96"/>
      <c r="N34" s="141"/>
    </row>
    <row r="35" spans="1:14" x14ac:dyDescent="0.35">
      <c r="A35" s="125" t="s">
        <v>252</v>
      </c>
      <c r="C35"/>
      <c r="H35" s="12" t="str">
        <f>IF(H$28&lt;&gt;"",G135,"")</f>
        <v/>
      </c>
      <c r="I35" s="12" t="str">
        <f t="shared" ref="I35:L35" si="4">IF(I$28&lt;&gt;"",H134,"")</f>
        <v/>
      </c>
      <c r="J35" s="12" t="str">
        <f t="shared" si="4"/>
        <v/>
      </c>
      <c r="K35" s="12" t="str">
        <f t="shared" si="4"/>
        <v/>
      </c>
      <c r="L35" s="12" t="str">
        <f t="shared" si="4"/>
        <v/>
      </c>
      <c r="N35" s="141" t="s">
        <v>143</v>
      </c>
    </row>
    <row r="36" spans="1:14" x14ac:dyDescent="0.35">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35">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35">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35">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109</v>
      </c>
      <c r="C42"/>
      <c r="N42" s="141" t="s">
        <v>155</v>
      </c>
    </row>
    <row r="43" spans="1:14" hidden="1" x14ac:dyDescent="0.35">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210</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304</v>
      </c>
    </row>
    <row r="46" spans="1:14" x14ac:dyDescent="0.35">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250</v>
      </c>
      <c r="B52" s="214"/>
      <c r="C52" s="215" t="str">
        <f>IF(C28="","",SUM(C28))</f>
        <v/>
      </c>
      <c r="D52" s="215" t="str">
        <f>IF(D28="","",SUM(D28))</f>
        <v/>
      </c>
      <c r="E52" s="215" t="str">
        <f>IF(E28="","",SUM(E28))</f>
        <v/>
      </c>
      <c r="F52" s="215" t="str">
        <f>IF(F28="","",SUM(F28))</f>
        <v/>
      </c>
      <c r="G52" s="21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308</v>
      </c>
    </row>
    <row r="53" spans="1:16" x14ac:dyDescent="0.35">
      <c r="A53" t="str">
        <f>IF(A5="","","    To "&amp;A5)</f>
        <v xml:space="preserve">    To Reclamation - Protect Zone</v>
      </c>
      <c r="B53" s="187" t="s">
        <v>212</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35">
      <c r="A54" t="s">
        <v>251</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35">
      <c r="A55" t="str">
        <f>IF(A6="","","       To "&amp;A6)</f>
        <v xml:space="preserve">       To California</v>
      </c>
      <c r="B55" s="95" t="s">
        <v>265</v>
      </c>
      <c r="C55" s="82" t="str">
        <f>IF(OR(C$28="",$A55=""),"",(VLOOKUP(C$54,DivideInflow!$K$19:$W$25,9)-IF($A$59&lt;&gt;"",$B$59*$B$24,0))*(C$54))</f>
        <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3" t="e">
        <f>C55/C$54</f>
        <v>#VALUE!</v>
      </c>
      <c r="N55" s="143"/>
      <c r="P55" s="81"/>
    </row>
    <row r="56" spans="1:16" x14ac:dyDescent="0.35">
      <c r="A56" t="str">
        <f>IF(A7="","","       To "&amp;A7)</f>
        <v xml:space="preserve">       To Arizona</v>
      </c>
      <c r="B56" s="95" t="s">
        <v>264</v>
      </c>
      <c r="C56" s="82" t="str">
        <f>IF(OR(C$28="",$A56=""),"",(VLOOKUP(C$54,DivideInflow!$K$19:$W$25,7)-IF($A$59&lt;&gt;"",$B$59*$B$25,0))*(C$54))</f>
        <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3" t="e">
        <f t="shared" ref="M56:M58" si="26">C56/C$54</f>
        <v>#VALUE!</v>
      </c>
      <c r="N56" s="143"/>
    </row>
    <row r="57" spans="1:16" x14ac:dyDescent="0.35">
      <c r="A57" t="str">
        <f>IF(A8="","","       To "&amp;A8)</f>
        <v xml:space="preserve">       To Nevada</v>
      </c>
      <c r="B57" s="211">
        <v>3.3000000000000002E-2</v>
      </c>
      <c r="C57" s="82" t="str">
        <f>IF(OR(C$28="",$A57=""),"",VLOOKUP(C$54,DivideInflow!$K$19:$W$25,8)*(C$54))</f>
        <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3" t="e">
        <f t="shared" si="26"/>
        <v>#VALUE!</v>
      </c>
      <c r="N57" s="143"/>
    </row>
    <row r="58" spans="1:16" x14ac:dyDescent="0.35">
      <c r="A58" t="str">
        <f>IF(A9="","","       To "&amp;A9)</f>
        <v xml:space="preserve">       To Mexico</v>
      </c>
      <c r="B58" s="211">
        <v>0.16700000000000001</v>
      </c>
      <c r="C58" s="82" t="str">
        <f>IF(OR(C$28="",$A58=""),"",VLOOKUP(C$54,DivideInflow!$K$19:$W$25,10)*(C$54))</f>
        <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3" t="e">
        <f t="shared" si="26"/>
        <v>#VALUE!</v>
      </c>
      <c r="N58" s="143"/>
    </row>
    <row r="59" spans="1:16" x14ac:dyDescent="0.35">
      <c r="A59" t="str">
        <f>IF(A10="","","       To "&amp;A10)</f>
        <v xml:space="preserve">       To Tribal Nations of the Lower Basin</v>
      </c>
      <c r="B59" s="211">
        <f>IF(A59="","",0.952/7.5)</f>
        <v>0.12693333333333331</v>
      </c>
      <c r="C59" s="82" t="str">
        <f>IF(OR(C$28="",$A59=""),"",C$54*$B59)</f>
        <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3" t="e">
        <f>IF(A59="","",C59/C$54)</f>
        <v>#VALUE!</v>
      </c>
      <c r="N59" s="143"/>
    </row>
    <row r="60" spans="1:16" hidden="1" x14ac:dyDescent="0.35">
      <c r="A60" t="str">
        <f>IF(A31="","","    To "&amp;A31)</f>
        <v xml:space="preserve">    To Havasu / Parker evaporation and ET</v>
      </c>
      <c r="B60" s="151" t="s">
        <v>160</v>
      </c>
      <c r="C60" s="153" t="str">
        <f>IF(OR(C$28="",$A60=""),"",MIN(C31,C52-C59))</f>
        <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3" t="e">
        <f t="shared" ref="M60" si="44">F60/F$54</f>
        <v>#VALUE!</v>
      </c>
      <c r="N60" s="143"/>
    </row>
    <row r="61" spans="1:16" x14ac:dyDescent="0.35">
      <c r="B61" s="19"/>
      <c r="C61" s="18"/>
      <c r="D61" s="18"/>
      <c r="E61" s="18"/>
      <c r="F61" s="116"/>
      <c r="G61" s="28"/>
      <c r="N61" s="142"/>
    </row>
    <row r="62" spans="1:16" x14ac:dyDescent="0.35">
      <c r="A62" s="101" t="s">
        <v>188</v>
      </c>
      <c r="B62" s="98"/>
      <c r="C62" s="98"/>
      <c r="D62" s="98"/>
      <c r="E62" s="98"/>
      <c r="F62" s="98"/>
      <c r="G62" s="98"/>
      <c r="H62" s="98"/>
      <c r="I62" s="98"/>
      <c r="J62" s="98"/>
      <c r="K62" s="98"/>
      <c r="L62" s="98"/>
      <c r="M62" s="98"/>
      <c r="N62" s="138" t="str">
        <f>N3</f>
        <v>HELP, CONTEXT, and SUGGESTIONS</v>
      </c>
    </row>
    <row r="63" spans="1:16" x14ac:dyDescent="0.35">
      <c r="A63" s="119" t="str">
        <f>IF(A$5="[Unused]","",A5&amp;" ("&amp;B5&amp;")")</f>
        <v>Reclamation - Protect Zone ()</v>
      </c>
      <c r="B63" s="99"/>
      <c r="C63" s="99"/>
      <c r="D63" s="99"/>
      <c r="E63" s="99"/>
      <c r="F63" s="99"/>
      <c r="G63" s="99"/>
      <c r="H63" s="99"/>
      <c r="I63" s="99"/>
      <c r="J63" s="99"/>
      <c r="K63" s="99"/>
      <c r="L63" s="99"/>
      <c r="M63" s="100" t="s">
        <v>25</v>
      </c>
      <c r="N63" s="139" t="s">
        <v>147</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148</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149</v>
      </c>
    </row>
    <row r="66" spans="1:14" x14ac:dyDescent="0.35">
      <c r="A66" t="str">
        <f>IF(A65="","","   Net trade volume all participants (should be zero)")</f>
        <v xml:space="preserve">   Net trade volume all participants (should be zero)</v>
      </c>
      <c r="C66" s="44" t="str">
        <f t="shared" ref="C66:M66" si="45">IF(OR(C$28="",$A66=""),"",C$119)</f>
        <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150</v>
      </c>
    </row>
    <row r="67" spans="1:14" x14ac:dyDescent="0.35">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151</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156</v>
      </c>
    </row>
    <row r="69" spans="1:14" x14ac:dyDescent="0.35">
      <c r="A69" t="str">
        <f>IF(A68="","","   End of Year Balance [maf]")</f>
        <v xml:space="preserve">   End of Year Balance [maf]</v>
      </c>
      <c r="C69" s="12" t="str">
        <f>IF(OR(C$28="",$A69=""),"",C67-C68)</f>
        <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152</v>
      </c>
    </row>
    <row r="70" spans="1:14" x14ac:dyDescent="0.35">
      <c r="C70"/>
      <c r="N70" s="142"/>
    </row>
    <row r="71" spans="1:14" x14ac:dyDescent="0.35">
      <c r="A71" s="119" t="str">
        <f>IF(A$6="","[Unused]",A6&amp;" ("&amp;B6&amp;")")</f>
        <v>California ()</v>
      </c>
      <c r="B71" s="99"/>
      <c r="C71" s="99"/>
      <c r="D71" s="99"/>
      <c r="E71" s="99"/>
      <c r="F71" s="99"/>
      <c r="G71" s="99"/>
      <c r="H71" s="99"/>
      <c r="I71" s="99"/>
      <c r="J71" s="99"/>
      <c r="K71" s="99"/>
      <c r="L71" s="99"/>
      <c r="M71" s="100" t="s">
        <v>25</v>
      </c>
      <c r="N71" s="139" t="s">
        <v>147</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148</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149</v>
      </c>
    </row>
    <row r="74" spans="1:14" x14ac:dyDescent="0.35">
      <c r="A74" s="131" t="str">
        <f>IF(A73="","",$A$66)</f>
        <v xml:space="preserve">   Net trade volume all participants (should be zero)</v>
      </c>
      <c r="C74" s="44" t="str">
        <f t="shared" ref="C74:M74" si="48">IF(OR(C$28="",$A74=""),"",C$119)</f>
        <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150</v>
      </c>
    </row>
    <row r="75" spans="1:14" x14ac:dyDescent="0.35">
      <c r="A75" s="1" t="str">
        <f>IF(A73="","","   Available Water [maf]")</f>
        <v xml:space="preserve">   Available Water [maf]</v>
      </c>
      <c r="C75" s="12" t="str">
        <f>IF(OR(C$28="",$A75=""),"",C37+C55-C47+C72)</f>
        <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151</v>
      </c>
    </row>
    <row r="76" spans="1:14" x14ac:dyDescent="0.35">
      <c r="A76" s="125" t="str">
        <f>IF(A75="","",$A$68)</f>
        <v xml:space="preserve">   Enter withdraw [maf] within available water</v>
      </c>
      <c r="C76" s="93"/>
      <c r="D76" s="93"/>
      <c r="E76" s="93"/>
      <c r="F76" s="93"/>
      <c r="G76" s="93"/>
      <c r="H76" s="93"/>
      <c r="I76" s="93"/>
      <c r="J76" s="93"/>
      <c r="K76" s="93"/>
      <c r="L76" s="93"/>
      <c r="N76" s="141" t="s">
        <v>156</v>
      </c>
    </row>
    <row r="77" spans="1:14" x14ac:dyDescent="0.35">
      <c r="A77" t="str">
        <f>IF(A76="","","   End of Year Balance [maf]")</f>
        <v xml:space="preserve">   End of Year Balance [maf]</v>
      </c>
      <c r="C77" s="12" t="str">
        <f>IF(OR(C$28="",$A77=""),"",C75-C76)</f>
        <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152</v>
      </c>
    </row>
    <row r="78" spans="1:14" x14ac:dyDescent="0.35">
      <c r="C78"/>
      <c r="N78" s="142"/>
    </row>
    <row r="79" spans="1:14" x14ac:dyDescent="0.35">
      <c r="A79" s="119" t="str">
        <f>IF(A$7="","[Unused]",A7&amp;" ("&amp;B7&amp;")")</f>
        <v>Arizona ()</v>
      </c>
      <c r="B79" s="99"/>
      <c r="C79" s="99"/>
      <c r="D79" s="99"/>
      <c r="E79" s="99"/>
      <c r="F79" s="99"/>
      <c r="G79" s="99"/>
      <c r="H79" s="99"/>
      <c r="I79" s="99"/>
      <c r="J79" s="99"/>
      <c r="K79" s="99"/>
      <c r="L79" s="99"/>
      <c r="M79" s="100" t="s">
        <v>25</v>
      </c>
      <c r="N79" s="139" t="s">
        <v>147</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148</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149</v>
      </c>
    </row>
    <row r="82" spans="1:14" x14ac:dyDescent="0.35">
      <c r="A82" s="131" t="str">
        <f>IF(A81="","",$A$66)</f>
        <v xml:space="preserve">   Net trade volume all participants (should be zero)</v>
      </c>
      <c r="C82" s="44" t="str">
        <f t="shared" ref="C82:M82" si="51">IF(OR(C$28="",$A82=""),"",C$119)</f>
        <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150</v>
      </c>
    </row>
    <row r="83" spans="1:14" x14ac:dyDescent="0.35">
      <c r="A83" s="1" t="str">
        <f>IF(A81="","","   Available Water [maf]")</f>
        <v xml:space="preserve">   Available Water [maf]</v>
      </c>
      <c r="C83" s="12" t="str">
        <f>IF(OR(C$28="",$A83=""),"",C38+C56-C48+C80)</f>
        <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151</v>
      </c>
    </row>
    <row r="84" spans="1:14" x14ac:dyDescent="0.35">
      <c r="A84" s="125" t="str">
        <f>IF(A83="","",$A$68)</f>
        <v xml:space="preserve">   Enter withdraw [maf] within available water</v>
      </c>
      <c r="C84" s="93"/>
      <c r="D84" s="93"/>
      <c r="E84" s="93"/>
      <c r="F84" s="93"/>
      <c r="G84" s="93"/>
      <c r="H84" s="93"/>
      <c r="I84" s="93"/>
      <c r="J84" s="93"/>
      <c r="K84" s="93"/>
      <c r="L84" s="93"/>
      <c r="N84" s="141" t="s">
        <v>156</v>
      </c>
    </row>
    <row r="85" spans="1:14" x14ac:dyDescent="0.35">
      <c r="A85" t="str">
        <f>IF(A84="","","   End of Year Balance [maf]")</f>
        <v xml:space="preserve">   End of Year Balance [maf]</v>
      </c>
      <c r="C85" s="12" t="str">
        <f>IF(OR(C$28="",$A85=""),"",C83-C84)</f>
        <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152</v>
      </c>
    </row>
    <row r="86" spans="1:14" x14ac:dyDescent="0.35">
      <c r="C86"/>
      <c r="N86" s="142"/>
    </row>
    <row r="87" spans="1:14" x14ac:dyDescent="0.35">
      <c r="A87" s="119" t="str">
        <f>IF(A$8="","[Unused]",A8&amp;" ("&amp;B8&amp;")")</f>
        <v>Nevada ()</v>
      </c>
      <c r="B87" s="99"/>
      <c r="C87" s="99"/>
      <c r="D87" s="99"/>
      <c r="E87" s="99"/>
      <c r="F87" s="99"/>
      <c r="G87" s="99"/>
      <c r="H87" s="99"/>
      <c r="I87" s="99"/>
      <c r="J87" s="99"/>
      <c r="K87" s="99"/>
      <c r="L87" s="99"/>
      <c r="M87" s="100" t="s">
        <v>25</v>
      </c>
      <c r="N87" s="139" t="s">
        <v>147</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148</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149</v>
      </c>
    </row>
    <row r="90" spans="1:14" x14ac:dyDescent="0.35">
      <c r="A90" s="131" t="str">
        <f>IF(A89="","",$A$66)</f>
        <v xml:space="preserve">   Net trade volume all participants (should be zero)</v>
      </c>
      <c r="C90" s="44" t="str">
        <f t="shared" ref="C90:M90" si="54">IF(OR(C$28="",$A90=""),"",C$119)</f>
        <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150</v>
      </c>
    </row>
    <row r="91" spans="1:14" x14ac:dyDescent="0.35">
      <c r="A91" s="1" t="str">
        <f>IF(A89="","","   Available Water [maf]")</f>
        <v xml:space="preserve">   Available Water [maf]</v>
      </c>
      <c r="C91" s="12" t="str">
        <f>IF(OR(C$28="",$A91=""),"",C39+C57-C49+C88)</f>
        <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151</v>
      </c>
    </row>
    <row r="92" spans="1:14" x14ac:dyDescent="0.35">
      <c r="A92" s="125" t="str">
        <f>IF(A91="","",$A$68)</f>
        <v xml:space="preserve">   Enter withdraw [maf] within available water</v>
      </c>
      <c r="C92" s="93"/>
      <c r="D92" s="93"/>
      <c r="E92" s="93"/>
      <c r="F92" s="93"/>
      <c r="G92" s="93"/>
      <c r="H92" s="118"/>
      <c r="I92" s="118"/>
      <c r="J92" s="118"/>
      <c r="K92" s="118"/>
      <c r="L92" s="118"/>
      <c r="N92" s="141" t="s">
        <v>156</v>
      </c>
    </row>
    <row r="93" spans="1:14" x14ac:dyDescent="0.35">
      <c r="A93" t="str">
        <f>IF(A92="","","   End of Year Balance [maf]")</f>
        <v xml:space="preserve">   End of Year Balance [maf]</v>
      </c>
      <c r="C93" s="12" t="str">
        <f>IF(OR(C$28="",$A93=""),"",C91-C92)</f>
        <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152</v>
      </c>
    </row>
    <row r="94" spans="1:14" x14ac:dyDescent="0.35">
      <c r="C94"/>
      <c r="N94" s="142"/>
    </row>
    <row r="95" spans="1:14" x14ac:dyDescent="0.35">
      <c r="A95" s="119" t="str">
        <f>IF(A$9="","[Unused]",A9&amp;" ("&amp;B9&amp;")")</f>
        <v>Mexico ()</v>
      </c>
      <c r="B95" s="99"/>
      <c r="C95" s="99"/>
      <c r="D95" s="99"/>
      <c r="E95" s="99"/>
      <c r="F95" s="99"/>
      <c r="G95" s="99"/>
      <c r="H95" s="99"/>
      <c r="I95" s="99"/>
      <c r="J95" s="99"/>
      <c r="K95" s="99"/>
      <c r="L95" s="99"/>
      <c r="M95" s="100" t="s">
        <v>25</v>
      </c>
      <c r="N95" s="139" t="s">
        <v>147</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148</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149</v>
      </c>
    </row>
    <row r="98" spans="1:14" x14ac:dyDescent="0.35">
      <c r="A98" s="131" t="str">
        <f>IF(A97="","",$A$66)</f>
        <v xml:space="preserve">   Net trade volume all participants (should be zero)</v>
      </c>
      <c r="C98" s="44" t="str">
        <f t="shared" ref="C98:M98" si="57">IF(OR(C$28="",$A98=""),"",C$119)</f>
        <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150</v>
      </c>
    </row>
    <row r="99" spans="1:14" x14ac:dyDescent="0.35">
      <c r="A99" s="1" t="str">
        <f>IF(A97="","","   Available Water [maf]")</f>
        <v xml:space="preserve">   Available Water [maf]</v>
      </c>
      <c r="C99" s="12" t="str">
        <f>IF(OR(C$28="",$A99=""),"",C40+C58-C50+C96)</f>
        <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151</v>
      </c>
    </row>
    <row r="100" spans="1:14" x14ac:dyDescent="0.35">
      <c r="A100" s="125" t="str">
        <f>IF(A99="","",$A$68)</f>
        <v xml:space="preserve">   Enter withdraw [maf] within available water</v>
      </c>
      <c r="C100" s="93"/>
      <c r="D100" s="93"/>
      <c r="E100" s="93"/>
      <c r="F100" s="93"/>
      <c r="G100" s="93"/>
      <c r="H100" s="93"/>
      <c r="I100" s="93"/>
      <c r="J100" s="93"/>
      <c r="K100" s="93"/>
      <c r="L100" s="93"/>
      <c r="N100" s="141" t="s">
        <v>156</v>
      </c>
    </row>
    <row r="101" spans="1:14" x14ac:dyDescent="0.35">
      <c r="A101" t="str">
        <f>IF(A100="","","   End of Year Balance [maf]")</f>
        <v xml:space="preserve">   End of Year Balance [maf]</v>
      </c>
      <c r="C101" s="12" t="str">
        <f>IF(OR(C$28="",$A101=""),"",C99-C100)</f>
        <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152</v>
      </c>
    </row>
    <row r="102" spans="1:14" x14ac:dyDescent="0.35">
      <c r="C102"/>
      <c r="N102" s="142"/>
    </row>
    <row r="103" spans="1:14" x14ac:dyDescent="0.35">
      <c r="A103" s="119" t="str">
        <f>IF(A$10="","[Unused]",A10&amp;" ("&amp;B10&amp;")")</f>
        <v>Tribal Nations of the Lower Basin ()</v>
      </c>
      <c r="B103" s="99"/>
      <c r="C103" s="99"/>
      <c r="D103" s="99"/>
      <c r="E103" s="99"/>
      <c r="F103" s="99"/>
      <c r="G103" s="99"/>
      <c r="H103" s="99"/>
      <c r="I103" s="99"/>
      <c r="J103" s="99"/>
      <c r="K103" s="99"/>
      <c r="L103" s="99"/>
      <c r="M103" s="100" t="s">
        <v>25</v>
      </c>
      <c r="N103" s="139" t="s">
        <v>147</v>
      </c>
    </row>
    <row r="104" spans="1:14" x14ac:dyDescent="0.35">
      <c r="A104" s="126" t="str">
        <f>IF(A103="[Unused]","",$A$64)</f>
        <v xml:space="preserve">   Enter volume to Buy(+) or Sell(-) [maf]</v>
      </c>
      <c r="C104" s="220"/>
      <c r="D104" s="220"/>
      <c r="E104" s="220"/>
      <c r="F104" s="220"/>
      <c r="G104" s="220"/>
      <c r="H104" s="17"/>
      <c r="I104" s="17"/>
      <c r="J104" s="17"/>
      <c r="K104" s="17"/>
      <c r="L104" s="17"/>
      <c r="M104" s="44">
        <f>SUM(C104:L104)</f>
        <v>0</v>
      </c>
      <c r="N104" s="144" t="s">
        <v>148</v>
      </c>
    </row>
    <row r="105" spans="1:14" x14ac:dyDescent="0.35">
      <c r="A105" s="126" t="str">
        <f>IF(A104="","",$A$65)</f>
        <v xml:space="preserve">   Enter compensation to Buy(-) or Sell(+) [$ Mill]</v>
      </c>
      <c r="C105" s="221"/>
      <c r="D105" s="221"/>
      <c r="E105" s="221"/>
      <c r="F105" s="221"/>
      <c r="G105" s="221"/>
      <c r="H105" s="112"/>
      <c r="I105" s="112"/>
      <c r="J105" s="112"/>
      <c r="K105" s="112"/>
      <c r="L105" s="112"/>
      <c r="M105" s="43">
        <f>SUM(C105:L105)</f>
        <v>0</v>
      </c>
      <c r="N105" s="145" t="s">
        <v>149</v>
      </c>
    </row>
    <row r="106" spans="1:14" x14ac:dyDescent="0.35">
      <c r="A106" s="131" t="str">
        <f>IF(A105="","",$A$66)</f>
        <v xml:space="preserve">   Net trade volume all participants (should be zero)</v>
      </c>
      <c r="C106" s="44" t="str">
        <f t="shared" ref="C106:M106" si="60">IF(OR(C$28="",$A106=""),"",C$119)</f>
        <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150</v>
      </c>
    </row>
    <row r="107" spans="1:14" x14ac:dyDescent="0.35">
      <c r="A107" s="1" t="str">
        <f>IF(A105="","","   Available Water [maf]")</f>
        <v xml:space="preserve">   Available Water [maf]</v>
      </c>
      <c r="C107" s="12" t="str">
        <f>IF(OR(C$28="",$A107=""),"",C41+C59-C51+C104)</f>
        <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151</v>
      </c>
    </row>
    <row r="108" spans="1:14" x14ac:dyDescent="0.35">
      <c r="A108" s="125" t="str">
        <f>IF(A107="","",$A$68)</f>
        <v xml:space="preserve">   Enter withdraw [maf] within available water</v>
      </c>
      <c r="C108" s="222"/>
      <c r="D108" s="222"/>
      <c r="E108" s="222"/>
      <c r="F108" s="222"/>
      <c r="G108" s="222"/>
      <c r="H108" s="27"/>
      <c r="I108" s="27"/>
      <c r="J108" s="27"/>
      <c r="K108" s="27"/>
      <c r="L108" s="27"/>
      <c r="N108" s="141" t="s">
        <v>156</v>
      </c>
    </row>
    <row r="109" spans="1:14" x14ac:dyDescent="0.35">
      <c r="A109" t="str">
        <f>IF(A108="","","   End of Year Balance [maf]")</f>
        <v xml:space="preserve">   End of Year Balance [maf]</v>
      </c>
      <c r="C109" s="12" t="str">
        <f>IF(OR(C$28="",$A109=""),"",C107-C108)</f>
        <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152</v>
      </c>
    </row>
    <row r="110" spans="1:14" x14ac:dyDescent="0.35">
      <c r="C110"/>
      <c r="N110" s="142"/>
    </row>
    <row r="111" spans="1:14" x14ac:dyDescent="0.35">
      <c r="A111" s="101" t="s">
        <v>189</v>
      </c>
      <c r="B111" s="101"/>
      <c r="C111" s="101"/>
      <c r="D111" s="101"/>
      <c r="E111" s="101"/>
      <c r="F111" s="101"/>
      <c r="G111" s="101"/>
      <c r="H111" s="101"/>
      <c r="I111" s="101"/>
      <c r="J111" s="101"/>
      <c r="K111" s="101"/>
      <c r="L111" s="101"/>
      <c r="M111" s="101"/>
      <c r="N111" s="141" t="s">
        <v>153</v>
      </c>
    </row>
    <row r="112" spans="1:14" x14ac:dyDescent="0.35">
      <c r="A112" s="1" t="s">
        <v>103</v>
      </c>
      <c r="C112"/>
      <c r="M112" t="s">
        <v>50</v>
      </c>
      <c r="N112" s="142"/>
    </row>
    <row r="113" spans="1:14" x14ac:dyDescent="0.35">
      <c r="A113" t="str">
        <f t="shared" ref="A113:A118" si="63">IF(A5="","","    "&amp;A5)</f>
        <v xml:space="preserve">    Reclamation - Protect Zone</v>
      </c>
      <c r="B113" s="1"/>
      <c r="C113" s="44" t="str">
        <f t="shared" ref="C113:L113" ca="1" si="64">IF(OR(C$28="",$A113=""),"",OFFSET(C$64,8*(ROW(B113)-ROW(B$113)),0))</f>
        <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t="str">
        <f t="shared" ref="C114:L114" ca="1" si="65">IF(OR(C$28="",$A114=""),"",OFFSET(C$64,8*(ROW(B114)-ROW(B$113)),0))</f>
        <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t="str">
        <f t="shared" ref="C115:L115" ca="1" si="67">IF(OR(C$28="",$A115=""),"",OFFSET(C$64,8*(ROW(B115)-ROW(B$113)),0))</f>
        <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t="str">
        <f t="shared" ref="C116:L116" ca="1" si="68">IF(OR(C$28="",$A116=""),"",OFFSET(C$64,8*(ROW(B116)-ROW(B$113)),0))</f>
        <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t="str">
        <f t="shared" ref="C117:L117" ca="1" si="69">IF(OR(C$28="",$A117=""),"",OFFSET(C$64,8*(ROW(B117)-ROW(B$113)),0))</f>
        <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t="str">
        <f t="shared" ref="C118:L118" ca="1" si="70">IF(OR(C$28="",$A118=""),"",OFFSET(C$64,8*(ROW(B118)-ROW(B$113)),0))</f>
        <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38</v>
      </c>
      <c r="B119" s="1"/>
      <c r="C119" s="12" t="str">
        <f>IF(C$28&lt;&gt;"",SUM(C113:C118),"")</f>
        <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104</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t="str">
        <f t="shared" ref="C121:L121" ca="1" si="72">IF(OR(C$28="",$A121=""),"",OFFSET(C$68,8*(ROW(B121)-ROW(B$121)),0))</f>
        <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t="str">
        <f t="shared" ref="C122:L122" ca="1" si="73">IF(OR(C$28="",$A122=""),"",OFFSET(C$68,8*(ROW(B122)-ROW(B$121)),0))</f>
        <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t="str">
        <f t="shared" ref="C123:L123" ca="1" si="74">IF(OR(C$28="",$A123=""),"",OFFSET(C$68,8*(ROW(B123)-ROW(B$121)),0))</f>
        <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t="str">
        <f t="shared" ref="C124:L124" ca="1" si="75">IF(OR(C$28="",$A124=""),"",OFFSET(C$68,8*(ROW(B124)-ROW(B$121)),0))</f>
        <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t="str">
        <f t="shared" ref="C125:L125" ca="1" si="76">IF(OR(C$28="",$A125=""),"",OFFSET(C$68,8*(ROW(B125)-ROW(B$121)),0))</f>
        <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t="str">
        <f t="shared" ref="C126:L126" ca="1" si="77">IF(OR(C$28="",$A126=""),"",OFFSET(C$68,8*(ROW(B126)-ROW(B$121)),0))</f>
        <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258</v>
      </c>
      <c r="B127" s="1"/>
      <c r="D127" s="2"/>
      <c r="E127" s="2"/>
      <c r="F127" s="2"/>
      <c r="G127" s="2"/>
      <c r="H127" s="2"/>
      <c r="I127" s="2"/>
      <c r="J127" s="2"/>
      <c r="K127" s="2"/>
      <c r="L127" s="2"/>
      <c r="N127" s="142"/>
    </row>
    <row r="128" spans="1:14" x14ac:dyDescent="0.35">
      <c r="A128" t="str">
        <f t="shared" ref="A128:A133" si="78">IF(A5="","","    "&amp;A5)</f>
        <v xml:space="preserve">    Reclamation - Protect Zone</v>
      </c>
      <c r="C128" s="44" t="str">
        <f t="shared" ref="C128:L128" ca="1" si="79">IF(OR(C$28="",$A128=""),"",OFFSET(C$69,8*(ROW(B128)-ROW(B$128)),0))</f>
        <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t="str">
        <f t="shared" ref="C129:L129" ca="1" si="80">IF(OR(C$28="",$A129=""),"",OFFSET(C$69,8*(ROW(B129)-ROW(B$128)),0))</f>
        <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t="str">
        <f t="shared" ref="C130:L130" ca="1" si="81">IF(OR(C$28="",$A130=""),"",OFFSET(C$69,8*(ROW(B130)-ROW(B$128)),0))</f>
        <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t="str">
        <f t="shared" ref="C131:L131" ca="1" si="82">IF(OR(C$28="",$A131=""),"",OFFSET(C$69,8*(ROW(B131)-ROW(B$128)),0))</f>
        <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t="str">
        <f t="shared" ref="C132:L132" ca="1" si="83">IF(OR(C$28="",$A132=""),"",OFFSET(C$69,8*(ROW(B132)-ROW(B$128)),0))</f>
        <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t="str">
        <f t="shared" ref="C133:L133" ca="1" si="84">IF(OR(C$28="",$A133=""),"",OFFSET(C$69,8*(ROW(B133)-ROW(B$128)),0))</f>
        <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253</v>
      </c>
      <c r="H134" s="12" t="str">
        <f t="shared" ref="H134:L134" si="85">IF(H$28&lt;&gt;"",SUM(H128:H133),"")</f>
        <v/>
      </c>
      <c r="I134" s="12" t="str">
        <f t="shared" si="85"/>
        <v/>
      </c>
      <c r="J134" s="12" t="str">
        <f t="shared" si="85"/>
        <v/>
      </c>
      <c r="K134" s="12" t="str">
        <f t="shared" si="85"/>
        <v/>
      </c>
      <c r="L134" s="12" t="str">
        <f t="shared" si="85"/>
        <v/>
      </c>
      <c r="N134" s="141" t="s">
        <v>309</v>
      </c>
    </row>
    <row r="135" spans="1:14" x14ac:dyDescent="0.35">
      <c r="A135" t="s">
        <v>254</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255</v>
      </c>
      <c r="B136" s="1"/>
      <c r="C136" s="219" t="str">
        <f>IF(C$28&lt;&gt;"",VLOOKUP(C135*1000000,'Mead-Elevation-Area'!$B$5:$H$689,7),"")</f>
        <v/>
      </c>
      <c r="D136" s="219" t="str">
        <f>IF(D$28&lt;&gt;"",VLOOKUP(D135*1000000,'Mead-Elevation-Area'!$B$5:$H$689,7),"")</f>
        <v/>
      </c>
      <c r="E136" s="216" t="str">
        <f>IF(E$28&lt;&gt;"",VLOOKUP(E135*1000000,'Mead-Elevation-Area'!$B$5:$H$689,7),"")</f>
        <v/>
      </c>
      <c r="F136" s="216" t="str">
        <f>IF(F$28&lt;&gt;"",VLOOKUP(F135*1000000,'Mead-Elevation-Area'!$B$5:$H$689,7),"")</f>
        <v/>
      </c>
      <c r="G136" s="216" t="str">
        <f>IF(G$28&lt;&gt;"",VLOOKUP(G135*1000000,'Mead-Elevation-Area'!$B$5:$H$689,7),"")</f>
        <v/>
      </c>
      <c r="H136" s="12"/>
      <c r="I136" s="12"/>
      <c r="J136" s="12"/>
      <c r="K136" s="12"/>
      <c r="L136" s="12"/>
      <c r="N136" s="141"/>
    </row>
    <row r="137" spans="1:14" x14ac:dyDescent="0.35">
      <c r="A137" s="125" t="s">
        <v>256</v>
      </c>
      <c r="C137" s="18"/>
      <c r="N137" s="141" t="s">
        <v>154</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ColWidth="8.81640625" defaultRowHeight="14.5" x14ac:dyDescent="0.35"/>
  <cols>
    <col min="1" max="1" width="5.36328125" customWidth="1"/>
    <col min="2" max="2" width="14.453125" customWidth="1"/>
    <col min="3" max="3" width="8.1796875" customWidth="1"/>
    <col min="4" max="4" width="7.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6.81640625" customWidth="1"/>
    <col min="19" max="19" width="9.36328125" customWidth="1"/>
    <col min="21" max="21" width="7.36328125" style="2" customWidth="1"/>
  </cols>
  <sheetData>
    <row r="1" spans="1:21" x14ac:dyDescent="0.35">
      <c r="A1" s="1" t="s">
        <v>271</v>
      </c>
    </row>
    <row r="2" spans="1:21" x14ac:dyDescent="0.35">
      <c r="A2" t="s">
        <v>272</v>
      </c>
    </row>
    <row r="3" spans="1:21" x14ac:dyDescent="0.35">
      <c r="A3" t="s">
        <v>213</v>
      </c>
    </row>
    <row r="4" spans="1:21" ht="21" customHeight="1" x14ac:dyDescent="0.35"/>
    <row r="5" spans="1:21" ht="16.5" customHeight="1" x14ac:dyDescent="0.35">
      <c r="I5" s="351" t="s">
        <v>13</v>
      </c>
      <c r="J5" s="351" t="s">
        <v>214</v>
      </c>
      <c r="K5" s="351" t="s">
        <v>215</v>
      </c>
      <c r="L5" s="348" t="s">
        <v>216</v>
      </c>
      <c r="M5" s="349"/>
      <c r="N5" s="349"/>
      <c r="O5" s="349"/>
      <c r="P5" s="350"/>
      <c r="Q5" s="340" t="s">
        <v>217</v>
      </c>
      <c r="R5" s="341"/>
      <c r="S5" s="341"/>
      <c r="T5" s="341"/>
      <c r="U5" s="342"/>
    </row>
    <row r="6" spans="1:21" s="188" customFormat="1" ht="27.5" customHeight="1" x14ac:dyDescent="0.3">
      <c r="B6" s="189" t="s">
        <v>218</v>
      </c>
      <c r="C6" s="189" t="s">
        <v>204</v>
      </c>
      <c r="D6" s="189" t="s">
        <v>205</v>
      </c>
      <c r="E6" s="189" t="s">
        <v>203</v>
      </c>
      <c r="F6" s="189" t="s">
        <v>18</v>
      </c>
      <c r="G6" s="189" t="s">
        <v>25</v>
      </c>
      <c r="I6" s="352"/>
      <c r="J6" s="352"/>
      <c r="K6" s="352"/>
      <c r="L6" s="190" t="s">
        <v>219</v>
      </c>
      <c r="M6" s="190" t="s">
        <v>220</v>
      </c>
      <c r="N6" s="190" t="s">
        <v>221</v>
      </c>
      <c r="O6" s="190" t="s">
        <v>222</v>
      </c>
      <c r="P6" s="190" t="s">
        <v>223</v>
      </c>
      <c r="Q6" s="191" t="s">
        <v>224</v>
      </c>
      <c r="R6" s="191" t="s">
        <v>225</v>
      </c>
      <c r="S6" s="191" t="s">
        <v>226</v>
      </c>
      <c r="T6" s="191" t="s">
        <v>227</v>
      </c>
      <c r="U6" s="191" t="s">
        <v>228</v>
      </c>
    </row>
    <row r="7" spans="1:21" s="188" customFormat="1" ht="13" customHeight="1" x14ac:dyDescent="0.3">
      <c r="B7" s="348" t="s">
        <v>229</v>
      </c>
      <c r="C7" s="349"/>
      <c r="D7" s="349"/>
      <c r="E7" s="349"/>
      <c r="F7" s="349"/>
      <c r="G7" s="350"/>
      <c r="I7" s="192" t="s">
        <v>230</v>
      </c>
      <c r="J7" s="192">
        <f>B13</f>
        <v>0</v>
      </c>
      <c r="K7" s="193">
        <v>9</v>
      </c>
      <c r="L7" s="194">
        <v>2.8</v>
      </c>
      <c r="M7" s="194">
        <v>0.3</v>
      </c>
      <c r="N7" s="194">
        <v>4.4000000000000004</v>
      </c>
      <c r="O7" s="194">
        <v>1.5</v>
      </c>
      <c r="P7" s="194">
        <f>SUM(L7:O7)</f>
        <v>9</v>
      </c>
      <c r="Q7" s="195">
        <f t="shared" ref="Q7:T11" si="0">L7/$K7</f>
        <v>0.31111111111111112</v>
      </c>
      <c r="R7" s="195">
        <f t="shared" si="0"/>
        <v>3.3333333333333333E-2</v>
      </c>
      <c r="S7" s="195">
        <f t="shared" si="0"/>
        <v>0.48888888888888893</v>
      </c>
      <c r="T7" s="195">
        <f t="shared" si="0"/>
        <v>0.16666666666666666</v>
      </c>
      <c r="U7" s="196">
        <f>SUM(Q7:T7)</f>
        <v>1</v>
      </c>
    </row>
    <row r="8" spans="1:21" s="197" customFormat="1" ht="14" x14ac:dyDescent="0.3">
      <c r="B8" s="198">
        <v>0</v>
      </c>
      <c r="C8" s="199">
        <v>0</v>
      </c>
      <c r="D8" s="199">
        <v>0</v>
      </c>
      <c r="E8" s="199">
        <v>0</v>
      </c>
      <c r="F8" s="199">
        <v>0</v>
      </c>
      <c r="G8" s="199">
        <f>SUM(C8:F8)</f>
        <v>0</v>
      </c>
      <c r="I8" s="192" t="s">
        <v>231</v>
      </c>
      <c r="J8" s="192">
        <f>B14</f>
        <v>0.3</v>
      </c>
      <c r="K8" s="200">
        <f>K$7-J8</f>
        <v>8.6999999999999993</v>
      </c>
      <c r="L8" s="201">
        <f t="shared" ref="L8:O11" si="1">L$7-C14</f>
        <v>2.5599999999999996</v>
      </c>
      <c r="M8" s="201">
        <f t="shared" si="1"/>
        <v>0.29000999999999999</v>
      </c>
      <c r="N8" s="201">
        <f t="shared" si="1"/>
        <v>4.4000000000000004</v>
      </c>
      <c r="O8" s="201">
        <f t="shared" si="1"/>
        <v>1.4499900000000001</v>
      </c>
      <c r="P8" s="194">
        <f t="shared" ref="P8:P11" si="2">SUM(L8:O8)</f>
        <v>8.6999999999999993</v>
      </c>
      <c r="Q8" s="195">
        <f t="shared" si="0"/>
        <v>0.29425287356321839</v>
      </c>
      <c r="R8" s="195">
        <f t="shared" si="0"/>
        <v>3.3334482758620693E-2</v>
      </c>
      <c r="S8" s="195">
        <f t="shared" si="0"/>
        <v>0.50574712643678166</v>
      </c>
      <c r="T8" s="195">
        <f t="shared" si="0"/>
        <v>0.16666551724137935</v>
      </c>
      <c r="U8" s="196">
        <f t="shared" ref="U8:U13" si="3">SUM(Q8:T8)</f>
        <v>1</v>
      </c>
    </row>
    <row r="9" spans="1:21" s="197" customFormat="1" ht="14" x14ac:dyDescent="0.3">
      <c r="B9" s="198" t="s">
        <v>232</v>
      </c>
      <c r="C9" s="202">
        <v>0.8</v>
      </c>
      <c r="D9" s="202">
        <v>3.3300000000000003E-2</v>
      </c>
      <c r="E9" s="202">
        <v>0</v>
      </c>
      <c r="F9" s="202">
        <v>0.16669999999999999</v>
      </c>
      <c r="G9" s="202">
        <f t="shared" ref="G9:G10" si="4">SUM(C9:F9)</f>
        <v>1</v>
      </c>
      <c r="I9" s="192" t="s">
        <v>233</v>
      </c>
      <c r="J9" s="192">
        <f>B15</f>
        <v>0.4</v>
      </c>
      <c r="K9" s="200">
        <f>K$7-J9</f>
        <v>8.6</v>
      </c>
      <c r="L9" s="201">
        <f t="shared" si="1"/>
        <v>2.51667</v>
      </c>
      <c r="M9" s="201">
        <f t="shared" si="1"/>
        <v>0.28667999999999999</v>
      </c>
      <c r="N9" s="201">
        <f t="shared" si="1"/>
        <v>4.3633300000000004</v>
      </c>
      <c r="O9" s="201">
        <f t="shared" si="1"/>
        <v>1.4333199999999999</v>
      </c>
      <c r="P9" s="194">
        <f t="shared" si="2"/>
        <v>8.6</v>
      </c>
      <c r="Q9" s="195">
        <f t="shared" si="0"/>
        <v>0.29263604651162789</v>
      </c>
      <c r="R9" s="195">
        <f t="shared" si="0"/>
        <v>3.3334883720930235E-2</v>
      </c>
      <c r="S9" s="195">
        <f t="shared" si="0"/>
        <v>0.50736395348837215</v>
      </c>
      <c r="T9" s="195">
        <f t="shared" si="0"/>
        <v>0.16666511627906977</v>
      </c>
      <c r="U9" s="196">
        <f t="shared" si="3"/>
        <v>1</v>
      </c>
    </row>
    <row r="10" spans="1:21" s="197" customFormat="1" ht="14" x14ac:dyDescent="0.3">
      <c r="B10" s="198" t="s">
        <v>234</v>
      </c>
      <c r="C10" s="202">
        <v>0.43330000000000002</v>
      </c>
      <c r="D10" s="202">
        <v>3.3300000000000003E-2</v>
      </c>
      <c r="E10" s="202">
        <v>0.36670000000000003</v>
      </c>
      <c r="F10" s="202">
        <v>0.16669999999999999</v>
      </c>
      <c r="G10" s="202">
        <f t="shared" si="4"/>
        <v>1</v>
      </c>
      <c r="I10" s="192" t="s">
        <v>235</v>
      </c>
      <c r="J10" s="192">
        <f>B16</f>
        <v>1</v>
      </c>
      <c r="K10" s="200">
        <f>K$7-J10</f>
        <v>8</v>
      </c>
      <c r="L10" s="201">
        <f t="shared" si="1"/>
        <v>2.2566899999999999</v>
      </c>
      <c r="M10" s="201">
        <f t="shared" si="1"/>
        <v>0.26669999999999999</v>
      </c>
      <c r="N10" s="201">
        <f t="shared" si="1"/>
        <v>4.1433100000000005</v>
      </c>
      <c r="O10" s="201">
        <f t="shared" si="1"/>
        <v>1.3332999999999999</v>
      </c>
      <c r="P10" s="194">
        <f t="shared" si="2"/>
        <v>8</v>
      </c>
      <c r="Q10" s="195">
        <f t="shared" si="0"/>
        <v>0.28208624999999998</v>
      </c>
      <c r="R10" s="195">
        <f t="shared" si="0"/>
        <v>3.3337499999999999E-2</v>
      </c>
      <c r="S10" s="195">
        <f t="shared" si="0"/>
        <v>0.51791375000000006</v>
      </c>
      <c r="T10" s="195">
        <f t="shared" si="0"/>
        <v>0.16666249999999999</v>
      </c>
      <c r="U10" s="196">
        <f t="shared" si="3"/>
        <v>1</v>
      </c>
    </row>
    <row r="11" spans="1:21" s="197" customFormat="1" ht="14" x14ac:dyDescent="0.3">
      <c r="B11" s="198" t="s">
        <v>236</v>
      </c>
      <c r="C11" s="339" t="s">
        <v>237</v>
      </c>
      <c r="D11" s="339"/>
      <c r="E11" s="339"/>
      <c r="F11" s="339"/>
      <c r="G11" s="339"/>
      <c r="I11" s="192" t="s">
        <v>238</v>
      </c>
      <c r="J11" s="192">
        <f>B17</f>
        <v>1.5</v>
      </c>
      <c r="K11" s="200">
        <f>K$7-J11</f>
        <v>7.5</v>
      </c>
      <c r="L11" s="201">
        <f t="shared" si="1"/>
        <v>2.0400399999999999</v>
      </c>
      <c r="M11" s="201">
        <f t="shared" si="1"/>
        <v>0.25004999999999999</v>
      </c>
      <c r="N11" s="201">
        <f t="shared" si="1"/>
        <v>3.9599600000000001</v>
      </c>
      <c r="O11" s="201">
        <f t="shared" si="1"/>
        <v>1.2499500000000001</v>
      </c>
      <c r="P11" s="194">
        <f t="shared" si="2"/>
        <v>7.5</v>
      </c>
      <c r="Q11" s="195">
        <f t="shared" si="0"/>
        <v>0.27200533333333332</v>
      </c>
      <c r="R11" s="195">
        <f t="shared" si="0"/>
        <v>3.3340000000000002E-2</v>
      </c>
      <c r="S11" s="195">
        <f t="shared" si="0"/>
        <v>0.52799466666666672</v>
      </c>
      <c r="T11" s="195">
        <f t="shared" si="0"/>
        <v>0.16666</v>
      </c>
      <c r="U11" s="196">
        <f t="shared" si="3"/>
        <v>1</v>
      </c>
    </row>
    <row r="12" spans="1:21" s="197" customFormat="1" ht="14" x14ac:dyDescent="0.3">
      <c r="B12" s="343" t="s">
        <v>239</v>
      </c>
      <c r="C12" s="344"/>
      <c r="D12" s="344"/>
      <c r="E12" s="344"/>
      <c r="F12" s="344"/>
      <c r="G12" s="344"/>
      <c r="I12" s="192" t="s">
        <v>240</v>
      </c>
      <c r="J12" s="192" t="s">
        <v>236</v>
      </c>
      <c r="K12" s="200" t="s">
        <v>241</v>
      </c>
      <c r="L12" s="345" t="s">
        <v>237</v>
      </c>
      <c r="M12" s="346"/>
      <c r="N12" s="346"/>
      <c r="O12" s="346"/>
      <c r="P12" s="347"/>
      <c r="Q12" s="345" t="s">
        <v>237</v>
      </c>
      <c r="R12" s="346"/>
      <c r="S12" s="346"/>
      <c r="T12" s="346"/>
      <c r="U12" s="347"/>
    </row>
    <row r="13" spans="1:21" s="197" customFormat="1" ht="14" x14ac:dyDescent="0.3">
      <c r="B13" s="198">
        <v>0</v>
      </c>
      <c r="C13" s="203">
        <v>0</v>
      </c>
      <c r="D13" s="203">
        <v>0</v>
      </c>
      <c r="E13" s="203">
        <v>0</v>
      </c>
      <c r="F13" s="203">
        <v>0</v>
      </c>
      <c r="G13" s="203">
        <f>SUM(C13:F13)</f>
        <v>0</v>
      </c>
      <c r="I13" s="192" t="s">
        <v>242</v>
      </c>
      <c r="J13" s="192">
        <v>2.7</v>
      </c>
      <c r="K13" s="200">
        <f>K$7-J13</f>
        <v>6.3</v>
      </c>
      <c r="L13" s="201">
        <f>L11-C10*($K11-$K13)</f>
        <v>1.5200799999999997</v>
      </c>
      <c r="M13" s="201">
        <f>M11-D10*($K11-$K13)</f>
        <v>0.21009</v>
      </c>
      <c r="N13" s="201">
        <f>N11-E10*($K11-$K13)</f>
        <v>3.5199199999999999</v>
      </c>
      <c r="O13" s="201">
        <f>O11-F10*($K11-$K13)</f>
        <v>1.0499100000000001</v>
      </c>
      <c r="P13" s="201">
        <f>P11-G10*($K11-$K13)</f>
        <v>6.3</v>
      </c>
      <c r="Q13" s="195">
        <f>L13/$K13</f>
        <v>0.24128253968253963</v>
      </c>
      <c r="R13" s="195">
        <f>M13/$K13</f>
        <v>3.334761904761905E-2</v>
      </c>
      <c r="S13" s="195">
        <f>N13/$K13</f>
        <v>0.55871746031746028</v>
      </c>
      <c r="T13" s="195">
        <f>O13/$K13</f>
        <v>0.16665238095238097</v>
      </c>
      <c r="U13" s="196">
        <f t="shared" si="3"/>
        <v>1</v>
      </c>
    </row>
    <row r="14" spans="1:21" s="197" customFormat="1" ht="14" x14ac:dyDescent="0.3">
      <c r="B14" s="198">
        <v>0.3</v>
      </c>
      <c r="C14" s="201">
        <f>$B14*C9</f>
        <v>0.24</v>
      </c>
      <c r="D14" s="201">
        <f>$B14*D9</f>
        <v>9.9900000000000006E-3</v>
      </c>
      <c r="E14" s="201">
        <f>$B14*E9</f>
        <v>0</v>
      </c>
      <c r="F14" s="201">
        <f>$B14*F9</f>
        <v>5.0009999999999992E-2</v>
      </c>
      <c r="G14" s="201">
        <f>SUM(C14:F14)</f>
        <v>0.3</v>
      </c>
      <c r="I14" s="192" t="s">
        <v>266</v>
      </c>
      <c r="J14" s="192">
        <v>8</v>
      </c>
      <c r="K14" s="200">
        <f>K$7-J14</f>
        <v>1</v>
      </c>
      <c r="L14" s="201">
        <f>$K14*Q14</f>
        <v>0.24128253968253963</v>
      </c>
      <c r="M14" s="201">
        <f t="shared" ref="M14:P14" si="5">$K14*R14</f>
        <v>3.334761904761905E-2</v>
      </c>
      <c r="N14" s="201">
        <f t="shared" si="5"/>
        <v>0.55871746031746028</v>
      </c>
      <c r="O14" s="201">
        <f t="shared" si="5"/>
        <v>0.16665238095238097</v>
      </c>
      <c r="P14" s="201">
        <f t="shared" si="5"/>
        <v>1</v>
      </c>
      <c r="Q14" s="195">
        <f>Q13</f>
        <v>0.24128253968253963</v>
      </c>
      <c r="R14" s="195">
        <f t="shared" ref="R14:U14" si="6">R13</f>
        <v>3.334761904761905E-2</v>
      </c>
      <c r="S14" s="195">
        <f t="shared" si="6"/>
        <v>0.55871746031746028</v>
      </c>
      <c r="T14" s="195">
        <f t="shared" si="6"/>
        <v>0.16665238095238097</v>
      </c>
      <c r="U14" s="224">
        <f t="shared" si="6"/>
        <v>1</v>
      </c>
    </row>
    <row r="15" spans="1:21" s="197" customFormat="1" ht="14" x14ac:dyDescent="0.3">
      <c r="B15" s="198">
        <v>0.4</v>
      </c>
      <c r="C15" s="201">
        <f t="shared" ref="C15:F17" si="7">C$14+C$10*($B15-$B$14)</f>
        <v>0.28333000000000003</v>
      </c>
      <c r="D15" s="201">
        <f t="shared" si="7"/>
        <v>1.3320000000000002E-2</v>
      </c>
      <c r="E15" s="201">
        <f t="shared" si="7"/>
        <v>3.6670000000000015E-2</v>
      </c>
      <c r="F15" s="201">
        <f t="shared" si="7"/>
        <v>6.6679999999999989E-2</v>
      </c>
      <c r="G15" s="201">
        <f>SUM(C15:F15)</f>
        <v>0.4</v>
      </c>
      <c r="I15" s="204" t="s">
        <v>243</v>
      </c>
      <c r="J15" s="205"/>
      <c r="K15" s="206"/>
      <c r="L15" s="207"/>
      <c r="M15" s="207"/>
      <c r="N15" s="207"/>
      <c r="O15" s="207"/>
      <c r="P15" s="207"/>
      <c r="Q15" s="208"/>
      <c r="R15" s="208"/>
      <c r="S15" s="208"/>
      <c r="T15" s="208"/>
      <c r="U15" s="209"/>
    </row>
    <row r="16" spans="1:21" s="197" customFormat="1" ht="14" x14ac:dyDescent="0.3">
      <c r="B16" s="198">
        <v>1</v>
      </c>
      <c r="C16" s="201">
        <f t="shared" si="7"/>
        <v>0.54330999999999996</v>
      </c>
      <c r="D16" s="201">
        <f t="shared" si="7"/>
        <v>3.3300000000000003E-2</v>
      </c>
      <c r="E16" s="201">
        <f t="shared" si="7"/>
        <v>0.25669000000000003</v>
      </c>
      <c r="F16" s="201">
        <f t="shared" si="7"/>
        <v>0.16669999999999999</v>
      </c>
      <c r="G16" s="201">
        <f t="shared" ref="G16:G17" si="8">SUM(C16:F16)</f>
        <v>0.99999999999999989</v>
      </c>
      <c r="I16" s="205" t="s">
        <v>267</v>
      </c>
      <c r="J16" s="205"/>
      <c r="U16" s="210"/>
    </row>
    <row r="17" spans="2:21" s="197" customFormat="1" ht="14" x14ac:dyDescent="0.3">
      <c r="B17" s="198">
        <v>1.5</v>
      </c>
      <c r="C17" s="201">
        <f t="shared" si="7"/>
        <v>0.75995999999999997</v>
      </c>
      <c r="D17" s="201">
        <f t="shared" si="7"/>
        <v>4.9950000000000001E-2</v>
      </c>
      <c r="E17" s="201">
        <f t="shared" si="7"/>
        <v>0.44004000000000004</v>
      </c>
      <c r="F17" s="201">
        <f t="shared" si="7"/>
        <v>0.25004999999999994</v>
      </c>
      <c r="G17" s="201">
        <f t="shared" si="8"/>
        <v>1.5</v>
      </c>
      <c r="I17" s="205" t="s">
        <v>268</v>
      </c>
      <c r="U17" s="210"/>
    </row>
    <row r="18" spans="2:21" s="197" customFormat="1" ht="14" x14ac:dyDescent="0.3">
      <c r="B18" s="198" t="s">
        <v>236</v>
      </c>
      <c r="C18" s="339" t="s">
        <v>237</v>
      </c>
      <c r="D18" s="339"/>
      <c r="E18" s="339"/>
      <c r="F18" s="339"/>
      <c r="G18" s="339"/>
    </row>
    <row r="19" spans="2:21" s="197" customFormat="1" ht="14" x14ac:dyDescent="0.3">
      <c r="I19" s="197" t="s">
        <v>266</v>
      </c>
      <c r="J19" s="206">
        <f t="shared" ref="J19:U19" si="9">J14</f>
        <v>8</v>
      </c>
      <c r="K19" s="206">
        <f t="shared" si="9"/>
        <v>1</v>
      </c>
      <c r="L19" s="207">
        <f t="shared" si="9"/>
        <v>0.24128253968253963</v>
      </c>
      <c r="M19" s="207">
        <f t="shared" si="9"/>
        <v>3.334761904761905E-2</v>
      </c>
      <c r="N19" s="207">
        <f t="shared" si="9"/>
        <v>0.55871746031746028</v>
      </c>
      <c r="O19" s="207">
        <f t="shared" si="9"/>
        <v>0.16665238095238097</v>
      </c>
      <c r="P19" s="207">
        <f t="shared" si="9"/>
        <v>1</v>
      </c>
      <c r="Q19" s="212">
        <f t="shared" si="9"/>
        <v>0.24128253968253963</v>
      </c>
      <c r="R19" s="212">
        <f t="shared" si="9"/>
        <v>3.334761904761905E-2</v>
      </c>
      <c r="S19" s="212">
        <f t="shared" si="9"/>
        <v>0.55871746031746028</v>
      </c>
      <c r="T19" s="212">
        <f t="shared" si="9"/>
        <v>0.16665238095238097</v>
      </c>
      <c r="U19" s="212">
        <f t="shared" si="9"/>
        <v>1</v>
      </c>
    </row>
    <row r="20" spans="2:21" s="197" customFormat="1" ht="14" x14ac:dyDescent="0.3">
      <c r="I20" s="197" t="str">
        <f t="shared" ref="I20:U20" si="10">I13</f>
        <v>[7]**</v>
      </c>
      <c r="J20" s="206">
        <f t="shared" si="10"/>
        <v>2.7</v>
      </c>
      <c r="K20" s="206">
        <f t="shared" si="10"/>
        <v>6.3</v>
      </c>
      <c r="L20" s="207">
        <f t="shared" si="10"/>
        <v>1.5200799999999997</v>
      </c>
      <c r="M20" s="207">
        <f t="shared" si="10"/>
        <v>0.21009</v>
      </c>
      <c r="N20" s="207">
        <f t="shared" si="10"/>
        <v>3.5199199999999999</v>
      </c>
      <c r="O20" s="207">
        <f t="shared" si="10"/>
        <v>1.0499100000000001</v>
      </c>
      <c r="P20" s="207">
        <f t="shared" si="10"/>
        <v>6.3</v>
      </c>
      <c r="Q20" s="212">
        <f t="shared" si="10"/>
        <v>0.24128253968253963</v>
      </c>
      <c r="R20" s="212">
        <f t="shared" si="10"/>
        <v>3.334761904761905E-2</v>
      </c>
      <c r="S20" s="212">
        <f t="shared" si="10"/>
        <v>0.55871746031746028</v>
      </c>
      <c r="T20" s="212">
        <f t="shared" si="10"/>
        <v>0.16665238095238097</v>
      </c>
      <c r="U20" s="212">
        <f t="shared" si="10"/>
        <v>1</v>
      </c>
    </row>
    <row r="21" spans="2:21" s="197" customFormat="1" ht="14" x14ac:dyDescent="0.3">
      <c r="I21" s="197" t="str">
        <f t="shared" ref="I21:U21" si="11">I11</f>
        <v>[5]</v>
      </c>
      <c r="J21" s="206">
        <f t="shared" si="11"/>
        <v>1.5</v>
      </c>
      <c r="K21" s="206">
        <f t="shared" si="11"/>
        <v>7.5</v>
      </c>
      <c r="L21" s="207">
        <f t="shared" si="11"/>
        <v>2.0400399999999999</v>
      </c>
      <c r="M21" s="207">
        <f t="shared" si="11"/>
        <v>0.25004999999999999</v>
      </c>
      <c r="N21" s="207">
        <f t="shared" si="11"/>
        <v>3.9599600000000001</v>
      </c>
      <c r="O21" s="207">
        <f t="shared" si="11"/>
        <v>1.2499500000000001</v>
      </c>
      <c r="P21" s="207">
        <f t="shared" si="11"/>
        <v>7.5</v>
      </c>
      <c r="Q21" s="212">
        <f t="shared" si="11"/>
        <v>0.27200533333333332</v>
      </c>
      <c r="R21" s="212">
        <f t="shared" si="11"/>
        <v>3.3340000000000002E-2</v>
      </c>
      <c r="S21" s="212">
        <f t="shared" si="11"/>
        <v>0.52799466666666672</v>
      </c>
      <c r="T21" s="212">
        <f t="shared" si="11"/>
        <v>0.16666</v>
      </c>
      <c r="U21" s="213">
        <f t="shared" si="11"/>
        <v>1</v>
      </c>
    </row>
    <row r="22" spans="2:21" s="197" customFormat="1" ht="17.5" customHeight="1" x14ac:dyDescent="0.3">
      <c r="I22" s="197" t="str">
        <f t="shared" ref="I22:U22" si="12">I10</f>
        <v>[4]</v>
      </c>
      <c r="J22" s="206">
        <f t="shared" si="12"/>
        <v>1</v>
      </c>
      <c r="K22" s="206">
        <f t="shared" si="12"/>
        <v>8</v>
      </c>
      <c r="L22" s="207">
        <f t="shared" si="12"/>
        <v>2.2566899999999999</v>
      </c>
      <c r="M22" s="207">
        <f t="shared" si="12"/>
        <v>0.26669999999999999</v>
      </c>
      <c r="N22" s="207">
        <f t="shared" si="12"/>
        <v>4.1433100000000005</v>
      </c>
      <c r="O22" s="207">
        <f t="shared" si="12"/>
        <v>1.3332999999999999</v>
      </c>
      <c r="P22" s="207">
        <f t="shared" si="12"/>
        <v>8</v>
      </c>
      <c r="Q22" s="212">
        <f t="shared" si="12"/>
        <v>0.28208624999999998</v>
      </c>
      <c r="R22" s="212">
        <f t="shared" si="12"/>
        <v>3.3337499999999999E-2</v>
      </c>
      <c r="S22" s="212">
        <f t="shared" si="12"/>
        <v>0.51791375000000006</v>
      </c>
      <c r="T22" s="212">
        <f t="shared" si="12"/>
        <v>0.16666249999999999</v>
      </c>
      <c r="U22" s="213">
        <f t="shared" si="12"/>
        <v>1</v>
      </c>
    </row>
    <row r="23" spans="2:21" s="197" customFormat="1" ht="27.5" customHeight="1" x14ac:dyDescent="0.3">
      <c r="I23" s="197" t="str">
        <f t="shared" ref="I23:U23" si="13">I9</f>
        <v>[3]</v>
      </c>
      <c r="J23" s="206">
        <f t="shared" si="13"/>
        <v>0.4</v>
      </c>
      <c r="K23" s="206">
        <f t="shared" si="13"/>
        <v>8.6</v>
      </c>
      <c r="L23" s="207">
        <f t="shared" si="13"/>
        <v>2.51667</v>
      </c>
      <c r="M23" s="207">
        <f t="shared" si="13"/>
        <v>0.28667999999999999</v>
      </c>
      <c r="N23" s="207">
        <f t="shared" si="13"/>
        <v>4.3633300000000004</v>
      </c>
      <c r="O23" s="207">
        <f t="shared" si="13"/>
        <v>1.4333199999999999</v>
      </c>
      <c r="P23" s="207">
        <f t="shared" si="13"/>
        <v>8.6</v>
      </c>
      <c r="Q23" s="212">
        <f t="shared" si="13"/>
        <v>0.29263604651162789</v>
      </c>
      <c r="R23" s="212">
        <f t="shared" si="13"/>
        <v>3.3334883720930235E-2</v>
      </c>
      <c r="S23" s="212">
        <f t="shared" si="13"/>
        <v>0.50736395348837215</v>
      </c>
      <c r="T23" s="212">
        <f t="shared" si="13"/>
        <v>0.16666511627906977</v>
      </c>
      <c r="U23" s="213">
        <f t="shared" si="13"/>
        <v>1</v>
      </c>
    </row>
    <row r="24" spans="2:21" s="197" customFormat="1" ht="14" x14ac:dyDescent="0.3">
      <c r="I24" s="197" t="str">
        <f t="shared" ref="I24:U24" si="14">I8</f>
        <v>[2]</v>
      </c>
      <c r="J24" s="206">
        <f t="shared" si="14"/>
        <v>0.3</v>
      </c>
      <c r="K24" s="206">
        <f t="shared" si="14"/>
        <v>8.6999999999999993</v>
      </c>
      <c r="L24" s="207">
        <f t="shared" si="14"/>
        <v>2.5599999999999996</v>
      </c>
      <c r="M24" s="207">
        <f t="shared" si="14"/>
        <v>0.29000999999999999</v>
      </c>
      <c r="N24" s="207">
        <f t="shared" si="14"/>
        <v>4.4000000000000004</v>
      </c>
      <c r="O24" s="207">
        <f t="shared" si="14"/>
        <v>1.4499900000000001</v>
      </c>
      <c r="P24" s="207">
        <f t="shared" si="14"/>
        <v>8.6999999999999993</v>
      </c>
      <c r="Q24" s="212">
        <f t="shared" si="14"/>
        <v>0.29425287356321839</v>
      </c>
      <c r="R24" s="212">
        <f t="shared" si="14"/>
        <v>3.3334482758620693E-2</v>
      </c>
      <c r="S24" s="212">
        <f t="shared" si="14"/>
        <v>0.50574712643678166</v>
      </c>
      <c r="T24" s="212">
        <f t="shared" si="14"/>
        <v>0.16666551724137935</v>
      </c>
      <c r="U24" s="213">
        <f t="shared" si="14"/>
        <v>1</v>
      </c>
    </row>
    <row r="25" spans="2:21" s="197" customFormat="1" ht="14" x14ac:dyDescent="0.3">
      <c r="I25" s="197" t="str">
        <f t="shared" ref="I25:U25" si="15">I7</f>
        <v>[1]*</v>
      </c>
      <c r="J25" s="206">
        <f t="shared" si="15"/>
        <v>0</v>
      </c>
      <c r="K25" s="206">
        <f t="shared" si="15"/>
        <v>9</v>
      </c>
      <c r="L25" s="207">
        <f t="shared" si="15"/>
        <v>2.8</v>
      </c>
      <c r="M25" s="207">
        <f t="shared" si="15"/>
        <v>0.3</v>
      </c>
      <c r="N25" s="207">
        <f t="shared" si="15"/>
        <v>4.4000000000000004</v>
      </c>
      <c r="O25" s="207">
        <f t="shared" si="15"/>
        <v>1.5</v>
      </c>
      <c r="P25" s="207">
        <f t="shared" si="15"/>
        <v>9</v>
      </c>
      <c r="Q25" s="212">
        <f t="shared" si="15"/>
        <v>0.31111111111111112</v>
      </c>
      <c r="R25" s="212">
        <f t="shared" si="15"/>
        <v>3.3333333333333333E-2</v>
      </c>
      <c r="S25" s="212">
        <f t="shared" si="15"/>
        <v>0.48888888888888893</v>
      </c>
      <c r="T25" s="212">
        <f t="shared" si="15"/>
        <v>0.16666666666666666</v>
      </c>
      <c r="U25" s="213">
        <f t="shared" si="15"/>
        <v>1</v>
      </c>
    </row>
    <row r="26" spans="2:21" s="197" customFormat="1" ht="14" x14ac:dyDescent="0.3">
      <c r="U26" s="210"/>
    </row>
    <row r="27" spans="2:21" s="197" customFormat="1" ht="14" x14ac:dyDescent="0.3">
      <c r="U27" s="210"/>
    </row>
    <row r="28" spans="2:21" s="197" customFormat="1" ht="14" x14ac:dyDescent="0.3">
      <c r="U28" s="210"/>
    </row>
    <row r="29" spans="2:21" s="197" customFormat="1" ht="14" x14ac:dyDescent="0.3">
      <c r="U29" s="210"/>
    </row>
    <row r="30" spans="2:21" s="197" customFormat="1" ht="14" x14ac:dyDescent="0.3">
      <c r="U30" s="210"/>
    </row>
    <row r="31" spans="2:21" s="197" customFormat="1" ht="14" x14ac:dyDescent="0.3">
      <c r="U31" s="210"/>
    </row>
    <row r="32" spans="2:21" s="197" customFormat="1" ht="14" x14ac:dyDescent="0.3">
      <c r="U32" s="21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A18" sqref="A18:C23"/>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8" x14ac:dyDescent="0.35">
      <c r="A1" s="1" t="s">
        <v>321</v>
      </c>
    </row>
    <row r="3" spans="1:8" x14ac:dyDescent="0.35">
      <c r="A3" s="1" t="s">
        <v>327</v>
      </c>
    </row>
    <row r="4" spans="1:8" ht="29" customHeight="1" x14ac:dyDescent="0.35">
      <c r="A4" s="236" t="s">
        <v>322</v>
      </c>
      <c r="B4" s="236" t="s">
        <v>323</v>
      </c>
      <c r="C4" s="237" t="s">
        <v>324</v>
      </c>
      <c r="D4" s="237" t="s">
        <v>325</v>
      </c>
      <c r="F4" s="237" t="s">
        <v>323</v>
      </c>
      <c r="G4" s="237" t="s">
        <v>332</v>
      </c>
      <c r="H4" s="237" t="s">
        <v>333</v>
      </c>
    </row>
    <row r="5" spans="1:8" x14ac:dyDescent="0.35">
      <c r="A5" s="23" t="s">
        <v>326</v>
      </c>
      <c r="B5" s="23" t="s">
        <v>205</v>
      </c>
      <c r="C5" s="24">
        <v>12534</v>
      </c>
      <c r="D5" s="24"/>
      <c r="F5" s="22" t="s">
        <v>205</v>
      </c>
      <c r="G5" s="31">
        <f>SUMIFS($C$5:$C$13,$B$5:$B$13,F5)</f>
        <v>12534</v>
      </c>
      <c r="H5" s="240">
        <f>G5/G$8</f>
        <v>1.3163339249519528E-2</v>
      </c>
    </row>
    <row r="6" spans="1:8" x14ac:dyDescent="0.35">
      <c r="A6" s="23" t="s">
        <v>326</v>
      </c>
      <c r="B6" s="23" t="s">
        <v>204</v>
      </c>
      <c r="C6" s="24">
        <v>103535</v>
      </c>
      <c r="D6" s="24"/>
      <c r="F6" s="22" t="s">
        <v>204</v>
      </c>
      <c r="G6" s="31">
        <f t="shared" ref="G6:G7" si="0">SUMIFS($C$5:$C$13,$B$5:$B$13,F6)</f>
        <v>783134</v>
      </c>
      <c r="H6" s="240">
        <f t="shared" ref="H6:H8" si="1">G6/G$8</f>
        <v>0.82245560234827086</v>
      </c>
    </row>
    <row r="7" spans="1:8" x14ac:dyDescent="0.35">
      <c r="A7" s="23" t="s">
        <v>326</v>
      </c>
      <c r="B7" s="23" t="s">
        <v>203</v>
      </c>
      <c r="C7" s="24">
        <v>16720</v>
      </c>
      <c r="D7" s="24"/>
      <c r="F7" s="22" t="s">
        <v>203</v>
      </c>
      <c r="G7" s="31">
        <f t="shared" si="0"/>
        <v>156522</v>
      </c>
      <c r="H7" s="240">
        <f t="shared" si="1"/>
        <v>0.16438105840220965</v>
      </c>
    </row>
    <row r="8" spans="1:8" x14ac:dyDescent="0.35">
      <c r="A8" s="23" t="s">
        <v>328</v>
      </c>
      <c r="B8" s="23" t="s">
        <v>203</v>
      </c>
      <c r="C8" s="24">
        <v>11340</v>
      </c>
      <c r="D8" s="24"/>
      <c r="F8" s="243" t="s">
        <v>25</v>
      </c>
      <c r="G8" s="241">
        <f>SUM(G5:G7)</f>
        <v>952190</v>
      </c>
      <c r="H8" s="242">
        <f t="shared" si="1"/>
        <v>1</v>
      </c>
    </row>
    <row r="9" spans="1:8" x14ac:dyDescent="0.35">
      <c r="A9" s="23" t="s">
        <v>329</v>
      </c>
      <c r="B9" s="23" t="s">
        <v>204</v>
      </c>
      <c r="C9" s="24">
        <v>662402</v>
      </c>
      <c r="D9" s="24"/>
    </row>
    <row r="10" spans="1:8" x14ac:dyDescent="0.35">
      <c r="A10" s="23" t="s">
        <v>329</v>
      </c>
      <c r="B10" s="23" t="s">
        <v>203</v>
      </c>
      <c r="C10" s="24">
        <v>56846</v>
      </c>
      <c r="D10" s="24"/>
    </row>
    <row r="11" spans="1:8" x14ac:dyDescent="0.35">
      <c r="A11" s="23" t="s">
        <v>330</v>
      </c>
      <c r="B11" s="23" t="s">
        <v>204</v>
      </c>
      <c r="C11" s="24">
        <v>6350</v>
      </c>
      <c r="D11" s="24"/>
    </row>
    <row r="12" spans="1:8" x14ac:dyDescent="0.35">
      <c r="A12" s="23" t="s">
        <v>330</v>
      </c>
      <c r="B12" s="23" t="s">
        <v>203</v>
      </c>
      <c r="C12" s="24">
        <v>71616</v>
      </c>
      <c r="D12" s="24"/>
    </row>
    <row r="13" spans="1:8" x14ac:dyDescent="0.35">
      <c r="A13" s="23" t="s">
        <v>331</v>
      </c>
      <c r="B13" s="23" t="s">
        <v>204</v>
      </c>
      <c r="C13" s="24">
        <v>10847</v>
      </c>
      <c r="D13" s="24">
        <v>22928</v>
      </c>
    </row>
    <row r="14" spans="1:8" s="1" customFormat="1" x14ac:dyDescent="0.35">
      <c r="A14" s="238" t="s">
        <v>25</v>
      </c>
      <c r="B14" s="238"/>
      <c r="C14" s="239">
        <f>SUM(C5:C13)</f>
        <v>952190</v>
      </c>
      <c r="D14" s="239">
        <f>SUM(D5:D13)</f>
        <v>22928</v>
      </c>
    </row>
    <row r="17" spans="1:3" x14ac:dyDescent="0.35">
      <c r="A17" s="1" t="s">
        <v>334</v>
      </c>
    </row>
    <row r="18" spans="1:3" x14ac:dyDescent="0.35">
      <c r="A18" s="236" t="s">
        <v>335</v>
      </c>
      <c r="B18" s="244" t="s">
        <v>336</v>
      </c>
      <c r="C18" s="244" t="s">
        <v>337</v>
      </c>
    </row>
    <row r="19" spans="1:3" x14ac:dyDescent="0.35">
      <c r="A19" s="23" t="s">
        <v>338</v>
      </c>
      <c r="B19" s="24">
        <v>769208</v>
      </c>
      <c r="C19" s="24">
        <v>441381</v>
      </c>
    </row>
    <row r="20" spans="1:3" x14ac:dyDescent="0.35">
      <c r="A20" s="23" t="s">
        <v>339</v>
      </c>
      <c r="B20" s="24">
        <v>15340</v>
      </c>
      <c r="C20" s="24">
        <v>9017</v>
      </c>
    </row>
    <row r="21" spans="1:3" x14ac:dyDescent="0.35">
      <c r="A21" s="23" t="s">
        <v>340</v>
      </c>
      <c r="B21" s="24">
        <v>2844</v>
      </c>
      <c r="C21" s="24">
        <v>1698</v>
      </c>
    </row>
    <row r="22" spans="1:3" x14ac:dyDescent="0.35">
      <c r="A22" s="23" t="s">
        <v>341</v>
      </c>
      <c r="B22" s="24">
        <v>13000</v>
      </c>
      <c r="C22" s="24">
        <v>13000</v>
      </c>
    </row>
    <row r="23" spans="1:3" x14ac:dyDescent="0.35">
      <c r="A23" s="238" t="s">
        <v>25</v>
      </c>
      <c r="B23" s="239">
        <f>SUM(B19:B22)</f>
        <v>800392</v>
      </c>
      <c r="C23" s="23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353" t="e">
        <f>#REF!</f>
        <v>#REF!</v>
      </c>
      <c r="B1" s="353"/>
      <c r="C1" s="353"/>
      <c r="D1" s="353"/>
      <c r="E1" s="353"/>
      <c r="F1" s="353"/>
      <c r="G1" s="353"/>
    </row>
    <row r="2" spans="1:14" x14ac:dyDescent="0.35">
      <c r="A2" s="1" t="s">
        <v>182</v>
      </c>
      <c r="B2" s="1"/>
    </row>
    <row r="3" spans="1:14" ht="32.25" customHeight="1" x14ac:dyDescent="0.35">
      <c r="A3" s="327" t="s">
        <v>178</v>
      </c>
      <c r="B3" s="327"/>
      <c r="C3" s="327"/>
      <c r="D3" s="327"/>
      <c r="E3" s="327"/>
      <c r="F3" s="327"/>
      <c r="G3" s="327"/>
      <c r="H3" s="84"/>
      <c r="I3" s="84"/>
      <c r="J3" s="84"/>
      <c r="K3" s="84"/>
      <c r="N3" s="137" t="s">
        <v>157</v>
      </c>
    </row>
    <row r="4" spans="1:14" x14ac:dyDescent="0.35">
      <c r="A4" s="127" t="s">
        <v>110</v>
      </c>
      <c r="B4" s="127" t="s">
        <v>19</v>
      </c>
      <c r="C4" s="328" t="s">
        <v>20</v>
      </c>
      <c r="D4" s="329"/>
      <c r="E4" s="329"/>
      <c r="F4" s="329"/>
      <c r="G4" s="330"/>
      <c r="N4" s="139" t="s">
        <v>129</v>
      </c>
    </row>
    <row r="5" spans="1:14" x14ac:dyDescent="0.35">
      <c r="A5" s="90" t="s">
        <v>16</v>
      </c>
      <c r="B5" s="114"/>
      <c r="C5" s="331"/>
      <c r="D5" s="326"/>
      <c r="E5" s="326"/>
      <c r="F5" s="326"/>
      <c r="G5" s="326"/>
      <c r="N5" s="142"/>
    </row>
    <row r="6" spans="1:14" x14ac:dyDescent="0.35">
      <c r="A6" s="90" t="s">
        <v>17</v>
      </c>
      <c r="B6" s="114"/>
      <c r="C6" s="331"/>
      <c r="D6" s="326"/>
      <c r="E6" s="326"/>
      <c r="F6" s="326"/>
      <c r="G6" s="326"/>
      <c r="N6" s="142"/>
    </row>
    <row r="7" spans="1:14" x14ac:dyDescent="0.35">
      <c r="A7" s="90" t="s">
        <v>18</v>
      </c>
      <c r="B7" s="114"/>
      <c r="C7" s="331"/>
      <c r="D7" s="326"/>
      <c r="E7" s="326"/>
      <c r="F7" s="326"/>
      <c r="G7" s="326"/>
      <c r="N7" s="142"/>
    </row>
    <row r="8" spans="1:14" x14ac:dyDescent="0.35">
      <c r="A8" s="114" t="s">
        <v>39</v>
      </c>
      <c r="B8" s="90"/>
      <c r="C8" s="326"/>
      <c r="D8" s="326"/>
      <c r="E8" s="326"/>
      <c r="F8" s="326"/>
      <c r="G8" s="326"/>
      <c r="N8" s="142"/>
    </row>
    <row r="9" spans="1:14" x14ac:dyDescent="0.35">
      <c r="A9" s="114" t="s">
        <v>163</v>
      </c>
      <c r="B9" s="90"/>
      <c r="C9" s="332"/>
      <c r="D9" s="332"/>
      <c r="E9" s="332"/>
      <c r="F9" s="332"/>
      <c r="G9" s="332"/>
      <c r="N9" s="142"/>
    </row>
    <row r="10" spans="1:14" x14ac:dyDescent="0.35">
      <c r="A10" s="115" t="s">
        <v>41</v>
      </c>
      <c r="B10" s="115"/>
      <c r="C10" s="354"/>
      <c r="D10" s="354"/>
      <c r="E10" s="354"/>
      <c r="F10" s="354"/>
      <c r="G10" s="354"/>
      <c r="N10" s="142"/>
    </row>
    <row r="11" spans="1:14" x14ac:dyDescent="0.35">
      <c r="A11" s="13"/>
      <c r="B11" s="2"/>
      <c r="C11"/>
      <c r="N11" s="142"/>
    </row>
    <row r="12" spans="1:14" x14ac:dyDescent="0.35">
      <c r="A12" s="15" t="s">
        <v>111</v>
      </c>
      <c r="B12" s="333" t="s">
        <v>113</v>
      </c>
      <c r="C12" s="334"/>
      <c r="D12" s="335"/>
      <c r="N12" s="141" t="s">
        <v>130</v>
      </c>
    </row>
    <row r="13" spans="1:14" x14ac:dyDescent="0.35">
      <c r="B13" s="336" t="s">
        <v>114</v>
      </c>
      <c r="C13" s="337"/>
      <c r="D13" s="338"/>
      <c r="N13" s="142"/>
    </row>
    <row r="14" spans="1:14" x14ac:dyDescent="0.35">
      <c r="B14" s="320" t="s">
        <v>115</v>
      </c>
      <c r="C14" s="321"/>
      <c r="D14" s="322"/>
      <c r="N14" s="142"/>
    </row>
    <row r="15" spans="1:14" x14ac:dyDescent="0.35">
      <c r="B15" s="323" t="s">
        <v>21</v>
      </c>
      <c r="C15" s="324"/>
      <c r="D15" s="325"/>
      <c r="N15" s="142"/>
    </row>
    <row r="16" spans="1:14" x14ac:dyDescent="0.35">
      <c r="N16" s="142"/>
    </row>
    <row r="17" spans="1:14" x14ac:dyDescent="0.35">
      <c r="A17" s="1" t="s">
        <v>112</v>
      </c>
      <c r="B17" s="1" t="s">
        <v>27</v>
      </c>
      <c r="C17" s="11" t="s">
        <v>28</v>
      </c>
      <c r="N17" s="141" t="s">
        <v>131</v>
      </c>
    </row>
    <row r="18" spans="1:14" x14ac:dyDescent="0.35">
      <c r="A18" t="s">
        <v>26</v>
      </c>
      <c r="B18" s="110">
        <v>5.73</v>
      </c>
      <c r="C18" s="110">
        <v>6</v>
      </c>
      <c r="D18" s="16"/>
      <c r="N18" s="141" t="s">
        <v>133</v>
      </c>
    </row>
    <row r="19" spans="1:14" x14ac:dyDescent="0.35">
      <c r="A19" t="s">
        <v>128</v>
      </c>
      <c r="B19" s="110">
        <v>7.2</v>
      </c>
      <c r="C19" s="110">
        <v>9</v>
      </c>
      <c r="D19" s="129" t="s">
        <v>118</v>
      </c>
      <c r="F19" s="129"/>
      <c r="N19" s="141" t="s">
        <v>132</v>
      </c>
    </row>
    <row r="20" spans="1:14" x14ac:dyDescent="0.35">
      <c r="A20" t="s">
        <v>51</v>
      </c>
      <c r="B20" s="159">
        <v>3525</v>
      </c>
      <c r="C20" s="159">
        <v>1020</v>
      </c>
      <c r="D20" s="10"/>
      <c r="N20" s="141" t="s">
        <v>134</v>
      </c>
    </row>
    <row r="21" spans="1:14" x14ac:dyDescent="0.35">
      <c r="A21" t="s">
        <v>48</v>
      </c>
      <c r="B21" s="110" t="e">
        <f>VLOOKUP(B20,#REF!,2)/1000000</f>
        <v>#REF!</v>
      </c>
      <c r="C21" s="110">
        <f>VLOOKUP(C20,'Mead-Elevation-Area'!$A$5:$B$689,2)/1000000</f>
        <v>5.664593</v>
      </c>
      <c r="D21" s="10"/>
      <c r="E21" s="28"/>
      <c r="N21" s="141" t="s">
        <v>136</v>
      </c>
    </row>
    <row r="22" spans="1:14" x14ac:dyDescent="0.35">
      <c r="A22" t="s">
        <v>123</v>
      </c>
      <c r="B22" s="110">
        <f>78.1</f>
        <v>78.099999999999994</v>
      </c>
      <c r="C22"/>
      <c r="D22" s="111"/>
      <c r="E22" s="28"/>
      <c r="N22" s="141" t="s">
        <v>135</v>
      </c>
    </row>
    <row r="23" spans="1:14" x14ac:dyDescent="0.35">
      <c r="A23" t="s">
        <v>124</v>
      </c>
      <c r="B23" s="130">
        <v>0.17</v>
      </c>
      <c r="C23"/>
      <c r="D23" s="111"/>
      <c r="E23" s="28"/>
      <c r="N23" s="141" t="s">
        <v>137</v>
      </c>
    </row>
    <row r="24" spans="1:14" x14ac:dyDescent="0.35">
      <c r="A24" t="s">
        <v>122</v>
      </c>
      <c r="B24" s="110">
        <f>10*(7.5+1.5/2)-B22-B23</f>
        <v>4.2300000000000058</v>
      </c>
      <c r="C24"/>
      <c r="D24" s="111"/>
      <c r="E24" s="28"/>
      <c r="N24" s="141" t="s">
        <v>138</v>
      </c>
    </row>
    <row r="25" spans="1:14" x14ac:dyDescent="0.35">
      <c r="A25" t="s">
        <v>158</v>
      </c>
      <c r="B25" s="110">
        <f>2.3 - IF(A9&lt;&gt;"",1.06,0)</f>
        <v>1.2399999999999998</v>
      </c>
      <c r="C25"/>
      <c r="D25" s="111"/>
      <c r="E25" s="28"/>
      <c r="N25" s="141" t="s">
        <v>161</v>
      </c>
    </row>
    <row r="26" spans="1:14" x14ac:dyDescent="0.35">
      <c r="B26" s="28"/>
      <c r="N26" s="142"/>
    </row>
    <row r="27" spans="1:14" s="1" customFormat="1" hidden="1" x14ac:dyDescent="0.35">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35">
      <c r="A28" s="125" t="s">
        <v>105</v>
      </c>
      <c r="B28" s="1"/>
      <c r="C28" s="97">
        <v>0</v>
      </c>
      <c r="D28" s="97">
        <v>0</v>
      </c>
      <c r="E28" s="97">
        <v>0.2</v>
      </c>
      <c r="F28" s="97">
        <v>2.1</v>
      </c>
      <c r="G28" s="97">
        <v>3.5</v>
      </c>
      <c r="H28" s="97">
        <v>6</v>
      </c>
      <c r="I28" s="97">
        <v>8</v>
      </c>
      <c r="J28" s="97">
        <v>11.26</v>
      </c>
      <c r="K28" s="97">
        <v>12.5</v>
      </c>
      <c r="L28" s="97">
        <v>16</v>
      </c>
      <c r="N28" s="139" t="s">
        <v>139</v>
      </c>
    </row>
    <row r="29" spans="1:14" x14ac:dyDescent="0.35">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140</v>
      </c>
    </row>
    <row r="30" spans="1:14" x14ac:dyDescent="0.35">
      <c r="A30" s="1" t="s">
        <v>98</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141</v>
      </c>
    </row>
    <row r="31" spans="1:14" x14ac:dyDescent="0.35">
      <c r="A31" s="1" t="s">
        <v>87</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142</v>
      </c>
    </row>
    <row r="32" spans="1:14" x14ac:dyDescent="0.35">
      <c r="A32" s="1" t="s">
        <v>180</v>
      </c>
      <c r="C32"/>
      <c r="N32" s="141" t="s">
        <v>155</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181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106</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144</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107</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145</v>
      </c>
    </row>
    <row r="39" spans="1:16" x14ac:dyDescent="0.35">
      <c r="A39" s="125" t="s">
        <v>125</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146</v>
      </c>
    </row>
    <row r="40" spans="1:16" x14ac:dyDescent="0.35">
      <c r="A40" t="str">
        <f t="shared" ref="A40:A45" si="6">IF(A5="","","    To "&amp;A5)</f>
        <v xml:space="preserve">    To Upper Basin</v>
      </c>
      <c r="B40" s="94" t="s">
        <v>159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35">
      <c r="A42" t="str">
        <f t="shared" si="6"/>
        <v xml:space="preserve">    To Mexico</v>
      </c>
      <c r="B42" s="95" t="s">
        <v>198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35">
      <c r="A45" t="str">
        <f t="shared" si="6"/>
        <v xml:space="preserve">    To Shared, Reserve</v>
      </c>
      <c r="B45" s="95" t="s">
        <v>101</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35">
      <c r="A46" t="str">
        <f>IF(A31="","","    To "&amp;A31)</f>
        <v xml:space="preserve">    To Havasu / Parker evaporation and ET</v>
      </c>
      <c r="B46" s="151" t="s">
        <v>160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35">
      <c r="B47" s="19"/>
      <c r="C47" s="18"/>
      <c r="D47" s="18"/>
      <c r="E47" s="18"/>
      <c r="F47" s="116"/>
      <c r="G47" s="28"/>
      <c r="N47" s="142"/>
    </row>
    <row r="48" spans="1:16" x14ac:dyDescent="0.35">
      <c r="B48" t="s">
        <v>192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193</v>
      </c>
      <c r="B53">
        <v>8.1999999999999993</v>
      </c>
    </row>
    <row r="54" spans="1:8" x14ac:dyDescent="0.35">
      <c r="A54" t="s">
        <v>194</v>
      </c>
      <c r="B54">
        <v>1.2</v>
      </c>
    </row>
    <row r="55" spans="1:8" x14ac:dyDescent="0.35">
      <c r="A55" t="s">
        <v>195</v>
      </c>
      <c r="B55">
        <v>0.95</v>
      </c>
    </row>
    <row r="56" spans="1:8" x14ac:dyDescent="0.35">
      <c r="A56" t="s">
        <v>196</v>
      </c>
      <c r="B56">
        <f>1.5/2</f>
        <v>0.75</v>
      </c>
    </row>
    <row r="57" spans="1:8" x14ac:dyDescent="0.35">
      <c r="A57" t="s">
        <v>197</v>
      </c>
      <c r="B57">
        <f>B53-SUM(B54:B56)</f>
        <v>5.2999999999999989</v>
      </c>
    </row>
    <row r="58" spans="1:8" x14ac:dyDescent="0.35">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59</v>
      </c>
    </row>
    <row r="3" spans="1:16" s="1" customFormat="1" x14ac:dyDescent="0.35">
      <c r="D3" s="355" t="s">
        <v>60</v>
      </c>
      <c r="E3" s="355"/>
      <c r="F3" s="355" t="s">
        <v>61</v>
      </c>
      <c r="G3" s="355"/>
      <c r="H3" s="355"/>
      <c r="I3" s="355" t="s">
        <v>62</v>
      </c>
      <c r="J3" s="355"/>
      <c r="K3" s="355"/>
      <c r="L3" s="134"/>
      <c r="M3" s="355" t="s">
        <v>18</v>
      </c>
      <c r="N3" s="355"/>
      <c r="O3" s="355"/>
    </row>
    <row r="4" spans="1:16" s="47" customFormat="1" ht="42.75" customHeight="1" x14ac:dyDescent="0.35">
      <c r="A4" s="46" t="s">
        <v>33</v>
      </c>
      <c r="B4" s="46" t="s">
        <v>34</v>
      </c>
      <c r="C4" s="46" t="s">
        <v>71</v>
      </c>
      <c r="D4" s="46" t="s">
        <v>63</v>
      </c>
      <c r="E4" s="46" t="s">
        <v>64</v>
      </c>
      <c r="F4" s="46" t="s">
        <v>63</v>
      </c>
      <c r="G4" s="46" t="s">
        <v>64</v>
      </c>
      <c r="H4" s="46" t="s">
        <v>65</v>
      </c>
      <c r="I4" s="46" t="s">
        <v>63</v>
      </c>
      <c r="J4" s="46" t="s">
        <v>64</v>
      </c>
      <c r="K4" s="46" t="s">
        <v>65</v>
      </c>
      <c r="L4" s="46" t="s">
        <v>69</v>
      </c>
      <c r="M4" s="46" t="s">
        <v>67</v>
      </c>
      <c r="N4" s="46" t="s">
        <v>68</v>
      </c>
      <c r="O4" s="46" t="s">
        <v>66</v>
      </c>
      <c r="P4" s="46" t="s">
        <v>35</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70</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9" customWidth="1"/>
    <col min="2" max="2" width="12.6328125" style="59" customWidth="1"/>
    <col min="3" max="3" width="9.453125" style="59" customWidth="1"/>
    <col min="4" max="4" width="46.36328125" style="59" customWidth="1"/>
    <col min="5" max="5" width="14.453125" style="85" customWidth="1"/>
    <col min="6" max="6" width="10.453125" style="2" customWidth="1"/>
    <col min="7" max="7" width="10.453125" style="18" customWidth="1"/>
  </cols>
  <sheetData>
    <row r="1" spans="1:9" x14ac:dyDescent="0.35">
      <c r="A1" s="58" t="s">
        <v>72</v>
      </c>
    </row>
    <row r="2" spans="1:9" x14ac:dyDescent="0.35">
      <c r="A2" s="59" t="s">
        <v>73</v>
      </c>
    </row>
    <row r="3" spans="1:9" x14ac:dyDescent="0.35">
      <c r="I3" s="1" t="s">
        <v>126</v>
      </c>
    </row>
    <row r="4" spans="1:9" s="53" customFormat="1" ht="43.5" x14ac:dyDescent="0.35">
      <c r="A4" s="36" t="s">
        <v>74</v>
      </c>
      <c r="B4" s="36" t="s">
        <v>79</v>
      </c>
      <c r="C4" s="36" t="s">
        <v>80</v>
      </c>
      <c r="D4" s="37" t="s">
        <v>75</v>
      </c>
      <c r="E4" s="36" t="s">
        <v>90</v>
      </c>
      <c r="F4" s="36" t="s">
        <v>91</v>
      </c>
      <c r="G4" s="120" t="s">
        <v>102</v>
      </c>
    </row>
    <row r="5" spans="1:9" s="53" customFormat="1" ht="58" x14ac:dyDescent="0.35">
      <c r="A5" s="64" t="e">
        <f>#REF!</f>
        <v>#REF!</v>
      </c>
      <c r="B5" s="80" t="s">
        <v>86</v>
      </c>
      <c r="C5" s="65" t="s">
        <v>82</v>
      </c>
      <c r="D5" s="66" t="str">
        <f>D7</f>
        <v>Highest uncertainty for native fish. Also represent a substantial risk to the tailwater trout fishery, as sustained temperatures of 19oC or higher are unsuitable for trout.</v>
      </c>
      <c r="E5" s="86" t="s">
        <v>93</v>
      </c>
      <c r="F5" s="86" t="s">
        <v>92</v>
      </c>
      <c r="G5" s="121" t="e">
        <f>VLOOKUP(A5,#REF!,2)/1000000</f>
        <v>#REF!</v>
      </c>
    </row>
    <row r="6" spans="1:9" s="53" customFormat="1" ht="58" x14ac:dyDescent="0.35">
      <c r="A6" s="61">
        <v>3425</v>
      </c>
      <c r="B6" s="62" t="str">
        <f>B7</f>
        <v>&gt; 18</v>
      </c>
      <c r="C6" s="62" t="s">
        <v>82</v>
      </c>
      <c r="D6" s="63" t="str">
        <f>D7</f>
        <v>Highest uncertainty for native fish. Also represent a substantial risk to the tailwater trout fishery, as sustained temperatures of 19oC or higher are unsuitable for trout.</v>
      </c>
      <c r="E6" s="86" t="str">
        <f>E5</f>
        <v>Highly uncertain</v>
      </c>
      <c r="F6" s="86" t="s">
        <v>92</v>
      </c>
      <c r="G6" s="121" t="e">
        <f>VLOOKUP(A6,#REF!,2)/1000000</f>
        <v>#REF!</v>
      </c>
    </row>
    <row r="7" spans="1:9" s="53" customFormat="1" ht="58" x14ac:dyDescent="0.35">
      <c r="A7" s="67">
        <v>3490</v>
      </c>
      <c r="B7" s="68" t="s">
        <v>86</v>
      </c>
      <c r="C7" s="68" t="s">
        <v>81</v>
      </c>
      <c r="D7" s="69" t="s">
        <v>78</v>
      </c>
      <c r="E7" s="62" t="str">
        <f>E6</f>
        <v>Highly uncertain</v>
      </c>
      <c r="F7" s="86" t="s">
        <v>92</v>
      </c>
      <c r="G7" s="121" t="e">
        <f>VLOOKUP(A7,#REF!,2)/1000000</f>
        <v>#REF!</v>
      </c>
    </row>
    <row r="8" spans="1:9" ht="72.5" x14ac:dyDescent="0.35">
      <c r="A8" s="70">
        <v>3525</v>
      </c>
      <c r="B8" s="71" t="s">
        <v>85</v>
      </c>
      <c r="C8" s="71" t="s">
        <v>81</v>
      </c>
      <c r="D8" s="72" t="s">
        <v>77</v>
      </c>
      <c r="E8" s="87" t="s">
        <v>94</v>
      </c>
      <c r="F8" s="87" t="s">
        <v>96</v>
      </c>
      <c r="G8" s="122" t="e">
        <f>VLOOKUP(A8,#REF!,2)/1000000</f>
        <v>#REF!</v>
      </c>
    </row>
    <row r="9" spans="1:9" ht="43.5" x14ac:dyDescent="0.35">
      <c r="A9" s="73">
        <v>3600</v>
      </c>
      <c r="B9" s="74" t="s">
        <v>84</v>
      </c>
      <c r="C9" s="74" t="s">
        <v>81</v>
      </c>
      <c r="D9" s="75" t="s">
        <v>88</v>
      </c>
      <c r="E9" s="88" t="s">
        <v>89</v>
      </c>
      <c r="F9" s="88" t="str">
        <f>F8</f>
        <v>Help grow + incubate</v>
      </c>
      <c r="G9" s="123" t="e">
        <f>VLOOKUP(A9,#REF!,2)/1000000</f>
        <v>#REF!</v>
      </c>
    </row>
    <row r="10" spans="1:9" ht="101.5" x14ac:dyDescent="0.35">
      <c r="A10" s="76">
        <v>3675</v>
      </c>
      <c r="B10" s="77" t="s">
        <v>83</v>
      </c>
      <c r="C10" s="77" t="s">
        <v>81</v>
      </c>
      <c r="D10" s="78" t="s">
        <v>76</v>
      </c>
      <c r="E10" s="89" t="s">
        <v>95</v>
      </c>
      <c r="F10" s="89" t="s">
        <v>97</v>
      </c>
      <c r="G10" s="124" t="e">
        <f>VLOOKUP(A10,#REF!,2)/1000000</f>
        <v>#REF!</v>
      </c>
    </row>
    <row r="11" spans="1:9" ht="101.5" x14ac:dyDescent="0.35">
      <c r="A11" s="76">
        <v>3700</v>
      </c>
      <c r="B11" s="77" t="str">
        <f>B10</f>
        <v>&lt; 12</v>
      </c>
      <c r="C11" s="77" t="s">
        <v>81</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97</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2025-04-29T18:11:37Z</dcterms:modified>
</cp:coreProperties>
</file>