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nabelle/Documents/ColoradoRiverCollaborate/LakeMeadWaterBankDivideInflow/"/>
    </mc:Choice>
  </mc:AlternateContent>
  <xr:revisionPtr revIDLastSave="0" documentId="13_ncr:1_{DE5F33DB-27D6-3C4F-87DE-DF3AE542B776}" xr6:coauthVersionLast="47" xr6:coauthVersionMax="47" xr10:uidLastSave="{00000000-0000-0000-0000-000000000000}"/>
  <bookViews>
    <workbookView xWindow="0" yWindow="500" windowWidth="28800" windowHeight="15800" firstSheet="3" activeTab="3"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LakeMeadInflowScenarios" sheetId="6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25" i="61" l="1"/>
  <c r="AJ25" i="61"/>
  <c r="AL25" i="61"/>
  <c r="AH25" i="61"/>
  <c r="AF25" i="61"/>
  <c r="AC25" i="61" s="1"/>
  <c r="AB25" i="61"/>
  <c r="AD25" i="61"/>
  <c r="AB26" i="61"/>
  <c r="AB27" i="61"/>
  <c r="AB28" i="61"/>
  <c r="AB29" i="61"/>
  <c r="AG29" i="61" s="1"/>
  <c r="AB30" i="61"/>
  <c r="AB31" i="61"/>
  <c r="AG31" i="61" s="1"/>
  <c r="AB32" i="61"/>
  <c r="AG32" i="61" s="1"/>
  <c r="AB33" i="61"/>
  <c r="AG33" i="61" s="1"/>
  <c r="AB34" i="61"/>
  <c r="E42" i="61"/>
  <c r="E49" i="61" s="1"/>
  <c r="O44" i="61" s="1"/>
  <c r="D42" i="61"/>
  <c r="C42" i="61"/>
  <c r="C47" i="61" s="1"/>
  <c r="M42" i="61" s="1"/>
  <c r="S43" i="61" s="1"/>
  <c r="B42" i="61"/>
  <c r="B49" i="61" s="1"/>
  <c r="L44" i="61" s="1"/>
  <c r="E41" i="61"/>
  <c r="C41" i="61"/>
  <c r="B41" i="61"/>
  <c r="AF26" i="61"/>
  <c r="AF27" i="61"/>
  <c r="AF28" i="61"/>
  <c r="AF29" i="61"/>
  <c r="AF30" i="61"/>
  <c r="AF31" i="61"/>
  <c r="AF32" i="61"/>
  <c r="AF33" i="61"/>
  <c r="AF34" i="61"/>
  <c r="AE26" i="61"/>
  <c r="AE27" i="61"/>
  <c r="AE28" i="61"/>
  <c r="AE29" i="61"/>
  <c r="AE30" i="61"/>
  <c r="AE31" i="61"/>
  <c r="AE32" i="61"/>
  <c r="AE33" i="61"/>
  <c r="AE34" i="61"/>
  <c r="AD26" i="61"/>
  <c r="AD27" i="61"/>
  <c r="AD28" i="61"/>
  <c r="AD29" i="61"/>
  <c r="AD30" i="61"/>
  <c r="AD31" i="61"/>
  <c r="AD32" i="61"/>
  <c r="AD33" i="61"/>
  <c r="AD34" i="61"/>
  <c r="AC26" i="61"/>
  <c r="AG26" i="61" s="1"/>
  <c r="AC27" i="61"/>
  <c r="AG27" i="61" s="1"/>
  <c r="AC28" i="61"/>
  <c r="AC29" i="61"/>
  <c r="AC30" i="61"/>
  <c r="AG30" i="61" s="1"/>
  <c r="AC31" i="61"/>
  <c r="AC32" i="61"/>
  <c r="AC33" i="61"/>
  <c r="AC34" i="61"/>
  <c r="AG34" i="61" s="1"/>
  <c r="AG28" i="61"/>
  <c r="T41" i="61"/>
  <c r="U41" i="61"/>
  <c r="V41" i="61"/>
  <c r="S41" i="61"/>
  <c r="R41" i="61"/>
  <c r="F49" i="61"/>
  <c r="P44" i="61" s="1"/>
  <c r="F48" i="61"/>
  <c r="P43" i="61" s="1"/>
  <c r="V44" i="61" s="1"/>
  <c r="D48" i="61"/>
  <c r="N43" i="61" s="1"/>
  <c r="T44" i="61" s="1"/>
  <c r="E47" i="61"/>
  <c r="O42" i="61" s="1"/>
  <c r="U43" i="61" s="1"/>
  <c r="F47" i="61"/>
  <c r="P42" i="61" s="1"/>
  <c r="V43" i="61" s="1"/>
  <c r="F46" i="61"/>
  <c r="P41" i="61" s="1"/>
  <c r="V42" i="61" s="1"/>
  <c r="E48" i="61"/>
  <c r="O43" i="61" s="1"/>
  <c r="U44" i="61" s="1"/>
  <c r="D49" i="61"/>
  <c r="N44" i="61" s="1"/>
  <c r="G40" i="61"/>
  <c r="F15" i="61"/>
  <c r="E15" i="61"/>
  <c r="D15" i="61"/>
  <c r="C15" i="61"/>
  <c r="F14" i="61"/>
  <c r="E14" i="61"/>
  <c r="D14" i="61"/>
  <c r="M10" i="61" s="1"/>
  <c r="C14" i="61"/>
  <c r="F13" i="61"/>
  <c r="E13" i="61"/>
  <c r="N9" i="61" s="1"/>
  <c r="D13" i="61"/>
  <c r="M9" i="61" s="1"/>
  <c r="C13" i="61"/>
  <c r="F12" i="61"/>
  <c r="O8" i="61" s="1"/>
  <c r="E12" i="61"/>
  <c r="N8" i="61" s="1"/>
  <c r="D12" i="61"/>
  <c r="M8" i="61" s="1"/>
  <c r="C12" i="61"/>
  <c r="G11" i="61"/>
  <c r="G9" i="61"/>
  <c r="G8" i="61"/>
  <c r="G7" i="61"/>
  <c r="O11" i="61"/>
  <c r="AE8" i="61"/>
  <c r="AE9" i="61"/>
  <c r="AE10" i="61"/>
  <c r="AE11" i="61"/>
  <c r="AE12" i="61"/>
  <c r="AE13" i="61"/>
  <c r="AE14" i="61"/>
  <c r="AE15" i="61"/>
  <c r="AE16" i="61"/>
  <c r="AE7" i="61"/>
  <c r="AD8" i="61"/>
  <c r="AD9" i="61"/>
  <c r="AD10" i="61"/>
  <c r="AD11" i="61"/>
  <c r="AD12" i="61"/>
  <c r="AD13" i="61"/>
  <c r="AD14" i="61"/>
  <c r="AD15" i="61"/>
  <c r="AD16" i="61"/>
  <c r="AD7" i="61"/>
  <c r="AC8" i="61"/>
  <c r="AC9" i="61"/>
  <c r="AC10" i="61"/>
  <c r="AC11" i="61"/>
  <c r="AC12" i="61"/>
  <c r="AC13" i="61"/>
  <c r="AC14" i="61"/>
  <c r="AC15" i="61"/>
  <c r="AC16" i="61"/>
  <c r="AC7" i="61"/>
  <c r="AB12" i="61"/>
  <c r="AB13" i="61"/>
  <c r="AF13" i="61" s="1"/>
  <c r="AB14" i="61"/>
  <c r="AB15" i="61"/>
  <c r="AB16" i="61"/>
  <c r="AF16" i="61" s="1"/>
  <c r="AB8" i="61"/>
  <c r="AB9" i="61"/>
  <c r="AB10" i="61"/>
  <c r="AF10" i="61" s="1"/>
  <c r="AB11" i="61"/>
  <c r="AB7" i="61"/>
  <c r="AF7" i="61" s="1"/>
  <c r="U34" i="61"/>
  <c r="U26" i="61"/>
  <c r="U27" i="61"/>
  <c r="U28" i="61"/>
  <c r="U29" i="61"/>
  <c r="U30" i="61"/>
  <c r="U31" i="61"/>
  <c r="U32" i="61"/>
  <c r="U33" i="61"/>
  <c r="U25" i="61"/>
  <c r="S26" i="61"/>
  <c r="S27" i="61"/>
  <c r="S28" i="61"/>
  <c r="S29" i="61"/>
  <c r="S30" i="61"/>
  <c r="S31" i="61"/>
  <c r="S32" i="61"/>
  <c r="S33" i="61"/>
  <c r="S34" i="61"/>
  <c r="S25" i="61"/>
  <c r="G45" i="61"/>
  <c r="N11" i="61"/>
  <c r="M11" i="61"/>
  <c r="Q7" i="61"/>
  <c r="J14" i="61"/>
  <c r="J15" i="61"/>
  <c r="J13" i="61"/>
  <c r="I26" i="64"/>
  <c r="I25" i="64"/>
  <c r="I24" i="64"/>
  <c r="I23" i="64"/>
  <c r="I22" i="64"/>
  <c r="I21" i="64"/>
  <c r="I20" i="64"/>
  <c r="I19" i="64"/>
  <c r="I18" i="64"/>
  <c r="I17" i="64"/>
  <c r="I16" i="64"/>
  <c r="I15" i="64"/>
  <c r="I14" i="64"/>
  <c r="I13" i="64"/>
  <c r="I12" i="64"/>
  <c r="I11" i="64"/>
  <c r="I10" i="64"/>
  <c r="I9" i="64"/>
  <c r="I8" i="64"/>
  <c r="I7" i="64"/>
  <c r="I6" i="64"/>
  <c r="I5" i="64"/>
  <c r="C20" i="47"/>
  <c r="A103" i="47"/>
  <c r="A95" i="47"/>
  <c r="A87" i="47"/>
  <c r="A79" i="47"/>
  <c r="A71" i="47"/>
  <c r="A63" i="47"/>
  <c r="C23" i="63"/>
  <c r="B23" i="63"/>
  <c r="G6" i="63"/>
  <c r="G7" i="63"/>
  <c r="G5" i="63"/>
  <c r="D14" i="63"/>
  <c r="C14" i="63"/>
  <c r="F55" i="47"/>
  <c r="G55" i="47"/>
  <c r="E56" i="47"/>
  <c r="G56" i="47"/>
  <c r="A1" i="47"/>
  <c r="A20" i="47"/>
  <c r="K16" i="61"/>
  <c r="H45" i="47"/>
  <c r="I45" i="47"/>
  <c r="J45" i="47"/>
  <c r="K45" i="47"/>
  <c r="L45" i="47"/>
  <c r="D43" i="47"/>
  <c r="E43" i="47"/>
  <c r="F43" i="47"/>
  <c r="G43" i="47"/>
  <c r="A56" i="47"/>
  <c r="D56" i="47" s="1"/>
  <c r="A57" i="47"/>
  <c r="A58" i="47"/>
  <c r="A59" i="47"/>
  <c r="E59" i="47" s="1"/>
  <c r="A55" i="47"/>
  <c r="D55" i="47" s="1"/>
  <c r="D52" i="47"/>
  <c r="E52" i="47"/>
  <c r="F52" i="47"/>
  <c r="G52" i="47"/>
  <c r="K12" i="61"/>
  <c r="J11" i="61"/>
  <c r="K11" i="61" s="1"/>
  <c r="J10" i="61"/>
  <c r="K10" i="61" s="1"/>
  <c r="J9" i="61"/>
  <c r="K9" i="61" s="1"/>
  <c r="J8" i="61"/>
  <c r="K8" i="61" s="1"/>
  <c r="T7" i="61"/>
  <c r="S7" i="61"/>
  <c r="R7" i="61"/>
  <c r="P7" i="61"/>
  <c r="J7" i="61"/>
  <c r="C19" i="47"/>
  <c r="E46" i="61" l="1"/>
  <c r="O41" i="61" s="1"/>
  <c r="U42" i="61" s="1"/>
  <c r="C46" i="61"/>
  <c r="M41" i="61" s="1"/>
  <c r="S42" i="61" s="1"/>
  <c r="C49" i="61"/>
  <c r="M44" i="61" s="1"/>
  <c r="M47" i="61" s="1"/>
  <c r="S48" i="61" s="1"/>
  <c r="C48" i="61"/>
  <c r="M43" i="61" s="1"/>
  <c r="S44" i="61" s="1"/>
  <c r="B48" i="61"/>
  <c r="L43" i="61" s="1"/>
  <c r="R44" i="61" s="1"/>
  <c r="B47" i="61"/>
  <c r="L42" i="61" s="1"/>
  <c r="R43" i="61" s="1"/>
  <c r="G42" i="61"/>
  <c r="M48" i="61"/>
  <c r="S49" i="61" s="1"/>
  <c r="L49" i="61"/>
  <c r="L46" i="61"/>
  <c r="R47" i="61" s="1"/>
  <c r="R45" i="61"/>
  <c r="L45" i="61"/>
  <c r="R46" i="61" s="1"/>
  <c r="L47" i="61"/>
  <c r="R48" i="61" s="1"/>
  <c r="L48" i="61"/>
  <c r="R49" i="61" s="1"/>
  <c r="O48" i="61"/>
  <c r="U49" i="61" s="1"/>
  <c r="O49" i="61"/>
  <c r="O45" i="61"/>
  <c r="U46" i="61" s="1"/>
  <c r="O46" i="61"/>
  <c r="U47" i="61" s="1"/>
  <c r="U45" i="61"/>
  <c r="O47" i="61"/>
  <c r="U48" i="61" s="1"/>
  <c r="H5" i="63"/>
  <c r="P46" i="61"/>
  <c r="V47" i="61" s="1"/>
  <c r="P47" i="61"/>
  <c r="V48" i="61" s="1"/>
  <c r="P48" i="61"/>
  <c r="V49" i="61" s="1"/>
  <c r="P49" i="61"/>
  <c r="P45" i="61"/>
  <c r="V46" i="61" s="1"/>
  <c r="V45" i="61"/>
  <c r="N46" i="61"/>
  <c r="T47" i="61" s="1"/>
  <c r="T45" i="61"/>
  <c r="N47" i="61"/>
  <c r="T48" i="61" s="1"/>
  <c r="N48" i="61"/>
  <c r="T49" i="61" s="1"/>
  <c r="N49" i="61"/>
  <c r="N45" i="61"/>
  <c r="T46" i="61" s="1"/>
  <c r="F56" i="47"/>
  <c r="AF12" i="61"/>
  <c r="G41" i="61"/>
  <c r="D46" i="61"/>
  <c r="N41" i="61" s="1"/>
  <c r="T42" i="61" s="1"/>
  <c r="D47" i="61"/>
  <c r="N42" i="61" s="1"/>
  <c r="T43" i="61" s="1"/>
  <c r="S45" i="61"/>
  <c r="G13" i="61"/>
  <c r="G15" i="61"/>
  <c r="B46" i="61"/>
  <c r="L41" i="61" s="1"/>
  <c r="R42" i="61" s="1"/>
  <c r="AF15" i="61"/>
  <c r="M45" i="61"/>
  <c r="S46" i="61" s="1"/>
  <c r="M46" i="61"/>
  <c r="S47" i="61" s="1"/>
  <c r="G8" i="63"/>
  <c r="E55" i="47"/>
  <c r="AF9" i="61"/>
  <c r="AF11" i="61"/>
  <c r="AF8" i="61"/>
  <c r="AF14" i="61"/>
  <c r="G14" i="61"/>
  <c r="G12" i="61"/>
  <c r="R8" i="61"/>
  <c r="U7" i="61"/>
  <c r="O14" i="61"/>
  <c r="T14" i="61" s="1"/>
  <c r="S8" i="61"/>
  <c r="T8" i="61"/>
  <c r="N14" i="61"/>
  <c r="S14" i="61" s="1"/>
  <c r="M14" i="61"/>
  <c r="R14" i="61" s="1"/>
  <c r="O15" i="61"/>
  <c r="T15" i="61" s="1"/>
  <c r="M15" i="61"/>
  <c r="R15" i="61" s="1"/>
  <c r="M13" i="61"/>
  <c r="R13" i="61" s="1"/>
  <c r="O13" i="61"/>
  <c r="T13" i="61" s="1"/>
  <c r="N15" i="61"/>
  <c r="N13" i="61"/>
  <c r="L8" i="61"/>
  <c r="B59" i="47"/>
  <c r="D59" i="47"/>
  <c r="G59" i="47"/>
  <c r="F59" i="47"/>
  <c r="L10" i="61"/>
  <c r="M12" i="61"/>
  <c r="R12" i="61" s="1"/>
  <c r="R16" i="61" s="1"/>
  <c r="M16" i="61" s="1"/>
  <c r="R11" i="61"/>
  <c r="T11" i="61"/>
  <c r="O12" i="61"/>
  <c r="T12" i="61" s="1"/>
  <c r="T16" i="61" s="1"/>
  <c r="O16" i="61" s="1"/>
  <c r="S11" i="61"/>
  <c r="N12" i="61"/>
  <c r="R10" i="61"/>
  <c r="S9" i="61"/>
  <c r="R9" i="61"/>
  <c r="N10" i="61"/>
  <c r="O10" i="61"/>
  <c r="T10" i="61" s="1"/>
  <c r="O9" i="61"/>
  <c r="T9" i="61" s="1"/>
  <c r="M49" i="61" l="1"/>
  <c r="P29" i="61"/>
  <c r="P30" i="61"/>
  <c r="V30" i="61" s="1"/>
  <c r="H8" i="63"/>
  <c r="P31" i="61"/>
  <c r="V31" i="61" s="1"/>
  <c r="P32" i="61"/>
  <c r="V32" i="61" s="1"/>
  <c r="P33" i="61"/>
  <c r="V33" i="61" s="1"/>
  <c r="P26" i="61"/>
  <c r="P34" i="61"/>
  <c r="V34" i="61" s="1"/>
  <c r="P27" i="61"/>
  <c r="P25" i="61"/>
  <c r="P28" i="61"/>
  <c r="V28" i="61" s="1"/>
  <c r="L26" i="61"/>
  <c r="R26" i="61" s="1"/>
  <c r="H6" i="63"/>
  <c r="H7" i="63"/>
  <c r="B24" i="47" s="1"/>
  <c r="B25" i="47" s="1"/>
  <c r="P8" i="61"/>
  <c r="S12" i="61"/>
  <c r="S16" i="61" s="1"/>
  <c r="N16" i="61" s="1"/>
  <c r="N34" i="61" s="1"/>
  <c r="T34" i="61" s="1"/>
  <c r="S13" i="61"/>
  <c r="S15" i="61"/>
  <c r="S10" i="61"/>
  <c r="L11" i="61"/>
  <c r="L29" i="61" s="1"/>
  <c r="Q8" i="61"/>
  <c r="U8" i="61" s="1"/>
  <c r="Q10" i="61"/>
  <c r="P10" i="61"/>
  <c r="L9" i="61"/>
  <c r="L27" i="61" s="1"/>
  <c r="V25" i="61" l="1"/>
  <c r="N25" i="61"/>
  <c r="T25" i="61" s="1"/>
  <c r="L25" i="61"/>
  <c r="N33" i="61"/>
  <c r="T33" i="61" s="1"/>
  <c r="L28" i="61"/>
  <c r="N32" i="61"/>
  <c r="T32" i="61" s="1"/>
  <c r="V27" i="61"/>
  <c r="N27" i="61"/>
  <c r="T27" i="61" s="1"/>
  <c r="V29" i="61"/>
  <c r="N29" i="61"/>
  <c r="T29" i="61" s="1"/>
  <c r="U10" i="61"/>
  <c r="N31" i="61"/>
  <c r="T31" i="61" s="1"/>
  <c r="N28" i="61"/>
  <c r="T28" i="61" s="1"/>
  <c r="V26" i="61"/>
  <c r="N26" i="61"/>
  <c r="N30" i="61"/>
  <c r="T30" i="61" s="1"/>
  <c r="P11" i="61"/>
  <c r="P13" i="61" s="1"/>
  <c r="Q11" i="61"/>
  <c r="U11" i="61" s="1"/>
  <c r="L12" i="61"/>
  <c r="L30" i="61" s="1"/>
  <c r="R30" i="61" s="1"/>
  <c r="W30" i="61" s="1"/>
  <c r="R27" i="61"/>
  <c r="Q27" i="61"/>
  <c r="R29" i="61"/>
  <c r="W29" i="61" s="1"/>
  <c r="Q29" i="61"/>
  <c r="P15" i="61"/>
  <c r="P14" i="61"/>
  <c r="L15" i="61"/>
  <c r="L33" i="61" s="1"/>
  <c r="L13" i="61"/>
  <c r="L31" i="61" s="1"/>
  <c r="L14" i="61"/>
  <c r="L32" i="61" s="1"/>
  <c r="Q9" i="61"/>
  <c r="U9" i="61" s="1"/>
  <c r="P9" i="61"/>
  <c r="W27" i="61" l="1"/>
  <c r="Q25" i="61"/>
  <c r="R25" i="61"/>
  <c r="W25" i="61" s="1"/>
  <c r="R28" i="61"/>
  <c r="W28" i="61" s="1"/>
  <c r="Q28" i="61"/>
  <c r="T26" i="61"/>
  <c r="W26" i="61" s="1"/>
  <c r="Q26" i="61"/>
  <c r="P12" i="61"/>
  <c r="Q30" i="61"/>
  <c r="Q12" i="61"/>
  <c r="Q16" i="61" s="1"/>
  <c r="L16" i="61" s="1"/>
  <c r="L34" i="61" s="1"/>
  <c r="R34" i="61" s="1"/>
  <c r="W34" i="61" s="1"/>
  <c r="Q32" i="61"/>
  <c r="R32" i="61"/>
  <c r="W32" i="61" s="1"/>
  <c r="R31" i="61"/>
  <c r="W31" i="61" s="1"/>
  <c r="Q31" i="61"/>
  <c r="R33" i="61"/>
  <c r="W33" i="61" s="1"/>
  <c r="Q33" i="61"/>
  <c r="Q15" i="61"/>
  <c r="U15" i="61" s="1"/>
  <c r="Q14" i="61"/>
  <c r="U14" i="61" s="1"/>
  <c r="Q13" i="61"/>
  <c r="U13" i="61" s="1"/>
  <c r="U12" i="61"/>
  <c r="U16" i="61" s="1"/>
  <c r="P16" i="61" s="1"/>
  <c r="B36" i="47"/>
  <c r="Q34" i="61" l="1"/>
  <c r="C21" i="47"/>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E29" i="60"/>
  <c r="E39" i="60" s="1"/>
  <c r="N27" i="60"/>
  <c r="B25" i="60"/>
  <c r="B22" i="60"/>
  <c r="B24" i="60" s="1"/>
  <c r="F39" i="60" l="1"/>
  <c r="B41" i="60"/>
  <c r="C36" i="60"/>
  <c r="C37" i="60" s="1"/>
  <c r="C45" i="60" s="1"/>
  <c r="C35" i="60"/>
  <c r="D35" i="60" s="1"/>
  <c r="E35" i="60" s="1"/>
  <c r="F35" i="60" s="1"/>
  <c r="G35" i="60" s="1"/>
  <c r="H35" i="60" s="1"/>
  <c r="I35" i="60" s="1"/>
  <c r="J35" i="60" s="1"/>
  <c r="K35" i="60" s="1"/>
  <c r="L35" i="60" s="1"/>
  <c r="E33" i="60"/>
  <c r="D34" i="60"/>
  <c r="D36" i="60" s="1"/>
  <c r="D37" i="60" s="1"/>
  <c r="D45" i="60" s="1"/>
  <c r="D46"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K36" i="60" l="1"/>
  <c r="K37" i="60" s="1"/>
  <c r="K45" i="60" s="1"/>
  <c r="K46" i="60" s="1"/>
  <c r="K44" i="60" s="1"/>
  <c r="K43" i="60" s="1"/>
  <c r="L34" i="60"/>
  <c r="L36" i="60" s="1"/>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M97" i="47"/>
  <c r="M96" i="47"/>
  <c r="M89" i="47"/>
  <c r="M88" i="47"/>
  <c r="M81" i="47"/>
  <c r="M80" i="47"/>
  <c r="M73" i="47"/>
  <c r="M72" i="47"/>
  <c r="M65" i="47"/>
  <c r="M64" i="47"/>
  <c r="A64" i="47"/>
  <c r="A65" i="47" s="1"/>
  <c r="A66" i="47" s="1"/>
  <c r="A53" i="47"/>
  <c r="A51" i="47"/>
  <c r="A50" i="47"/>
  <c r="A49" i="47"/>
  <c r="A48" i="47"/>
  <c r="A47" i="47"/>
  <c r="A46" i="47"/>
  <c r="A41" i="47"/>
  <c r="A40" i="47"/>
  <c r="A39" i="47"/>
  <c r="A38" i="47"/>
  <c r="A37" i="47"/>
  <c r="A36" i="47"/>
  <c r="C36" i="47" s="1"/>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G47" i="47" l="1"/>
  <c r="G49" i="47"/>
  <c r="G51" i="47"/>
  <c r="G48" i="47"/>
  <c r="G46" i="47"/>
  <c r="G53" i="47" s="1"/>
  <c r="G50" i="47"/>
  <c r="G54" i="47" l="1"/>
  <c r="G67" i="47"/>
  <c r="G69" i="47" s="1"/>
  <c r="G128" i="47" s="1"/>
  <c r="G57" i="47" l="1"/>
  <c r="G91" i="47" s="1"/>
  <c r="G93" i="47" s="1"/>
  <c r="G131" i="47" s="1"/>
  <c r="G83" i="47"/>
  <c r="G85" i="47" s="1"/>
  <c r="G130" i="47" s="1"/>
  <c r="G75" i="47"/>
  <c r="G77" i="47" s="1"/>
  <c r="G129" i="47" s="1"/>
  <c r="G58" i="47"/>
  <c r="G99" i="47" s="1"/>
  <c r="G101" i="47" s="1"/>
  <c r="G132" i="47" s="1"/>
  <c r="G107" i="47"/>
  <c r="G109" i="47" s="1"/>
  <c r="G133" i="47" s="1"/>
  <c r="G60" i="47"/>
  <c r="G135" i="47" l="1"/>
  <c r="G136" i="47" s="1"/>
  <c r="D34" i="47" l="1"/>
  <c r="D37" i="47"/>
  <c r="D38" i="47"/>
  <c r="D39" i="47"/>
  <c r="D40" i="47"/>
  <c r="D41" i="47"/>
  <c r="C34" i="47"/>
  <c r="C33" i="47"/>
  <c r="C45" i="47" s="1"/>
  <c r="C43" i="47"/>
  <c r="C30" i="47"/>
  <c r="C31" i="47"/>
  <c r="C29" i="47"/>
  <c r="C40" i="47"/>
  <c r="C41" i="47"/>
  <c r="C125" i="47"/>
  <c r="C121" i="47"/>
  <c r="C123" i="47"/>
  <c r="C124" i="47"/>
  <c r="C38" i="47"/>
  <c r="C37" i="47"/>
  <c r="C122" i="47"/>
  <c r="C39" i="47"/>
  <c r="C126" i="47"/>
  <c r="C118" i="47"/>
  <c r="M118" i="47" s="1"/>
  <c r="C116" i="47"/>
  <c r="M116" i="47" s="1"/>
  <c r="C52" i="47"/>
  <c r="M39" i="60" s="1"/>
  <c r="C115" i="47"/>
  <c r="M115" i="47" s="1"/>
  <c r="C117" i="47"/>
  <c r="M117" i="47" s="1"/>
  <c r="C113" i="47"/>
  <c r="C114" i="47"/>
  <c r="M114" i="47" s="1"/>
  <c r="C119" i="47" l="1"/>
  <c r="C106" i="47" s="1"/>
  <c r="M113" i="47"/>
  <c r="C46" i="47"/>
  <c r="C53" i="47" s="1"/>
  <c r="C49" i="47"/>
  <c r="C50" i="47"/>
  <c r="C48" i="47"/>
  <c r="C51" i="47"/>
  <c r="C47" i="47"/>
  <c r="C98" i="47" l="1"/>
  <c r="C66" i="47"/>
  <c r="C82" i="47"/>
  <c r="C90" i="47"/>
  <c r="C74" i="47"/>
  <c r="M40" i="60"/>
  <c r="C67" i="47"/>
  <c r="C69" i="47" s="1"/>
  <c r="C128" i="47" s="1"/>
  <c r="C54" i="47"/>
  <c r="C59" i="47" l="1"/>
  <c r="C55" i="47"/>
  <c r="C58" i="47"/>
  <c r="C57" i="47"/>
  <c r="C56" i="47"/>
  <c r="M56" i="47" l="1"/>
  <c r="M42" i="60"/>
  <c r="C83" i="47"/>
  <c r="C85" i="47" s="1"/>
  <c r="C130" i="47" s="1"/>
  <c r="M57" i="47"/>
  <c r="M43" i="60"/>
  <c r="C91" i="47"/>
  <c r="C93" i="47" s="1"/>
  <c r="C131" i="47" s="1"/>
  <c r="M58" i="47"/>
  <c r="M44" i="60"/>
  <c r="C99" i="47"/>
  <c r="C101" i="47" s="1"/>
  <c r="C132" i="47" s="1"/>
  <c r="C75" i="47"/>
  <c r="C77" i="47" s="1"/>
  <c r="C129" i="47" s="1"/>
  <c r="M53" i="47"/>
  <c r="M41" i="60"/>
  <c r="M55" i="47"/>
  <c r="M59" i="47"/>
  <c r="C107" i="47"/>
  <c r="C109" i="47" s="1"/>
  <c r="C133" i="47" s="1"/>
  <c r="M45" i="60"/>
  <c r="C60" i="47"/>
  <c r="M46" i="60" s="1"/>
  <c r="M54" i="47" l="1"/>
  <c r="C135" i="47"/>
  <c r="C136" i="47" s="1"/>
  <c r="G47" i="61"/>
  <c r="G49" i="61"/>
  <c r="G46" i="61"/>
  <c r="G48" i="61"/>
  <c r="AK25" i="61"/>
  <c r="AE25" i="61"/>
  <c r="AG25" i="61"/>
</calcChain>
</file>

<file path=xl/sharedStrings.xml><?xml version="1.0" encoding="utf-8"?>
<sst xmlns="http://schemas.openxmlformats.org/spreadsheetml/2006/main" count="709" uniqueCount="444">
  <si>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</si>
  <si>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</si>
  <si>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</si>
  <si>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</si>
  <si>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</si>
  <si>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</si>
  <si>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</si>
  <si>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</si>
  <si>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</si>
  <si>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</si>
  <si>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</si>
  <si>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</si>
  <si>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</si>
  <si>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</si>
  <si>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</si>
  <si>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</si>
  <si>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</si>
  <si>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</si>
  <si>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</si>
  <si>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</si>
  <si>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</si>
  <si>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</si>
  <si>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</si>
  <si>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</si>
  <si>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</si>
  <si>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</si>
  <si>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</si>
  <si>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</si>
  <si>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</si>
  <si>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</si>
  <si>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</si>
  <si>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</si>
  <si>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</si>
  <si>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</si>
  <si>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</si>
  <si>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</si>
  <si>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</si>
  <si>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</si>
  <si>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</si>
  <si>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</si>
  <si>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</si>
  <si>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</si>
  <si>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</si>
  <si>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</si>
  <si>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</si>
  <si>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</si>
  <si>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</si>
  <si>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</si>
  <si>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</si>
  <si>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</si>
  <si>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</si>
  <si>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</si>
  <si>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</si>
  <si>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</si>
  <si>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</si>
  <si>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</si>
  <si>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</si>
  <si>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</si>
  <si>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</si>
  <si>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</si>
  <si>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</si>
  <si>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</si>
  <si>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</si>
  <si>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</si>
  <si>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</si>
  <si>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</si>
  <si>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</si>
  <si>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</si>
  <si>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</si>
  <si>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</si>
  <si>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</si>
  <si>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</si>
  <si>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</si>
  <si>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</si>
  <si>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</si>
  <si>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</si>
  <si>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</si>
  <si>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</si>
  <si>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</si>
  <si>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</si>
  <si>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</si>
  <si>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</si>
  <si>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</si>
  <si>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</si>
  <si>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</si>
  <si>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</si>
  <si>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</si>
  <si>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</si>
  <si>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</si>
  <si>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</si>
  <si>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</si>
  <si>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</si>
  <si>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</si>
  <si>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</si>
  <si>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</si>
  <si>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</si>
  <si>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</si>
  <si>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</si>
  <si>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</si>
  <si>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</si>
  <si>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</si>
  <si>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</si>
  <si>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</si>
  <si>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</si>
  <si>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</si>
  <si>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</si>
  <si>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</si>
  <si>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</si>
  <si>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</si>
  <si>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</si>
  <si>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</si>
  <si>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</si>
  <si>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</si>
  <si>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</si>
  <si>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</si>
  <si>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</si>
  <si>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</si>
  <si>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</si>
  <si>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</si>
  <si>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</si>
  <si>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</si>
  <si>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</si>
  <si>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</si>
  <si>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</si>
  <si>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</si>
  <si>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</si>
  <si>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</si>
  <si>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</si>
  <si>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</si>
  <si>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</si>
  <si>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</si>
  <si>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</si>
  <si>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</si>
  <si>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</si>
  <si>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</si>
  <si>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</si>
  <si>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</si>
  <si>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</si>
  <si>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</si>
  <si>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</si>
  <si>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</si>
  <si>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</si>
  <si>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</si>
  <si>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</si>
  <si>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</si>
  <si>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</si>
  <si>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</si>
  <si>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</si>
  <si>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</si>
  <si>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</si>
  <si>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</si>
  <si>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</si>
  <si>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</si>
  <si>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</si>
  <si>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</si>
  <si>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</si>
  <si>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</si>
  <si>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</si>
  <si>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</si>
  <si>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</si>
  <si>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</si>
  <si>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</si>
  <si>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</si>
  <si>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</si>
  <si>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</si>
  <si>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</si>
  <si>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</si>
  <si>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</si>
  <si>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</si>
  <si>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</si>
  <si>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</si>
  <si>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</si>
  <si>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</si>
  <si>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</si>
  <si>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</si>
  <si>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</si>
  <si>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</si>
  <si>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</si>
  <si>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</si>
  <si>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</si>
  <si>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</si>
  <si>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</si>
  <si>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</si>
  <si>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</si>
  <si>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</si>
  <si>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</si>
  <si>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</si>
  <si>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</si>
  <si>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</si>
  <si>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</si>
  <si>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</si>
  <si>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</si>
  <si>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</si>
  <si>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</si>
  <si>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</si>
  <si>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</si>
  <si>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</si>
  <si>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</si>
  <si>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</si>
  <si>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</si>
  <si>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</si>
  <si>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</si>
  <si>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</si>
  <si>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</si>
  <si>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</si>
  <si>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</si>
  <si>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</si>
  <si>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</si>
  <si>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</si>
  <si>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</si>
  <si>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</si>
  <si>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</si>
  <si>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</si>
  <si>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</si>
  <si>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</si>
  <si>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</si>
  <si>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</si>
  <si>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</si>
  <si>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</si>
  <si>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</si>
  <si>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</si>
  <si>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</si>
  <si>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</si>
  <si>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</si>
  <si>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</si>
  <si>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</si>
  <si>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</si>
  <si>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</si>
  <si>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</si>
  <si>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</si>
  <si>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</si>
  <si>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</si>
  <si>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</si>
  <si>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</si>
  <si>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</si>
  <si>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</si>
  <si>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</si>
  <si>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</si>
  <si>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</si>
  <si>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</si>
  <si>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</si>
  <si>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</si>
  <si>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</si>
  <si>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</si>
  <si>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</si>
  <si>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</si>
  <si>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</si>
  <si>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</si>
  <si>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</si>
  <si>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</si>
  <si>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</si>
  <si>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</si>
  <si>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</si>
  <si>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</si>
  <si>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</si>
  <si>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</si>
  <si>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</si>
  <si>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</si>
  <si>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</si>
  <si>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</si>
  <si>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</si>
  <si>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</si>
  <si>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</si>
  <si>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</si>
  <si>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</si>
  <si>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</si>
  <si>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</si>
  <si>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</si>
  <si>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</si>
  <si>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</si>
  <si>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</si>
  <si>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</si>
  <si>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</si>
  <si>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</si>
  <si>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</si>
  <si>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</si>
  <si>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</si>
  <si>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</si>
  <si>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</si>
  <si>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</si>
  <si>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</si>
  <si>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</si>
  <si>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</si>
  <si>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</si>
  <si>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</si>
  <si>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</si>
  <si>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</si>
  <si>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</si>
  <si>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</si>
  <si>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</si>
  <si>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</si>
  <si>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</si>
  <si>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</si>
  <si>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</si>
  <si>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</si>
  <si>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</si>
  <si>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</si>
  <si>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</si>
  <si>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</si>
  <si>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</si>
  <si>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</si>
  <si>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</si>
  <si>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</si>
  <si>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</si>
  <si>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</si>
  <si>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</si>
  <si>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</si>
  <si>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</si>
  <si>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</si>
  <si>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</si>
  <si>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</si>
  <si>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</si>
  <si>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</si>
  <si>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</si>
  <si>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</si>
  <si>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</si>
  <si>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</si>
  <si>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</si>
  <si>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</si>
  <si>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</si>
  <si>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</si>
  <si>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</si>
  <si>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</si>
  <si>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</si>
  <si>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</si>
  <si>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</si>
  <si>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</si>
  <si>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</si>
  <si>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</si>
  <si>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</si>
  <si>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</si>
  <si>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</si>
  <si>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</si>
  <si>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</si>
  <si>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</si>
  <si>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</si>
  <si>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</si>
  <si>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</si>
  <si>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</si>
  <si>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</si>
  <si>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</si>
  <si>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</si>
  <si>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</si>
  <si>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</si>
  <si>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</si>
  <si>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</si>
  <si>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</si>
  <si>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Tribal Nations of the Lower Basin manage their own settled water rights (16.4% is from California, 82.4% is from Arizona). Ignore Nevada.</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</si>
  <si>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</si>
  <si>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</si>
  <si>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</si>
  <si>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</si>
  <si>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</si>
  <si>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</si>
  <si>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</si>
  <si>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</si>
  <si>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</si>
  <si>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</si>
  <si>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</si>
  <si>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</si>
  <si>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</si>
  <si>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</si>
  <si>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</si>
  <si>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</si>
  <si>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</si>
  <si>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</si>
  <si>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</si>
  <si>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</si>
  <si>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</si>
  <si>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</si>
  <si>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</si>
  <si>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</si>
  <si>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</si>
  <si>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</si>
  <si>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</si>
  <si>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</si>
  <si>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</si>
  <si>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</si>
  <si>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</si>
  <si>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</si>
  <si>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</si>
  <si>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</si>
  <si>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</si>
  <si>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</si>
  <si>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</si>
  <si>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</si>
  <si>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</si>
  <si>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</si>
  <si>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</si>
  <si>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</si>
  <si>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</si>
  <si>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</si>
  <si>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</si>
  <si>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</si>
  <si>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</si>
  <si>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</si>
  <si>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</si>
  <si>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</si>
  <si>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</si>
  <si>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</si>
  <si>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</si>
  <si>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</si>
  <si>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</si>
  <si>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</si>
  <si>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</si>
  <si>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</si>
  <si>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1.5</t>
  </si>
  <si>
    <t>Add extreme low Lake Mead inflow hydrologic scenarios</t>
  </si>
  <si>
    <t>Myers</t>
  </si>
  <si>
    <t>Collaborators in model session</t>
  </si>
  <si>
    <t>[1]</t>
  </si>
  <si>
    <t>[7]</t>
  </si>
  <si>
    <t>[8]</t>
  </si>
  <si>
    <t>[9]</t>
  </si>
  <si>
    <t>[10]</t>
  </si>
  <si>
    <t>[11]</t>
  </si>
  <si>
    <t>[1] Historical allocations</t>
  </si>
  <si>
    <t>[7] If percentage shares of total shortages for 0.3 to 1.5 maf per year specified in Lower Basin Alternative (2024) continue to total shortages for 1.5 to 2.7 maf per year.</t>
  </si>
  <si>
    <t>[11] If percentage shares of total shortages for 0.3 to 1.5 maf per year specified in Lower Basin Alternative (2024) continue to total shortages for 8.0 maf per year.</t>
  </si>
  <si>
    <t>Mexico
[F]</t>
  </si>
  <si>
    <t>Tribal
Nations [T]</t>
  </si>
  <si>
    <t>Total Shortage
(maf per year)
[A]</t>
  </si>
  <si>
    <t>Lake Mead Inflow
(maf per year) [B]</t>
  </si>
  <si>
    <t>Pro Rata/ Historical</t>
  </si>
  <si>
    <t>Total Shortage
(maf per year) [A]</t>
  </si>
  <si>
    <t>Arizona
[C]</t>
  </si>
  <si>
    <t>Nevada
[D]</t>
  </si>
  <si>
    <t>California
[E]</t>
  </si>
  <si>
    <t>Arizona
[H]</t>
  </si>
  <si>
    <t>Nevada
[I]</t>
  </si>
  <si>
    <t>California
[J]</t>
  </si>
  <si>
    <t>Mexico
[K]</t>
  </si>
  <si>
    <t>Standardized: Tribal Nations Included in Lake Mead Inflow Allocation</t>
  </si>
  <si>
    <t>Tribal Nations</t>
  </si>
  <si>
    <t>Tribal Nations Included in Total Shortage</t>
  </si>
  <si>
    <t>Collaborators in model session; Rosenberg</t>
  </si>
  <si>
    <t>Add Tribal Nations in Lake Mead inflow allocation</t>
  </si>
  <si>
    <t>Minimum Summation
of Ensemble</t>
  </si>
  <si>
    <r>
      <t xml:space="preserve">The annual Lake Mead inflow magnitude has been determined by using data from the data sheet, </t>
    </r>
    <r>
      <rPr>
        <i/>
        <sz val="12"/>
        <color theme="1"/>
        <rFont val="Aptos"/>
      </rPr>
      <t xml:space="preserve">HydrologicScenarios </t>
    </r>
    <r>
      <rPr>
        <sz val="12"/>
        <color theme="1"/>
        <rFont val="Aptos"/>
      </rPr>
      <t>(Salehabadi 2023). 
All Ensembles and traces were used in determining Lake Mead’s inflow. Using code written in Python, three consecutive smallest values in each trace were found.</t>
    </r>
  </si>
  <si>
    <t>X</t>
  </si>
  <si>
    <t>Chosen</t>
  </si>
  <si>
    <t>Standardized: Tribal Nations Included in Lake Mead Inflow Allocation (Tribal Nations Does Not Take Shortages)</t>
  </si>
  <si>
    <t>Based Off of 2024 Lower Basin Shortage Agreement</t>
  </si>
  <si>
    <t>Based Off of 2024 Lower Basin Shortage Agreement: Tribal Nations Included in Lake Mead Inflow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</si>
</sst>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ont>
    <font>
      <i/>
      <sz val="12"/>
      <color theme="1"/>
      <name val="Aptos"/>
    </font>
  </fonts>
  <fills count="30">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
      <patternFill patternType="solid">
        <fgColor theme="8" tint="0.39997558519241921"/>
        <bgColor indexed="64"/>
      </patternFill>
    </fill>
  </fills>
  <borders count="3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402">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6"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9" fillId="0" borderId="0" xfId="0" applyFont="1"/>
    <xf numFmtId="164" fontId="0" fillId="0" borderId="21" xfId="0" applyNumberFormat="1" applyBorder="1"/>
    <xf numFmtId="0" fontId="29" fillId="0" borderId="0" xfId="0" applyFont="1" applyAlignment="1">
      <alignment horizontal="center"/>
    </xf>
    <xf numFmtId="0" fontId="29" fillId="0" borderId="22" xfId="0" applyFont="1" applyBorder="1"/>
    <xf numFmtId="0" fontId="0" fillId="0" borderId="22" xfId="0" applyBorder="1"/>
    <xf numFmtId="0" fontId="0" fillId="0" borderId="22" xfId="0" applyBorder="1" applyAlignment="1">
      <alignment horizontal="center"/>
    </xf>
    <xf numFmtId="164" fontId="0" fillId="0" borderId="23" xfId="0" applyNumberFormat="1" applyBorder="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72" fontId="19" fillId="0" borderId="0" xfId="4" applyNumberFormat="1" applyFont="1" applyBorder="1" applyAlignment="1">
      <alignment horizontal="center"/>
    </xf>
    <xf numFmtId="9" fontId="19" fillId="0" borderId="0" xfId="4" applyFont="1" applyBorder="1" applyAlignment="1">
      <alignment horizontal="center"/>
    </xf>
    <xf numFmtId="164" fontId="19" fillId="0" borderId="9" xfId="0" applyNumberFormat="1" applyFont="1" applyBorder="1" applyAlignment="1">
      <alignment horizontal="center" vertical="center"/>
    </xf>
    <xf numFmtId="172" fontId="19" fillId="0" borderId="9" xfId="4" applyNumberFormat="1" applyFont="1" applyFill="1" applyBorder="1" applyAlignment="1">
      <alignment horizontal="center" vertical="center"/>
    </xf>
    <xf numFmtId="9" fontId="19" fillId="0" borderId="9" xfId="4" applyFont="1" applyBorder="1" applyAlignment="1">
      <alignment horizontal="center"/>
    </xf>
    <xf numFmtId="9" fontId="19" fillId="0" borderId="9" xfId="4" applyFont="1" applyFill="1" applyBorder="1" applyAlignment="1">
      <alignment horizontal="center" vertical="center"/>
    </xf>
    <xf numFmtId="164" fontId="19" fillId="0" borderId="0" xfId="0" applyNumberFormat="1" applyFont="1"/>
    <xf numFmtId="2" fontId="19" fillId="0" borderId="0" xfId="0" applyNumberFormat="1" applyFont="1"/>
    <xf numFmtId="172" fontId="19" fillId="0" borderId="0" xfId="4" applyNumberFormat="1" applyFont="1" applyBorder="1"/>
    <xf numFmtId="0" fontId="18" fillId="7" borderId="9" xfId="0" applyFont="1" applyFill="1" applyBorder="1" applyAlignment="1">
      <alignment horizontal="center" vertical="center"/>
    </xf>
    <xf numFmtId="43"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xf>
    <xf numFmtId="0" fontId="18" fillId="0" borderId="0" xfId="0" applyFont="1" applyAlignment="1">
      <alignment vertical="center" wrapText="1"/>
    </xf>
    <xf numFmtId="0" fontId="19" fillId="0" borderId="0" xfId="0" applyFont="1" applyAlignment="1">
      <alignment horizontal="center" vertical="center"/>
    </xf>
    <xf numFmtId="164" fontId="19" fillId="0" borderId="0" xfId="0" applyNumberFormat="1" applyFont="1" applyAlignment="1">
      <alignment horizontal="center" vertical="center"/>
    </xf>
    <xf numFmtId="2" fontId="19" fillId="0" borderId="0" xfId="0" applyNumberFormat="1" applyFont="1" applyAlignment="1">
      <alignment horizontal="center" vertical="center"/>
    </xf>
    <xf numFmtId="172" fontId="19" fillId="0" borderId="0" xfId="4" applyNumberFormat="1" applyFont="1" applyFill="1" applyBorder="1" applyAlignment="1">
      <alignment horizontal="center" vertical="center"/>
    </xf>
    <xf numFmtId="9" fontId="19" fillId="0" borderId="0" xfId="4"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0" fontId="19" fillId="0" borderId="9" xfId="0" applyFont="1" applyBorder="1" applyAlignment="1">
      <alignment horizontal="center" vertical="center" wrapText="1"/>
    </xf>
    <xf numFmtId="164" fontId="19" fillId="0" borderId="9" xfId="0" applyNumberFormat="1" applyFont="1" applyBorder="1" applyAlignment="1">
      <alignment horizontal="center" vertical="center" wrapText="1"/>
    </xf>
    <xf numFmtId="9" fontId="19" fillId="0" borderId="9" xfId="4" applyFont="1" applyBorder="1" applyAlignment="1">
      <alignment horizontal="center" vertical="center"/>
    </xf>
    <xf numFmtId="172" fontId="19" fillId="0" borderId="9" xfId="4" applyNumberFormat="1" applyFont="1" applyBorder="1" applyAlignment="1">
      <alignment horizontal="center" vertical="center"/>
    </xf>
    <xf numFmtId="0" fontId="18" fillId="19" borderId="9" xfId="0" applyFont="1" applyFill="1" applyBorder="1" applyAlignment="1">
      <alignment horizontal="center" vertical="center"/>
    </xf>
    <xf numFmtId="0" fontId="19" fillId="0" borderId="0" xfId="0" applyFont="1" applyAlignment="1">
      <alignment horizontal="center" vertical="top"/>
    </xf>
    <xf numFmtId="0" fontId="27" fillId="29" borderId="24" xfId="0" applyFont="1" applyFill="1" applyBorder="1" applyAlignment="1">
      <alignment horizontal="center" vertical="top"/>
    </xf>
    <xf numFmtId="0" fontId="27" fillId="29" borderId="25" xfId="0" applyFont="1" applyFill="1" applyBorder="1" applyAlignment="1">
      <alignment horizontal="center" vertical="top"/>
    </xf>
    <xf numFmtId="0" fontId="28" fillId="29" borderId="26" xfId="0" applyFont="1" applyFill="1" applyBorder="1" applyAlignment="1">
      <alignment horizontal="center" vertical="top" wrapText="1"/>
    </xf>
    <xf numFmtId="0" fontId="28" fillId="29" borderId="26" xfId="0" applyFont="1" applyFill="1" applyBorder="1" applyAlignment="1">
      <alignment horizontal="center" vertical="top"/>
    </xf>
    <xf numFmtId="0" fontId="28" fillId="29" borderId="27" xfId="0" applyFont="1" applyFill="1" applyBorder="1" applyAlignment="1">
      <alignment horizontal="center" vertical="top"/>
    </xf>
    <xf numFmtId="0" fontId="27" fillId="5" borderId="28" xfId="0" applyFont="1" applyFill="1" applyBorder="1"/>
    <xf numFmtId="0" fontId="27" fillId="5" borderId="29" xfId="0" applyFont="1" applyFill="1" applyBorder="1"/>
    <xf numFmtId="0" fontId="27" fillId="5" borderId="30" xfId="0" applyFont="1" applyFill="1" applyBorder="1"/>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9" fillId="0" borderId="9" xfId="0" applyFont="1" applyBorder="1" applyAlignment="1">
      <alignment horizontal="center"/>
    </xf>
    <xf numFmtId="0" fontId="18" fillId="19" borderId="9" xfId="0" applyFont="1" applyFill="1" applyBorder="1" applyAlignment="1">
      <alignment horizontal="center"/>
    </xf>
    <xf numFmtId="0" fontId="18" fillId="21" borderId="11" xfId="0" applyFont="1" applyFill="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21" borderId="9" xfId="0" applyFont="1" applyFill="1" applyBorder="1" applyAlignment="1">
      <alignment horizont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8" fillId="19" borderId="11" xfId="0" applyFont="1" applyFill="1" applyBorder="1" applyAlignment="1">
      <alignment horizontal="center" vertical="center"/>
    </xf>
    <xf numFmtId="0" fontId="18" fillId="19" borderId="12" xfId="0" applyFont="1" applyFill="1" applyBorder="1" applyAlignment="1">
      <alignment horizontal="center" vertical="center"/>
    </xf>
    <xf numFmtId="0" fontId="18" fillId="19" borderId="13" xfId="0" applyFont="1" applyFill="1" applyBorder="1" applyAlignment="1">
      <alignment horizontal="center" vertic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18" fillId="19" borderId="9" xfId="0" applyFont="1" applyFill="1" applyBorder="1" applyAlignment="1">
      <alignment horizontal="center" vertical="center" wrapText="1"/>
    </xf>
    <xf numFmtId="0" fontId="18" fillId="21" borderId="11" xfId="0" applyFont="1" applyFill="1" applyBorder="1" applyAlignment="1">
      <alignment horizontal="center"/>
    </xf>
    <xf numFmtId="0" fontId="18" fillId="21" borderId="12" xfId="0" applyFont="1" applyFill="1" applyBorder="1" applyAlignment="1">
      <alignment horizontal="center"/>
    </xf>
    <xf numFmtId="0" fontId="18" fillId="21" borderId="13" xfId="0" applyFont="1" applyFill="1" applyBorder="1" applyAlignment="1">
      <alignment horizontal="center"/>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30" fillId="0" borderId="0" xfId="0" applyFont="1" applyAlignment="1">
      <alignment horizontal="left" wrapText="1"/>
    </xf>
    <xf numFmtId="0" fontId="30" fillId="0" borderId="0" xfId="0" applyFont="1" applyAlignment="1">
      <alignment horizontal="left"/>
    </xf>
    <xf numFmtId="0" fontId="0" fillId="0" borderId="0" xfId="0" applyAlignment="1">
      <alignment horizontal="center" vertical="center"/>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D3D3"/>
      <color rgb="FF0000FF"/>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922735</xdr:colOff>
      <xdr:row>14</xdr:row>
      <xdr:rowOff>255985</xdr:rowOff>
    </xdr:from>
    <xdr:to>
      <xdr:col>6</xdr:col>
      <xdr:colOff>160734</xdr:colOff>
      <xdr:row>15</xdr:row>
      <xdr:rowOff>1173789</xdr:rowOff>
    </xdr:to>
    <xdr:pic>
      <xdr:nvPicPr>
        <xdr:cNvPr id="3" name="Picture 2">
          <a:extLst>
            <a:ext uri="{FF2B5EF4-FFF2-40B4-BE49-F238E27FC236}">
              <a16:creationId xmlns:a16="http://schemas.microsoft.com/office/drawing/2014/main" id="{40ADA181-0637-EE9A-0DA6-DA8920365D97}"/>
            </a:ext>
          </a:extLst>
        </xdr:cNvPr>
        <xdr:cNvPicPr>
          <a:picLocks noChangeAspect="1"/>
        </xdr:cNvPicPr>
      </xdr:nvPicPr>
      <xdr:blipFill>
        <a:blip xmlns:r="http://schemas.openxmlformats.org/officeDocument/2006/relationships" r:embed="rId3"/>
        <a:stretch>
          <a:fillRect/>
        </a:stretch>
      </xdr:blipFill>
      <xdr:spPr>
        <a:xfrm>
          <a:off x="1172766" y="6435329"/>
          <a:ext cx="3393281" cy="1286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5221" cy="6271327"/>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opLeftCell="A2" zoomScale="160" zoomScaleNormal="160" workbookViewId="0">
      <selection sqref="A1:L1"/>
    </sheetView>
  </sheetViews>
  <sheetFormatPr baseColWidth="10" defaultColWidth="8.83203125" defaultRowHeight="15" x14ac:dyDescent="0.2"/>
  <cols>
    <col min="1" max="1" width="3.5" customWidth="1"/>
    <col min="2" max="2" width="30" customWidth="1"/>
    <col min="3" max="3" width="7.83203125" customWidth="1"/>
    <col min="4" max="4" width="7" style="2" customWidth="1"/>
    <col min="5" max="5" width="7.5" customWidth="1"/>
    <col min="6" max="6" width="7.33203125" customWidth="1"/>
    <col min="7" max="7" width="7.5" customWidth="1"/>
    <col min="8" max="8" width="7.1640625" customWidth="1"/>
    <col min="9" max="9" width="7.5" customWidth="1"/>
    <col min="10" max="10" width="7.6640625" customWidth="1"/>
    <col min="13" max="13" width="3.83203125" customWidth="1"/>
  </cols>
  <sheetData>
    <row r="1" spans="1:18" ht="16" x14ac:dyDescent="0.2">
      <c r="A1" s="297" t="s">
        <v>302</v>
      </c>
      <c r="B1" s="297"/>
      <c r="C1" s="297"/>
      <c r="D1" s="297"/>
      <c r="E1" s="297"/>
      <c r="F1" s="297"/>
      <c r="G1" s="297"/>
      <c r="H1" s="297"/>
      <c r="I1" s="297"/>
      <c r="J1" s="297"/>
      <c r="K1" s="297"/>
      <c r="L1" s="297"/>
    </row>
    <row r="2" spans="1:18" x14ac:dyDescent="0.2">
      <c r="A2" s="1"/>
      <c r="B2" s="1"/>
      <c r="C2" s="2"/>
      <c r="D2"/>
    </row>
    <row r="3" spans="1:18" x14ac:dyDescent="0.2">
      <c r="A3" s="154" t="s">
        <v>165</v>
      </c>
      <c r="B3" s="155"/>
      <c r="C3" s="156"/>
      <c r="D3" s="157"/>
      <c r="E3" s="157"/>
      <c r="F3" s="157"/>
      <c r="G3" s="157"/>
      <c r="H3" s="157"/>
      <c r="I3" s="157"/>
      <c r="J3" s="157"/>
      <c r="K3" s="157"/>
      <c r="L3" s="158"/>
      <c r="N3" s="1"/>
    </row>
    <row r="4" spans="1:18" s="54" customFormat="1" ht="53.5" customHeight="1" x14ac:dyDescent="0.2">
      <c r="A4" s="298" t="s">
        <v>303</v>
      </c>
      <c r="B4" s="299"/>
      <c r="C4" s="299"/>
      <c r="D4" s="299"/>
      <c r="E4" s="299"/>
      <c r="F4" s="299"/>
      <c r="G4" s="299"/>
      <c r="H4" s="299"/>
      <c r="I4" s="299"/>
      <c r="J4" s="299"/>
      <c r="K4" s="299"/>
      <c r="L4" s="300"/>
      <c r="N4" s="301"/>
      <c r="O4" s="301"/>
      <c r="P4" s="301"/>
      <c r="Q4" s="301"/>
      <c r="R4" s="301"/>
    </row>
    <row r="5" spans="1:18" s="54" customFormat="1" ht="35" customHeight="1" x14ac:dyDescent="0.2">
      <c r="A5" s="302" t="s">
        <v>286</v>
      </c>
      <c r="B5" s="303"/>
      <c r="C5" s="303"/>
      <c r="D5" s="303"/>
      <c r="E5" s="303"/>
      <c r="F5" s="303"/>
      <c r="G5" s="303"/>
      <c r="H5" s="303"/>
      <c r="I5" s="303"/>
      <c r="J5" s="303"/>
      <c r="K5" s="303"/>
      <c r="L5" s="304"/>
      <c r="N5" s="113"/>
      <c r="O5" s="113"/>
      <c r="P5" s="113"/>
      <c r="Q5" s="113"/>
      <c r="R5" s="113"/>
    </row>
    <row r="6" spans="1:18" s="54" customFormat="1" ht="14" customHeight="1" x14ac:dyDescent="0.2">
      <c r="A6" s="302" t="s">
        <v>304</v>
      </c>
      <c r="B6" s="303"/>
      <c r="C6" s="303"/>
      <c r="D6" s="303"/>
      <c r="E6" s="303"/>
      <c r="F6" s="303"/>
      <c r="G6" s="303"/>
      <c r="H6" s="303"/>
      <c r="I6" s="303"/>
      <c r="J6" s="303"/>
      <c r="K6" s="303"/>
      <c r="L6" s="304"/>
      <c r="N6" s="113"/>
      <c r="O6" s="113"/>
      <c r="P6" s="113"/>
      <c r="Q6" s="113"/>
      <c r="R6" s="113"/>
    </row>
    <row r="7" spans="1:18" s="54" customFormat="1" ht="14" customHeight="1" x14ac:dyDescent="0.2">
      <c r="A7" s="227"/>
      <c r="B7" s="303" t="s">
        <v>305</v>
      </c>
      <c r="C7" s="303"/>
      <c r="D7" s="303"/>
      <c r="E7" s="303"/>
      <c r="F7" s="303"/>
      <c r="G7" s="303"/>
      <c r="H7" s="303"/>
      <c r="I7" s="303"/>
      <c r="J7" s="303"/>
      <c r="K7" s="303"/>
      <c r="L7" s="304"/>
      <c r="N7" s="113"/>
      <c r="O7" s="113"/>
      <c r="P7" s="113"/>
      <c r="Q7" s="113"/>
      <c r="R7" s="113"/>
    </row>
    <row r="8" spans="1:18" s="54" customFormat="1" ht="14" customHeight="1" x14ac:dyDescent="0.2">
      <c r="A8" s="228"/>
      <c r="B8" s="320" t="s">
        <v>306</v>
      </c>
      <c r="C8" s="320"/>
      <c r="D8" s="320"/>
      <c r="E8" s="320"/>
      <c r="F8" s="320"/>
      <c r="G8" s="320"/>
      <c r="H8" s="320"/>
      <c r="I8" s="320"/>
      <c r="J8" s="320"/>
      <c r="K8" s="320"/>
      <c r="L8" s="321"/>
      <c r="N8" s="113"/>
      <c r="O8" s="113"/>
      <c r="P8" s="113"/>
      <c r="Q8" s="113"/>
      <c r="R8" s="113"/>
    </row>
    <row r="9" spans="1:18" s="59" customFormat="1" ht="14.5" customHeight="1" x14ac:dyDescent="0.2">
      <c r="A9" s="113"/>
      <c r="B9" s="113"/>
      <c r="C9" s="113"/>
      <c r="D9" s="113"/>
      <c r="E9" s="113"/>
      <c r="F9" s="113"/>
      <c r="G9" s="113"/>
      <c r="H9" s="113"/>
      <c r="I9" s="113"/>
      <c r="J9" s="113"/>
      <c r="K9" s="113"/>
      <c r="L9" s="113"/>
    </row>
    <row r="10" spans="1:18" s="59" customFormat="1" ht="14.5" customHeight="1" x14ac:dyDescent="0.2">
      <c r="A10" s="322" t="s">
        <v>341</v>
      </c>
      <c r="B10" s="323"/>
      <c r="C10" s="323"/>
      <c r="D10" s="323"/>
      <c r="E10" s="323"/>
      <c r="F10" s="323"/>
      <c r="G10" s="323"/>
      <c r="H10" s="323"/>
      <c r="I10" s="323"/>
      <c r="J10" s="323"/>
      <c r="K10" s="323"/>
      <c r="L10" s="324"/>
    </row>
    <row r="11" spans="1:18" s="58" customFormat="1" ht="14.5" customHeight="1" x14ac:dyDescent="0.2">
      <c r="A11" s="248" t="s">
        <v>342</v>
      </c>
      <c r="B11" s="325" t="s">
        <v>345</v>
      </c>
      <c r="C11" s="325"/>
      <c r="D11" s="325"/>
      <c r="E11" s="325"/>
      <c r="F11" s="325"/>
      <c r="G11" s="325"/>
      <c r="H11" s="325"/>
      <c r="I11" s="325"/>
      <c r="J11" s="325"/>
      <c r="K11" s="325"/>
      <c r="L11" s="326"/>
    </row>
    <row r="12" spans="1:18" s="59" customFormat="1" ht="161.5" customHeight="1" x14ac:dyDescent="0.2">
      <c r="A12" s="240"/>
      <c r="B12" s="246"/>
      <c r="C12" s="246"/>
      <c r="D12" s="246"/>
      <c r="E12" s="246"/>
      <c r="F12" s="246"/>
      <c r="G12" s="246"/>
      <c r="H12" s="246"/>
      <c r="I12" s="246"/>
      <c r="J12" s="246"/>
      <c r="K12" s="246"/>
      <c r="L12" s="247"/>
    </row>
    <row r="13" spans="1:18" s="58" customFormat="1" ht="14.5" customHeight="1" x14ac:dyDescent="0.2">
      <c r="A13" s="248" t="s">
        <v>343</v>
      </c>
      <c r="B13" s="325" t="s">
        <v>346</v>
      </c>
      <c r="C13" s="325"/>
      <c r="D13" s="325"/>
      <c r="E13" s="325"/>
      <c r="F13" s="325"/>
      <c r="G13" s="325"/>
      <c r="H13" s="325"/>
      <c r="I13" s="325"/>
      <c r="J13" s="325"/>
      <c r="K13" s="325"/>
      <c r="L13" s="326"/>
    </row>
    <row r="14" spans="1:18" s="59" customFormat="1" ht="90.5" customHeight="1" x14ac:dyDescent="0.2">
      <c r="A14" s="240"/>
      <c r="B14" s="336"/>
      <c r="C14" s="336"/>
      <c r="D14" s="336"/>
      <c r="E14" s="336"/>
      <c r="F14" s="336"/>
      <c r="G14" s="336"/>
      <c r="H14" s="336"/>
      <c r="I14" s="336"/>
      <c r="J14" s="336"/>
      <c r="K14" s="336"/>
      <c r="L14" s="337"/>
    </row>
    <row r="15" spans="1:18" s="58" customFormat="1" ht="29" customHeight="1" x14ac:dyDescent="0.2">
      <c r="A15" s="248" t="s">
        <v>344</v>
      </c>
      <c r="B15" s="325" t="s">
        <v>347</v>
      </c>
      <c r="C15" s="325"/>
      <c r="D15" s="325"/>
      <c r="E15" s="325"/>
      <c r="F15" s="325"/>
      <c r="G15" s="325"/>
      <c r="H15" s="325"/>
      <c r="I15" s="325"/>
      <c r="J15" s="325"/>
      <c r="K15" s="325"/>
      <c r="L15" s="326"/>
    </row>
    <row r="16" spans="1:18" s="59" customFormat="1" ht="94.5" customHeight="1" x14ac:dyDescent="0.2">
      <c r="A16" s="240"/>
      <c r="B16" s="246"/>
      <c r="C16" s="246"/>
      <c r="D16" s="246"/>
      <c r="E16" s="246"/>
      <c r="F16" s="246"/>
      <c r="G16" s="246"/>
      <c r="H16" s="246"/>
      <c r="I16" s="246"/>
      <c r="J16" s="246"/>
      <c r="K16" s="246"/>
      <c r="L16" s="247"/>
    </row>
    <row r="17" spans="1:14" s="59" customFormat="1" ht="14.5" customHeight="1" x14ac:dyDescent="0.2">
      <c r="A17" s="334" t="s">
        <v>351</v>
      </c>
      <c r="B17" s="335"/>
      <c r="C17" s="335"/>
      <c r="D17" s="335"/>
      <c r="E17" s="245" t="s">
        <v>352</v>
      </c>
      <c r="F17" s="243"/>
      <c r="G17" s="243"/>
      <c r="H17" s="243"/>
      <c r="I17" s="243"/>
      <c r="J17" s="243"/>
      <c r="K17" s="243"/>
      <c r="L17" s="244"/>
    </row>
    <row r="18" spans="1:14" s="59" customFormat="1" ht="14.5" customHeight="1" x14ac:dyDescent="0.2">
      <c r="A18" s="113"/>
      <c r="B18" s="113"/>
      <c r="C18" s="113"/>
      <c r="D18" s="113"/>
      <c r="E18" s="113"/>
      <c r="F18" s="113"/>
      <c r="G18" s="113"/>
      <c r="H18" s="113"/>
      <c r="I18" s="113"/>
      <c r="J18" s="113"/>
      <c r="K18" s="113"/>
      <c r="L18" s="113"/>
    </row>
    <row r="19" spans="1:14" s="59" customFormat="1" ht="14.5" customHeight="1" x14ac:dyDescent="0.2">
      <c r="A19" s="305" t="s">
        <v>166</v>
      </c>
      <c r="B19" s="306"/>
      <c r="C19" s="306"/>
      <c r="D19" s="306"/>
      <c r="E19" s="306"/>
      <c r="F19" s="306"/>
      <c r="G19" s="306"/>
      <c r="H19" s="306"/>
      <c r="I19" s="306"/>
      <c r="J19" s="306"/>
      <c r="K19" s="306"/>
      <c r="L19" s="307"/>
    </row>
    <row r="20" spans="1:14" s="59" customFormat="1" ht="14.5" customHeight="1" x14ac:dyDescent="0.2">
      <c r="A20" s="308" t="s">
        <v>287</v>
      </c>
      <c r="B20" s="309"/>
      <c r="C20" s="309"/>
      <c r="D20" s="309"/>
      <c r="E20" s="309"/>
      <c r="F20" s="309"/>
      <c r="G20" s="309"/>
      <c r="H20" s="309"/>
      <c r="I20" s="309"/>
      <c r="J20" s="309"/>
      <c r="K20" s="309"/>
      <c r="L20" s="310"/>
    </row>
    <row r="21" spans="1:14" s="59" customFormat="1" ht="14.5" customHeight="1" x14ac:dyDescent="0.2">
      <c r="A21" s="311" t="s">
        <v>288</v>
      </c>
      <c r="B21" s="312"/>
      <c r="C21" s="312"/>
      <c r="D21" s="312"/>
      <c r="E21" s="312"/>
      <c r="F21" s="312"/>
      <c r="G21" s="312"/>
      <c r="H21" s="312"/>
      <c r="I21" s="312"/>
      <c r="J21" s="312"/>
      <c r="K21" s="312"/>
      <c r="L21" s="313"/>
    </row>
    <row r="22" spans="1:14" s="59" customFormat="1" ht="14.5" customHeight="1" x14ac:dyDescent="0.2">
      <c r="A22" s="311" t="s">
        <v>167</v>
      </c>
      <c r="B22" s="312"/>
      <c r="C22" s="312"/>
      <c r="D22" s="312"/>
      <c r="E22" s="312"/>
      <c r="F22" s="312"/>
      <c r="G22" s="312"/>
      <c r="H22" s="312"/>
      <c r="I22" s="312"/>
      <c r="J22" s="312"/>
      <c r="K22" s="312"/>
      <c r="L22" s="313"/>
    </row>
    <row r="23" spans="1:14" s="59" customFormat="1" ht="14.5" customHeight="1" x14ac:dyDescent="0.2">
      <c r="A23" s="314" t="s">
        <v>289</v>
      </c>
      <c r="B23" s="315"/>
      <c r="C23" s="315"/>
      <c r="D23" s="315"/>
      <c r="E23" s="315"/>
      <c r="F23" s="315"/>
      <c r="G23" s="315"/>
      <c r="H23" s="315"/>
      <c r="I23" s="315"/>
      <c r="J23" s="315"/>
      <c r="K23" s="315"/>
      <c r="L23" s="316"/>
    </row>
    <row r="24" spans="1:14" s="59" customFormat="1" ht="14.5" customHeight="1" x14ac:dyDescent="0.2">
      <c r="A24" s="113"/>
      <c r="B24" s="113"/>
      <c r="C24" s="113"/>
      <c r="D24" s="113"/>
      <c r="E24" s="113"/>
      <c r="F24" s="113"/>
      <c r="G24" s="113"/>
      <c r="H24" s="113"/>
      <c r="I24" s="113"/>
      <c r="J24" s="113"/>
      <c r="K24" s="113"/>
      <c r="L24" s="113"/>
    </row>
    <row r="25" spans="1:14" s="59" customFormat="1" ht="16.5" customHeight="1" x14ac:dyDescent="0.2">
      <c r="A25" s="317" t="s">
        <v>285</v>
      </c>
      <c r="B25" s="318"/>
      <c r="C25" s="318"/>
      <c r="D25" s="318"/>
      <c r="E25" s="318"/>
      <c r="F25" s="318"/>
      <c r="G25" s="318"/>
      <c r="H25" s="318"/>
      <c r="I25" s="318"/>
      <c r="J25" s="318"/>
      <c r="K25" s="318"/>
      <c r="L25" s="319"/>
      <c r="N25" s="1"/>
    </row>
    <row r="26" spans="1:14" s="59" customFormat="1" ht="16.5" customHeight="1" x14ac:dyDescent="0.2">
      <c r="A26" s="294" t="s">
        <v>176</v>
      </c>
      <c r="B26" s="295"/>
      <c r="C26" s="295"/>
      <c r="D26" s="295"/>
      <c r="E26" s="295"/>
      <c r="F26" s="295"/>
      <c r="G26" s="295"/>
      <c r="H26" s="295"/>
      <c r="I26" s="295"/>
      <c r="J26" s="295"/>
      <c r="K26" s="295"/>
      <c r="L26" s="296"/>
      <c r="N26" s="1"/>
    </row>
    <row r="27" spans="1:14" s="59" customFormat="1" ht="15" customHeight="1" x14ac:dyDescent="0.2">
      <c r="A27" s="222">
        <v>1</v>
      </c>
      <c r="B27" s="329" t="s">
        <v>175</v>
      </c>
      <c r="C27" s="329"/>
      <c r="D27" s="329"/>
      <c r="E27" s="329"/>
      <c r="F27" s="329"/>
      <c r="G27" s="329"/>
      <c r="H27" s="329"/>
      <c r="I27" s="329"/>
      <c r="J27" s="329"/>
      <c r="K27" s="329"/>
      <c r="L27" s="330"/>
    </row>
    <row r="28" spans="1:14" s="59" customFormat="1" ht="30" customHeight="1" x14ac:dyDescent="0.2">
      <c r="A28" s="222">
        <v>2</v>
      </c>
      <c r="B28" s="329" t="s">
        <v>281</v>
      </c>
      <c r="C28" s="329"/>
      <c r="D28" s="329"/>
      <c r="E28" s="329"/>
      <c r="F28" s="329"/>
      <c r="G28" s="329"/>
      <c r="H28" s="329"/>
      <c r="I28" s="329"/>
      <c r="J28" s="329"/>
      <c r="K28" s="329"/>
      <c r="L28" s="330"/>
      <c r="N28" s="106"/>
    </row>
    <row r="29" spans="1:14" s="59" customFormat="1" ht="15" customHeight="1" x14ac:dyDescent="0.2">
      <c r="A29" s="222">
        <v>3</v>
      </c>
      <c r="B29" s="329" t="s">
        <v>168</v>
      </c>
      <c r="C29" s="329"/>
      <c r="D29" s="329"/>
      <c r="E29" s="329"/>
      <c r="F29" s="329"/>
      <c r="G29" s="329"/>
      <c r="H29" s="329"/>
      <c r="I29" s="329"/>
      <c r="J29" s="329"/>
      <c r="K29" s="329"/>
      <c r="L29" s="330"/>
      <c r="N29" s="106"/>
    </row>
    <row r="30" spans="1:14" s="59" customFormat="1" ht="15" customHeight="1" x14ac:dyDescent="0.2">
      <c r="A30" s="222">
        <v>4</v>
      </c>
      <c r="B30" s="329" t="s">
        <v>290</v>
      </c>
      <c r="C30" s="329"/>
      <c r="D30" s="329"/>
      <c r="E30" s="329"/>
      <c r="F30" s="329"/>
      <c r="G30" s="329"/>
      <c r="H30" s="329"/>
      <c r="I30" s="329"/>
      <c r="J30" s="329"/>
      <c r="K30" s="329"/>
      <c r="L30" s="330"/>
      <c r="N30" s="106"/>
    </row>
    <row r="31" spans="1:14" s="59" customFormat="1" ht="15" customHeight="1" x14ac:dyDescent="0.2">
      <c r="A31" s="222">
        <v>5</v>
      </c>
      <c r="B31" s="329" t="s">
        <v>169</v>
      </c>
      <c r="C31" s="329"/>
      <c r="D31" s="329"/>
      <c r="E31" s="329"/>
      <c r="F31" s="329"/>
      <c r="G31" s="329"/>
      <c r="H31" s="329"/>
      <c r="I31" s="329"/>
      <c r="J31" s="329"/>
      <c r="K31" s="329"/>
      <c r="L31" s="330"/>
      <c r="N31" s="106"/>
    </row>
    <row r="32" spans="1:14" s="59" customFormat="1" ht="15" customHeight="1" x14ac:dyDescent="0.2">
      <c r="A32" s="222"/>
      <c r="B32" s="329" t="s">
        <v>170</v>
      </c>
      <c r="C32" s="329"/>
      <c r="D32" s="329"/>
      <c r="E32" s="329"/>
      <c r="F32" s="329"/>
      <c r="G32" s="329"/>
      <c r="H32" s="329"/>
      <c r="I32" s="329"/>
      <c r="J32" s="329"/>
      <c r="K32" s="329"/>
      <c r="L32" s="330"/>
      <c r="N32" s="106"/>
    </row>
    <row r="33" spans="1:14" s="59" customFormat="1" ht="15" customHeight="1" x14ac:dyDescent="0.2">
      <c r="A33" s="222"/>
      <c r="B33" s="329" t="s">
        <v>171</v>
      </c>
      <c r="C33" s="329"/>
      <c r="D33" s="329"/>
      <c r="E33" s="329"/>
      <c r="F33" s="329"/>
      <c r="G33" s="329"/>
      <c r="H33" s="329"/>
      <c r="I33" s="329"/>
      <c r="J33" s="329"/>
      <c r="K33" s="329"/>
      <c r="L33" s="330"/>
      <c r="N33" s="106"/>
    </row>
    <row r="34" spans="1:14" s="59" customFormat="1" ht="15" customHeight="1" x14ac:dyDescent="0.2">
      <c r="A34" s="331" t="s">
        <v>177</v>
      </c>
      <c r="B34" s="332"/>
      <c r="C34" s="332"/>
      <c r="D34" s="332"/>
      <c r="E34" s="332"/>
      <c r="F34" s="332"/>
      <c r="G34" s="332"/>
      <c r="H34" s="332"/>
      <c r="I34" s="332"/>
      <c r="J34" s="332"/>
      <c r="K34" s="332"/>
      <c r="L34" s="333"/>
      <c r="N34" s="106"/>
    </row>
    <row r="35" spans="1:14" s="59" customFormat="1" ht="15" customHeight="1" x14ac:dyDescent="0.2">
      <c r="A35" s="222">
        <v>1</v>
      </c>
      <c r="B35" s="329" t="s">
        <v>172</v>
      </c>
      <c r="C35" s="329"/>
      <c r="D35" s="329"/>
      <c r="E35" s="329"/>
      <c r="F35" s="329"/>
      <c r="G35" s="329"/>
      <c r="H35" s="329"/>
      <c r="I35" s="329"/>
      <c r="J35" s="329"/>
      <c r="K35" s="329"/>
      <c r="L35" s="330"/>
      <c r="N35" s="106"/>
    </row>
    <row r="36" spans="1:14" s="59" customFormat="1" ht="30.75" customHeight="1" x14ac:dyDescent="0.2">
      <c r="A36" s="222"/>
      <c r="B36" s="327" t="s">
        <v>291</v>
      </c>
      <c r="C36" s="327"/>
      <c r="D36" s="327"/>
      <c r="E36" s="327"/>
      <c r="F36" s="327"/>
      <c r="G36" s="327"/>
      <c r="H36" s="327"/>
      <c r="I36" s="327"/>
      <c r="J36" s="327"/>
      <c r="K36" s="327"/>
      <c r="L36" s="328"/>
      <c r="N36" s="106"/>
    </row>
    <row r="37" spans="1:14" s="59" customFormat="1" ht="29.5" customHeight="1" x14ac:dyDescent="0.2">
      <c r="A37" s="222">
        <v>2</v>
      </c>
      <c r="B37" s="329" t="s">
        <v>284</v>
      </c>
      <c r="C37" s="329"/>
      <c r="D37" s="329"/>
      <c r="E37" s="329"/>
      <c r="F37" s="329"/>
      <c r="G37" s="329"/>
      <c r="H37" s="329"/>
      <c r="I37" s="329"/>
      <c r="J37" s="329"/>
      <c r="K37" s="329"/>
      <c r="L37" s="330"/>
      <c r="N37" s="106"/>
    </row>
    <row r="38" spans="1:14" s="59" customFormat="1" ht="26.5" customHeight="1" x14ac:dyDescent="0.2">
      <c r="A38" s="222">
        <v>3</v>
      </c>
      <c r="B38" s="329" t="s">
        <v>273</v>
      </c>
      <c r="C38" s="329"/>
      <c r="D38" s="329"/>
      <c r="E38" s="329"/>
      <c r="F38" s="329"/>
      <c r="G38" s="329"/>
      <c r="H38" s="329"/>
      <c r="I38" s="329"/>
      <c r="J38" s="329"/>
      <c r="K38" s="329"/>
      <c r="L38" s="330"/>
      <c r="N38" s="106"/>
    </row>
    <row r="39" spans="1:14" s="59" customFormat="1" ht="26.5" customHeight="1" x14ac:dyDescent="0.2">
      <c r="A39" s="222">
        <v>4</v>
      </c>
      <c r="B39" s="329" t="s">
        <v>292</v>
      </c>
      <c r="C39" s="329"/>
      <c r="D39" s="329"/>
      <c r="E39" s="329"/>
      <c r="F39" s="329"/>
      <c r="G39" s="329"/>
      <c r="H39" s="329"/>
      <c r="I39" s="329"/>
      <c r="J39" s="329"/>
      <c r="K39" s="329"/>
      <c r="L39" s="330"/>
      <c r="N39" s="106"/>
    </row>
    <row r="40" spans="1:14" s="59" customFormat="1" ht="15" customHeight="1" x14ac:dyDescent="0.2">
      <c r="A40" s="222">
        <v>5</v>
      </c>
      <c r="B40" s="327" t="s">
        <v>274</v>
      </c>
      <c r="C40" s="327"/>
      <c r="D40" s="327"/>
      <c r="E40" s="327"/>
      <c r="F40" s="327"/>
      <c r="G40" s="327"/>
      <c r="H40" s="327"/>
      <c r="I40" s="327"/>
      <c r="J40" s="327"/>
      <c r="K40" s="327"/>
      <c r="L40" s="328"/>
      <c r="N40" s="106"/>
    </row>
    <row r="41" spans="1:14" s="59" customFormat="1" ht="28.5" customHeight="1" x14ac:dyDescent="0.2">
      <c r="A41" s="222">
        <v>6</v>
      </c>
      <c r="B41" s="327" t="s">
        <v>279</v>
      </c>
      <c r="C41" s="327"/>
      <c r="D41" s="327"/>
      <c r="E41" s="327"/>
      <c r="F41" s="327"/>
      <c r="G41" s="327"/>
      <c r="H41" s="327"/>
      <c r="I41" s="327"/>
      <c r="J41" s="327"/>
      <c r="K41" s="327"/>
      <c r="L41" s="328"/>
      <c r="N41" s="106"/>
    </row>
    <row r="42" spans="1:14" s="59" customFormat="1" ht="16.5" customHeight="1" x14ac:dyDescent="0.2">
      <c r="A42" s="222">
        <v>7</v>
      </c>
      <c r="B42" s="329" t="s">
        <v>275</v>
      </c>
      <c r="C42" s="329"/>
      <c r="D42" s="329"/>
      <c r="E42" s="329"/>
      <c r="F42" s="329"/>
      <c r="G42" s="329"/>
      <c r="H42" s="329"/>
      <c r="I42" s="329"/>
      <c r="J42" s="329"/>
      <c r="K42" s="329"/>
      <c r="L42" s="330"/>
    </row>
    <row r="43" spans="1:14" s="59" customFormat="1" ht="17.5" customHeight="1" x14ac:dyDescent="0.2">
      <c r="A43" s="222"/>
      <c r="B43" s="223"/>
      <c r="C43" s="223"/>
      <c r="D43" s="223"/>
      <c r="E43" s="223"/>
      <c r="F43" s="223"/>
      <c r="G43" s="223"/>
      <c r="H43" s="223"/>
      <c r="I43" s="223"/>
      <c r="J43" s="223"/>
      <c r="K43" s="223"/>
      <c r="L43" s="224"/>
    </row>
    <row r="44" spans="1:14" s="59" customFormat="1" ht="16.5" customHeight="1" x14ac:dyDescent="0.2">
      <c r="A44" s="331" t="s">
        <v>278</v>
      </c>
      <c r="B44" s="332"/>
      <c r="C44" s="332"/>
      <c r="D44" s="332"/>
      <c r="E44" s="332"/>
      <c r="F44" s="332"/>
      <c r="G44" s="332"/>
      <c r="H44" s="332"/>
      <c r="I44" s="332"/>
      <c r="J44" s="332"/>
      <c r="K44" s="332"/>
      <c r="L44" s="333"/>
    </row>
    <row r="45" spans="1:14" s="59" customFormat="1" ht="15" customHeight="1" x14ac:dyDescent="0.2">
      <c r="A45" s="225" t="s">
        <v>276</v>
      </c>
      <c r="B45" s="329" t="s">
        <v>173</v>
      </c>
      <c r="C45" s="329"/>
      <c r="D45" s="329"/>
      <c r="E45" s="329"/>
      <c r="F45" s="329"/>
      <c r="G45" s="329"/>
      <c r="H45" s="329"/>
      <c r="I45" s="329"/>
      <c r="J45" s="329"/>
      <c r="K45" s="329"/>
      <c r="L45" s="330"/>
    </row>
    <row r="46" spans="1:14" s="59" customFormat="1" ht="30.75" customHeight="1" x14ac:dyDescent="0.2">
      <c r="A46" s="226" t="s">
        <v>277</v>
      </c>
      <c r="B46" s="339" t="s">
        <v>280</v>
      </c>
      <c r="C46" s="339"/>
      <c r="D46" s="339"/>
      <c r="E46" s="339"/>
      <c r="F46" s="339"/>
      <c r="G46" s="339"/>
      <c r="H46" s="339"/>
      <c r="I46" s="339"/>
      <c r="J46" s="339"/>
      <c r="K46" s="339"/>
      <c r="L46" s="340"/>
    </row>
    <row r="47" spans="1:14" s="59" customFormat="1" ht="18" customHeight="1" x14ac:dyDescent="0.2">
      <c r="A47" s="160"/>
      <c r="B47" s="113"/>
      <c r="C47" s="113"/>
      <c r="D47" s="113"/>
      <c r="E47" s="113"/>
      <c r="F47" s="113"/>
      <c r="G47" s="113"/>
      <c r="H47" s="113"/>
      <c r="I47" s="113"/>
      <c r="J47" s="113"/>
      <c r="K47" s="113"/>
      <c r="L47" s="113"/>
    </row>
    <row r="48" spans="1:14" s="1" customFormat="1" ht="16.5" customHeight="1" x14ac:dyDescent="0.2">
      <c r="A48" s="341" t="s">
        <v>201</v>
      </c>
      <c r="B48" s="342"/>
      <c r="C48" s="342"/>
      <c r="D48" s="342"/>
      <c r="E48" s="342"/>
      <c r="F48" s="342"/>
      <c r="G48" s="342"/>
      <c r="H48" s="342"/>
      <c r="I48" s="342"/>
      <c r="J48" s="342"/>
      <c r="K48" s="342"/>
      <c r="L48" s="343"/>
    </row>
    <row r="49" spans="1:12" s="1" customFormat="1" ht="16.5" customHeight="1" x14ac:dyDescent="0.2">
      <c r="A49" s="229" t="s">
        <v>174</v>
      </c>
      <c r="B49" s="161"/>
      <c r="C49" s="161"/>
      <c r="D49" s="161"/>
      <c r="E49" s="161"/>
      <c r="F49" s="161"/>
      <c r="G49" s="161"/>
      <c r="H49" s="161"/>
      <c r="I49" s="161"/>
      <c r="J49" s="161"/>
      <c r="K49" s="161"/>
      <c r="L49" s="162"/>
    </row>
    <row r="50" spans="1:12" ht="14.25" customHeight="1" x14ac:dyDescent="0.2">
      <c r="B50" s="84"/>
      <c r="C50" s="84"/>
      <c r="D50" s="84"/>
      <c r="E50" s="84"/>
      <c r="F50" s="84"/>
      <c r="G50" s="84"/>
      <c r="H50" s="84"/>
      <c r="I50" s="84"/>
      <c r="J50" s="84"/>
      <c r="K50" s="84"/>
      <c r="L50" s="84"/>
    </row>
    <row r="51" spans="1:12" ht="16.5" customHeight="1" x14ac:dyDescent="0.2">
      <c r="A51" s="163" t="s">
        <v>127</v>
      </c>
      <c r="B51" s="164"/>
      <c r="C51" s="164"/>
      <c r="D51" s="165"/>
      <c r="E51" s="164"/>
      <c r="F51" s="164"/>
      <c r="G51" s="164"/>
      <c r="H51" s="164"/>
      <c r="I51" s="164"/>
      <c r="J51" s="164"/>
      <c r="K51" s="164"/>
      <c r="L51" s="166"/>
    </row>
    <row r="52" spans="1:12" ht="15" customHeight="1" x14ac:dyDescent="0.2">
      <c r="A52" s="167"/>
      <c r="B52" s="168" t="s">
        <v>24</v>
      </c>
      <c r="C52" s="169" t="s">
        <v>40</v>
      </c>
      <c r="D52" s="169"/>
      <c r="E52" s="169"/>
      <c r="F52" s="169"/>
      <c r="G52" s="169"/>
      <c r="H52" s="169"/>
      <c r="I52" s="169"/>
      <c r="J52" s="169"/>
      <c r="K52" s="169"/>
      <c r="L52" s="170"/>
    </row>
    <row r="53" spans="1:12" ht="14.25" customHeight="1" x14ac:dyDescent="0.2">
      <c r="A53" s="167"/>
      <c r="B53" s="168" t="s">
        <v>42</v>
      </c>
      <c r="C53" s="169" t="s">
        <v>52</v>
      </c>
      <c r="D53" s="169"/>
      <c r="E53" s="169"/>
      <c r="F53" s="169"/>
      <c r="G53" s="169"/>
      <c r="H53" s="169"/>
      <c r="I53" s="169"/>
      <c r="J53" s="169"/>
      <c r="K53" s="169"/>
      <c r="L53" s="170"/>
    </row>
    <row r="54" spans="1:12" s="58" customFormat="1" ht="33.75" customHeight="1" x14ac:dyDescent="0.2">
      <c r="A54" s="167"/>
      <c r="B54" s="168" t="s">
        <v>24</v>
      </c>
      <c r="C54" s="312" t="s">
        <v>265</v>
      </c>
      <c r="D54" s="312"/>
      <c r="E54" s="312"/>
      <c r="F54" s="312"/>
      <c r="G54" s="312"/>
      <c r="H54" s="312"/>
      <c r="I54" s="312"/>
      <c r="J54" s="312"/>
      <c r="K54" s="312"/>
      <c r="L54" s="313"/>
    </row>
    <row r="55" spans="1:12" s="58" customFormat="1" ht="33.75" customHeight="1" x14ac:dyDescent="0.2">
      <c r="A55" s="167"/>
      <c r="B55" s="168" t="s">
        <v>266</v>
      </c>
      <c r="C55" s="312" t="s">
        <v>267</v>
      </c>
      <c r="D55" s="312"/>
      <c r="E55" s="312"/>
      <c r="F55" s="312"/>
      <c r="G55" s="312"/>
      <c r="H55" s="312"/>
      <c r="I55" s="312"/>
      <c r="J55" s="312"/>
      <c r="K55" s="312"/>
      <c r="L55" s="313"/>
    </row>
    <row r="56" spans="1:12" s="58" customFormat="1" ht="33.75" customHeight="1" x14ac:dyDescent="0.2">
      <c r="A56" s="167"/>
      <c r="B56" s="168" t="s">
        <v>334</v>
      </c>
      <c r="C56" s="312" t="s">
        <v>335</v>
      </c>
      <c r="D56" s="312"/>
      <c r="E56" s="312"/>
      <c r="F56" s="312"/>
      <c r="G56" s="312"/>
      <c r="H56" s="312"/>
      <c r="I56" s="312"/>
      <c r="J56" s="312"/>
      <c r="K56" s="312"/>
      <c r="L56" s="313"/>
    </row>
    <row r="57" spans="1:12" ht="30.75" customHeight="1" x14ac:dyDescent="0.2">
      <c r="A57" s="167"/>
      <c r="B57" s="168" t="s">
        <v>99</v>
      </c>
      <c r="C57" s="312" t="s">
        <v>100</v>
      </c>
      <c r="D57" s="312"/>
      <c r="E57" s="312"/>
      <c r="F57" s="312"/>
      <c r="G57" s="312"/>
      <c r="H57" s="312"/>
      <c r="I57" s="312"/>
      <c r="J57" s="312"/>
      <c r="K57" s="312"/>
      <c r="L57" s="313"/>
    </row>
    <row r="58" spans="1:12" ht="30.75" customHeight="1" x14ac:dyDescent="0.2">
      <c r="A58" s="167"/>
      <c r="B58" s="168" t="s">
        <v>199</v>
      </c>
      <c r="C58" s="312" t="s">
        <v>200</v>
      </c>
      <c r="D58" s="312"/>
      <c r="E58" s="312"/>
      <c r="F58" s="312"/>
      <c r="G58" s="312"/>
      <c r="H58" s="312"/>
      <c r="I58" s="312"/>
      <c r="J58" s="312"/>
      <c r="K58" s="312"/>
      <c r="L58" s="313"/>
    </row>
    <row r="59" spans="1:12" x14ac:dyDescent="0.2">
      <c r="A59" s="167"/>
      <c r="B59" s="168" t="s">
        <v>164</v>
      </c>
      <c r="C59" s="169" t="s">
        <v>268</v>
      </c>
      <c r="D59" s="169"/>
      <c r="E59" s="169"/>
      <c r="F59" s="169"/>
      <c r="G59" s="169"/>
      <c r="H59" s="169"/>
      <c r="I59" s="169"/>
      <c r="J59" s="169"/>
      <c r="K59" s="169"/>
      <c r="L59" s="170"/>
    </row>
    <row r="60" spans="1:12" ht="14.5" customHeight="1" x14ac:dyDescent="0.2">
      <c r="A60" s="167"/>
      <c r="B60" s="168" t="s">
        <v>401</v>
      </c>
      <c r="C60" s="312" t="s">
        <v>402</v>
      </c>
      <c r="D60" s="312"/>
      <c r="E60" s="312"/>
      <c r="F60" s="312"/>
      <c r="G60" s="312"/>
      <c r="H60" s="312"/>
      <c r="I60" s="312"/>
      <c r="J60" s="312"/>
      <c r="K60" s="312"/>
      <c r="L60" s="313"/>
    </row>
    <row r="61" spans="1:12" x14ac:dyDescent="0.2">
      <c r="A61" s="167"/>
      <c r="B61" s="168" t="s">
        <v>36</v>
      </c>
      <c r="C61" s="169" t="s">
        <v>37</v>
      </c>
      <c r="D61" s="169"/>
      <c r="E61" s="169"/>
      <c r="F61" s="169"/>
      <c r="G61" s="169"/>
      <c r="H61" s="169"/>
      <c r="I61" s="169"/>
      <c r="J61" s="169"/>
      <c r="K61" s="169"/>
      <c r="L61" s="170"/>
    </row>
    <row r="62" spans="1:12" x14ac:dyDescent="0.2">
      <c r="A62" s="171"/>
      <c r="B62" s="172" t="s">
        <v>120</v>
      </c>
      <c r="C62" s="173" t="s">
        <v>121</v>
      </c>
      <c r="D62" s="173"/>
      <c r="E62" s="173"/>
      <c r="F62" s="173"/>
      <c r="G62" s="173"/>
      <c r="H62" s="173"/>
      <c r="I62" s="173"/>
      <c r="J62" s="173"/>
      <c r="K62" s="173"/>
      <c r="L62" s="174"/>
    </row>
    <row r="64" spans="1:12" x14ac:dyDescent="0.2">
      <c r="A64" s="1" t="s">
        <v>53</v>
      </c>
    </row>
    <row r="65" spans="1:2" x14ac:dyDescent="0.2">
      <c r="A65" s="1" t="s">
        <v>54</v>
      </c>
    </row>
    <row r="66" spans="1:2" x14ac:dyDescent="0.2">
      <c r="A66" t="s">
        <v>55</v>
      </c>
    </row>
    <row r="67" spans="1:2" x14ac:dyDescent="0.2">
      <c r="A67" s="45" t="s">
        <v>56</v>
      </c>
    </row>
    <row r="68" spans="1:2" x14ac:dyDescent="0.2">
      <c r="A68" s="45" t="s">
        <v>57</v>
      </c>
    </row>
    <row r="69" spans="1:2" x14ac:dyDescent="0.2">
      <c r="A69" s="45"/>
    </row>
    <row r="70" spans="1:2" x14ac:dyDescent="0.2">
      <c r="A70" s="45"/>
      <c r="B70" s="1" t="s">
        <v>403</v>
      </c>
    </row>
    <row r="71" spans="1:2" x14ac:dyDescent="0.2">
      <c r="A71" s="45"/>
      <c r="B71" t="s">
        <v>55</v>
      </c>
    </row>
    <row r="72" spans="1:2" x14ac:dyDescent="0.2">
      <c r="A72" s="45"/>
      <c r="B72" s="45" t="s">
        <v>404</v>
      </c>
    </row>
    <row r="73" spans="1:2" x14ac:dyDescent="0.2">
      <c r="A73" s="45"/>
    </row>
    <row r="74" spans="1:2" x14ac:dyDescent="0.2">
      <c r="A74" s="242" t="s">
        <v>348</v>
      </c>
    </row>
    <row r="75" spans="1:2" x14ac:dyDescent="0.2">
      <c r="A75" s="241" t="s">
        <v>349</v>
      </c>
    </row>
    <row r="76" spans="1:2" x14ac:dyDescent="0.2">
      <c r="A76" s="45" t="s">
        <v>350</v>
      </c>
    </row>
    <row r="77" spans="1:2" x14ac:dyDescent="0.2">
      <c r="A77" s="45"/>
    </row>
    <row r="78" spans="1:2" x14ac:dyDescent="0.2">
      <c r="A78" s="1" t="s">
        <v>162</v>
      </c>
    </row>
    <row r="79" spans="1:2" x14ac:dyDescent="0.2">
      <c r="A79" s="45" t="s">
        <v>269</v>
      </c>
    </row>
    <row r="81" spans="1:12" x14ac:dyDescent="0.2">
      <c r="A81" s="1" t="s">
        <v>23</v>
      </c>
    </row>
    <row r="82" spans="1:12" ht="29.25" customHeight="1" x14ac:dyDescent="0.2">
      <c r="A82" s="338" t="s">
        <v>405</v>
      </c>
      <c r="B82" s="338"/>
      <c r="C82" s="338"/>
      <c r="D82" s="338"/>
      <c r="E82" s="338"/>
      <c r="F82" s="338"/>
      <c r="G82" s="338"/>
      <c r="H82" s="338"/>
      <c r="I82" s="338"/>
      <c r="J82" s="338"/>
      <c r="K82" s="338"/>
      <c r="L82" s="338"/>
    </row>
    <row r="87" spans="1:12" ht="16" customHeight="1" x14ac:dyDescent="0.2"/>
    <row r="88" spans="1:12" ht="29.25" customHeight="1" x14ac:dyDescent="0.2"/>
  </sheetData>
  <mergeCells count="47">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B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baseColWidth="10" defaultColWidth="8.83203125" defaultRowHeight="15" x14ac:dyDescent="0.2"/>
  <cols>
    <col min="1" max="2" width="8.6640625" style="59"/>
    <col min="3" max="3" width="3.6640625" style="59" customWidth="1"/>
    <col min="4" max="4" width="46.5" style="59" customWidth="1"/>
  </cols>
  <sheetData>
    <row r="1" spans="1:4" x14ac:dyDescent="0.2">
      <c r="A1" s="59" t="s">
        <v>119</v>
      </c>
    </row>
    <row r="3" spans="1:4" s="1" customFormat="1" x14ac:dyDescent="0.2">
      <c r="A3" s="393" t="s">
        <v>117</v>
      </c>
      <c r="B3" s="393"/>
      <c r="C3" s="393"/>
      <c r="D3" s="128" t="s">
        <v>116</v>
      </c>
    </row>
    <row r="4" spans="1:4" ht="30" customHeight="1" x14ac:dyDescent="0.2">
      <c r="A4" s="394" t="s">
        <v>113</v>
      </c>
      <c r="B4" s="394"/>
      <c r="C4" s="394"/>
      <c r="D4" s="175" t="s">
        <v>183</v>
      </c>
    </row>
    <row r="5" spans="1:4" ht="48" x14ac:dyDescent="0.2">
      <c r="A5" s="398" t="s">
        <v>184</v>
      </c>
      <c r="B5" s="395"/>
      <c r="C5" s="395"/>
      <c r="D5" s="176" t="s">
        <v>202</v>
      </c>
    </row>
    <row r="6" spans="1:4" ht="57.5" customHeight="1" x14ac:dyDescent="0.2">
      <c r="A6" s="396" t="s">
        <v>185</v>
      </c>
      <c r="B6" s="396"/>
      <c r="C6" s="396"/>
      <c r="D6" s="177" t="s">
        <v>186</v>
      </c>
    </row>
    <row r="7" spans="1:4" ht="32" x14ac:dyDescent="0.2">
      <c r="A7" s="397" t="s">
        <v>21</v>
      </c>
      <c r="B7" s="397"/>
      <c r="C7" s="397"/>
      <c r="D7" s="178" t="s">
        <v>187</v>
      </c>
    </row>
    <row r="11" spans="1:4" x14ac:dyDescent="0.2">
      <c r="A11" s="394" t="s">
        <v>113</v>
      </c>
      <c r="B11" s="394"/>
      <c r="C11" s="394"/>
    </row>
    <row r="12" spans="1:4" x14ac:dyDescent="0.2">
      <c r="A12" s="395" t="s">
        <v>114</v>
      </c>
      <c r="B12" s="395"/>
      <c r="C12" s="395"/>
    </row>
    <row r="13" spans="1:4" x14ac:dyDescent="0.2">
      <c r="A13" s="396" t="s">
        <v>115</v>
      </c>
      <c r="B13" s="396"/>
      <c r="C13" s="396"/>
    </row>
    <row r="14" spans="1:4" x14ac:dyDescent="0.2">
      <c r="A14" s="397" t="s">
        <v>21</v>
      </c>
      <c r="B14" s="397"/>
      <c r="C14" s="397"/>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T26"/>
  <sheetViews>
    <sheetView topLeftCell="A3" zoomScale="142" workbookViewId="0">
      <selection activeCell="J8" sqref="J8"/>
    </sheetView>
  </sheetViews>
  <sheetFormatPr baseColWidth="10" defaultRowHeight="15" x14ac:dyDescent="0.2"/>
  <cols>
    <col min="1" max="1" width="17.6640625" bestFit="1" customWidth="1"/>
    <col min="3" max="3" width="18.6640625" customWidth="1"/>
  </cols>
  <sheetData>
    <row r="1" spans="1:20" x14ac:dyDescent="0.2">
      <c r="A1" s="1" t="s">
        <v>400</v>
      </c>
    </row>
    <row r="2" spans="1:20" ht="33" customHeight="1" x14ac:dyDescent="0.2">
      <c r="A2" s="399" t="s">
        <v>438</v>
      </c>
      <c r="B2" s="400"/>
      <c r="C2" s="400"/>
      <c r="D2" s="400"/>
      <c r="E2" s="400"/>
      <c r="F2" s="400"/>
      <c r="G2" s="400"/>
      <c r="H2" s="400"/>
      <c r="I2" s="400"/>
      <c r="J2" s="400"/>
      <c r="K2" s="400"/>
      <c r="L2" s="400"/>
      <c r="M2" s="400"/>
      <c r="N2" s="400"/>
      <c r="O2" s="400"/>
      <c r="P2" s="400"/>
      <c r="Q2" s="400"/>
      <c r="R2" s="400"/>
      <c r="S2" s="400"/>
      <c r="T2" s="400"/>
    </row>
    <row r="3" spans="1:20" ht="16" thickBot="1" x14ac:dyDescent="0.25"/>
    <row r="4" spans="1:20" ht="32" x14ac:dyDescent="0.2">
      <c r="A4" s="286" t="s">
        <v>359</v>
      </c>
      <c r="B4" s="287" t="s">
        <v>360</v>
      </c>
      <c r="C4" s="288" t="s">
        <v>437</v>
      </c>
      <c r="D4" s="289" t="s">
        <v>361</v>
      </c>
      <c r="E4" s="289" t="s">
        <v>362</v>
      </c>
      <c r="F4" s="289" t="s">
        <v>363</v>
      </c>
      <c r="G4" s="289" t="s">
        <v>364</v>
      </c>
      <c r="H4" s="289" t="s">
        <v>365</v>
      </c>
      <c r="I4" s="290" t="s">
        <v>366</v>
      </c>
    </row>
    <row r="5" spans="1:20" x14ac:dyDescent="0.2">
      <c r="A5" s="291" t="s">
        <v>367</v>
      </c>
      <c r="B5" s="250">
        <v>64</v>
      </c>
      <c r="C5">
        <v>0</v>
      </c>
      <c r="D5" s="2">
        <v>8</v>
      </c>
      <c r="E5">
        <v>122</v>
      </c>
      <c r="F5">
        <v>0</v>
      </c>
      <c r="G5">
        <v>0</v>
      </c>
      <c r="H5">
        <v>0</v>
      </c>
      <c r="I5" s="251">
        <f t="shared" ref="I5:I26" si="0">AVERAGE(F5:H5)</f>
        <v>0</v>
      </c>
    </row>
    <row r="6" spans="1:20" x14ac:dyDescent="0.2">
      <c r="A6" s="292" t="s">
        <v>368</v>
      </c>
      <c r="B6" s="250">
        <v>112</v>
      </c>
      <c r="C6" s="250">
        <v>11.6</v>
      </c>
      <c r="D6" s="2" t="s">
        <v>369</v>
      </c>
      <c r="E6">
        <v>81</v>
      </c>
      <c r="F6">
        <v>2.8</v>
      </c>
      <c r="G6">
        <v>4.7</v>
      </c>
      <c r="H6">
        <v>4.2</v>
      </c>
      <c r="I6" s="251">
        <f t="shared" si="0"/>
        <v>3.9</v>
      </c>
    </row>
    <row r="7" spans="1:20" x14ac:dyDescent="0.2">
      <c r="A7" s="292" t="s">
        <v>370</v>
      </c>
      <c r="B7" s="250">
        <v>100</v>
      </c>
      <c r="C7">
        <v>14.1</v>
      </c>
      <c r="D7" s="2" t="s">
        <v>369</v>
      </c>
      <c r="E7">
        <v>13</v>
      </c>
      <c r="F7">
        <v>10</v>
      </c>
      <c r="G7">
        <v>-1.3</v>
      </c>
      <c r="H7">
        <v>5.4</v>
      </c>
      <c r="I7" s="251">
        <f t="shared" si="0"/>
        <v>4.7</v>
      </c>
    </row>
    <row r="8" spans="1:20" x14ac:dyDescent="0.2">
      <c r="A8" s="292" t="s">
        <v>371</v>
      </c>
      <c r="B8" s="250">
        <v>97</v>
      </c>
      <c r="C8">
        <v>14.1</v>
      </c>
      <c r="D8" s="2" t="s">
        <v>372</v>
      </c>
      <c r="E8">
        <v>147</v>
      </c>
      <c r="F8">
        <v>3.8</v>
      </c>
      <c r="G8">
        <v>6.3</v>
      </c>
      <c r="H8">
        <v>4</v>
      </c>
      <c r="I8" s="251">
        <f t="shared" si="0"/>
        <v>4.7</v>
      </c>
      <c r="J8" s="401" t="s">
        <v>440</v>
      </c>
    </row>
    <row r="9" spans="1:20" x14ac:dyDescent="0.2">
      <c r="A9" s="292" t="s">
        <v>373</v>
      </c>
      <c r="B9" s="250">
        <v>112</v>
      </c>
      <c r="C9">
        <v>16.5</v>
      </c>
      <c r="D9" s="2" t="s">
        <v>374</v>
      </c>
      <c r="E9">
        <v>103</v>
      </c>
      <c r="F9">
        <v>5.9</v>
      </c>
      <c r="G9">
        <v>5.0999999999999996</v>
      </c>
      <c r="H9">
        <v>5.5</v>
      </c>
      <c r="I9" s="251">
        <f t="shared" si="0"/>
        <v>5.5</v>
      </c>
      <c r="J9" s="401" t="s">
        <v>439</v>
      </c>
    </row>
    <row r="10" spans="1:20" x14ac:dyDescent="0.2">
      <c r="A10" s="292" t="s">
        <v>375</v>
      </c>
      <c r="B10" s="250">
        <v>100</v>
      </c>
      <c r="C10">
        <v>16.600000000000001</v>
      </c>
      <c r="D10" s="2" t="s">
        <v>376</v>
      </c>
      <c r="E10">
        <v>26</v>
      </c>
      <c r="F10">
        <v>5.5</v>
      </c>
      <c r="G10">
        <v>5.5</v>
      </c>
      <c r="H10">
        <v>5.5</v>
      </c>
      <c r="I10" s="251">
        <f t="shared" si="0"/>
        <v>5.5</v>
      </c>
    </row>
    <row r="11" spans="1:20" x14ac:dyDescent="0.2">
      <c r="A11" s="292" t="s">
        <v>377</v>
      </c>
      <c r="B11" s="250">
        <v>112</v>
      </c>
      <c r="C11" s="250">
        <v>16.600000000000001</v>
      </c>
      <c r="D11" s="2" t="s">
        <v>369</v>
      </c>
      <c r="E11">
        <v>81</v>
      </c>
      <c r="F11">
        <v>3.8</v>
      </c>
      <c r="G11">
        <v>6.6</v>
      </c>
      <c r="H11">
        <v>6.1</v>
      </c>
      <c r="I11" s="251">
        <f t="shared" si="0"/>
        <v>5.5</v>
      </c>
      <c r="J11" s="401" t="s">
        <v>439</v>
      </c>
    </row>
    <row r="12" spans="1:20" x14ac:dyDescent="0.2">
      <c r="A12" s="292" t="s">
        <v>378</v>
      </c>
      <c r="B12" s="250">
        <v>100</v>
      </c>
      <c r="C12" s="250">
        <v>17.8</v>
      </c>
      <c r="D12" s="2" t="s">
        <v>379</v>
      </c>
      <c r="E12">
        <v>31</v>
      </c>
      <c r="F12">
        <v>5.9</v>
      </c>
      <c r="G12">
        <v>5.9</v>
      </c>
      <c r="H12">
        <v>5.9</v>
      </c>
      <c r="I12" s="251">
        <f t="shared" si="0"/>
        <v>5.9000000000000012</v>
      </c>
    </row>
    <row r="13" spans="1:20" x14ac:dyDescent="0.2">
      <c r="A13" s="292" t="s">
        <v>380</v>
      </c>
      <c r="B13" s="250">
        <v>100</v>
      </c>
      <c r="C13">
        <v>18</v>
      </c>
      <c r="D13" s="2" t="s">
        <v>381</v>
      </c>
      <c r="E13">
        <v>18</v>
      </c>
      <c r="F13">
        <v>11</v>
      </c>
      <c r="G13">
        <v>5.6</v>
      </c>
      <c r="H13">
        <v>8.1</v>
      </c>
      <c r="I13" s="251">
        <f t="shared" si="0"/>
        <v>8.2333333333333343</v>
      </c>
    </row>
    <row r="14" spans="1:20" x14ac:dyDescent="0.2">
      <c r="A14" s="292" t="s">
        <v>382</v>
      </c>
      <c r="B14" s="250">
        <v>112</v>
      </c>
      <c r="C14" s="250">
        <v>19.3</v>
      </c>
      <c r="D14" s="2" t="s">
        <v>369</v>
      </c>
      <c r="E14">
        <v>81</v>
      </c>
      <c r="F14">
        <v>4.4000000000000004</v>
      </c>
      <c r="G14">
        <v>7.8</v>
      </c>
      <c r="H14">
        <v>7.2</v>
      </c>
      <c r="I14" s="251">
        <f t="shared" si="0"/>
        <v>6.4666666666666659</v>
      </c>
    </row>
    <row r="15" spans="1:20" x14ac:dyDescent="0.2">
      <c r="A15" s="292" t="s">
        <v>383</v>
      </c>
      <c r="B15" s="250">
        <v>100</v>
      </c>
      <c r="C15">
        <v>20.399999999999999</v>
      </c>
      <c r="D15" s="2" t="s">
        <v>384</v>
      </c>
      <c r="E15">
        <v>48</v>
      </c>
      <c r="F15">
        <v>5.9</v>
      </c>
      <c r="G15">
        <v>5.9</v>
      </c>
      <c r="H15">
        <v>8.5</v>
      </c>
      <c r="I15" s="251">
        <f t="shared" si="0"/>
        <v>6.7666666666666666</v>
      </c>
    </row>
    <row r="16" spans="1:20" x14ac:dyDescent="0.2">
      <c r="A16" s="292" t="s">
        <v>385</v>
      </c>
      <c r="B16" s="250">
        <v>100</v>
      </c>
      <c r="C16" s="250">
        <v>20.399999999999999</v>
      </c>
      <c r="D16" s="2" t="s">
        <v>386</v>
      </c>
      <c r="E16">
        <v>45</v>
      </c>
      <c r="F16">
        <v>8.3000000000000007</v>
      </c>
      <c r="G16">
        <v>6.6</v>
      </c>
      <c r="H16">
        <v>5.5</v>
      </c>
      <c r="I16" s="251">
        <f t="shared" si="0"/>
        <v>6.8</v>
      </c>
    </row>
    <row r="17" spans="1:9" x14ac:dyDescent="0.2">
      <c r="A17" s="292" t="s">
        <v>387</v>
      </c>
      <c r="B17" s="250">
        <v>100</v>
      </c>
      <c r="C17" s="250">
        <v>20.5</v>
      </c>
      <c r="D17" s="2" t="s">
        <v>388</v>
      </c>
      <c r="E17">
        <v>2</v>
      </c>
      <c r="F17">
        <v>8.6</v>
      </c>
      <c r="G17">
        <v>5.9</v>
      </c>
      <c r="H17">
        <v>5.9</v>
      </c>
      <c r="I17" s="251">
        <f t="shared" si="0"/>
        <v>6.8</v>
      </c>
    </row>
    <row r="18" spans="1:9" x14ac:dyDescent="0.2">
      <c r="A18" s="292" t="s">
        <v>389</v>
      </c>
      <c r="B18" s="250">
        <v>1</v>
      </c>
      <c r="C18">
        <v>20.9</v>
      </c>
      <c r="D18" s="2" t="s">
        <v>379</v>
      </c>
      <c r="E18">
        <v>430</v>
      </c>
      <c r="F18">
        <v>6.4</v>
      </c>
      <c r="G18">
        <v>8.4</v>
      </c>
      <c r="H18">
        <v>6.1</v>
      </c>
      <c r="I18" s="251">
        <f t="shared" si="0"/>
        <v>6.9666666666666659</v>
      </c>
    </row>
    <row r="19" spans="1:9" x14ac:dyDescent="0.2">
      <c r="A19" s="292" t="s">
        <v>390</v>
      </c>
      <c r="B19" s="250">
        <v>1</v>
      </c>
      <c r="C19">
        <v>20.9</v>
      </c>
      <c r="D19" s="2" t="s">
        <v>379</v>
      </c>
      <c r="E19">
        <v>430</v>
      </c>
      <c r="F19">
        <v>6.4</v>
      </c>
      <c r="G19">
        <v>8.4</v>
      </c>
      <c r="H19">
        <v>6.1</v>
      </c>
      <c r="I19" s="251">
        <f t="shared" si="0"/>
        <v>6.9666666666666659</v>
      </c>
    </row>
    <row r="20" spans="1:9" x14ac:dyDescent="0.2">
      <c r="A20" s="292" t="s">
        <v>391</v>
      </c>
      <c r="B20" s="250">
        <v>112</v>
      </c>
      <c r="C20" s="250">
        <v>21.7</v>
      </c>
      <c r="D20" s="2" t="s">
        <v>369</v>
      </c>
      <c r="E20">
        <v>81</v>
      </c>
      <c r="F20">
        <v>4.9000000000000004</v>
      </c>
      <c r="G20">
        <v>8.6999999999999993</v>
      </c>
      <c r="H20">
        <v>8.1</v>
      </c>
      <c r="I20" s="251">
        <f t="shared" si="0"/>
        <v>7.2333333333333334</v>
      </c>
    </row>
    <row r="21" spans="1:9" x14ac:dyDescent="0.2">
      <c r="A21" s="292" t="s">
        <v>392</v>
      </c>
      <c r="B21" s="250">
        <v>112</v>
      </c>
      <c r="C21" s="250">
        <v>21.8</v>
      </c>
      <c r="D21" s="2" t="s">
        <v>369</v>
      </c>
      <c r="E21">
        <v>81</v>
      </c>
      <c r="F21">
        <v>5</v>
      </c>
      <c r="G21">
        <v>8.6999999999999993</v>
      </c>
      <c r="H21">
        <v>8.1</v>
      </c>
      <c r="I21" s="251">
        <f t="shared" si="0"/>
        <v>7.2666666666666657</v>
      </c>
    </row>
    <row r="22" spans="1:9" x14ac:dyDescent="0.2">
      <c r="A22" s="292" t="s">
        <v>393</v>
      </c>
      <c r="B22" s="250">
        <v>112</v>
      </c>
      <c r="C22" s="250">
        <v>24.2</v>
      </c>
      <c r="D22" s="2" t="s">
        <v>394</v>
      </c>
      <c r="E22">
        <v>80</v>
      </c>
      <c r="F22">
        <v>5.5</v>
      </c>
      <c r="G22">
        <v>9.6999999999999993</v>
      </c>
      <c r="H22">
        <v>9</v>
      </c>
      <c r="I22" s="251">
        <f t="shared" si="0"/>
        <v>8.0666666666666664</v>
      </c>
    </row>
    <row r="23" spans="1:9" x14ac:dyDescent="0.2">
      <c r="A23" s="292" t="s">
        <v>395</v>
      </c>
      <c r="B23" s="250">
        <v>100</v>
      </c>
      <c r="C23" s="250">
        <v>24.8</v>
      </c>
      <c r="D23" s="2" t="s">
        <v>396</v>
      </c>
      <c r="E23">
        <v>5</v>
      </c>
      <c r="F23">
        <v>8.4</v>
      </c>
      <c r="G23">
        <v>5.9</v>
      </c>
      <c r="H23">
        <v>10.5</v>
      </c>
      <c r="I23" s="251">
        <f t="shared" si="0"/>
        <v>8.2666666666666675</v>
      </c>
    </row>
    <row r="24" spans="1:9" x14ac:dyDescent="0.2">
      <c r="A24" s="292" t="s">
        <v>397</v>
      </c>
      <c r="B24" s="250">
        <v>1</v>
      </c>
      <c r="C24" s="250">
        <v>26.1</v>
      </c>
      <c r="D24" s="252" t="s">
        <v>379</v>
      </c>
      <c r="E24" s="250">
        <v>97</v>
      </c>
      <c r="F24" s="250">
        <v>5.9</v>
      </c>
      <c r="G24" s="250">
        <v>10.5</v>
      </c>
      <c r="H24" s="250">
        <v>9.6</v>
      </c>
      <c r="I24" s="251">
        <f t="shared" si="0"/>
        <v>8.6666666666666661</v>
      </c>
    </row>
    <row r="25" spans="1:9" x14ac:dyDescent="0.2">
      <c r="A25" s="292" t="s">
        <v>398</v>
      </c>
      <c r="B25" s="250">
        <v>1</v>
      </c>
      <c r="C25">
        <v>26.1</v>
      </c>
      <c r="D25" s="2" t="s">
        <v>379</v>
      </c>
      <c r="E25">
        <v>72</v>
      </c>
      <c r="F25">
        <v>5.9</v>
      </c>
      <c r="G25">
        <v>10.5</v>
      </c>
      <c r="H25">
        <v>9.6</v>
      </c>
      <c r="I25" s="251">
        <f t="shared" si="0"/>
        <v>8.6666666666666661</v>
      </c>
    </row>
    <row r="26" spans="1:9" ht="16" thickBot="1" x14ac:dyDescent="0.25">
      <c r="A26" s="293" t="s">
        <v>399</v>
      </c>
      <c r="B26" s="253">
        <v>1</v>
      </c>
      <c r="C26" s="254">
        <v>26.1</v>
      </c>
      <c r="D26" s="255" t="s">
        <v>379</v>
      </c>
      <c r="E26" s="254">
        <v>15</v>
      </c>
      <c r="F26" s="254">
        <v>5.9</v>
      </c>
      <c r="G26" s="254">
        <v>10.5</v>
      </c>
      <c r="H26" s="254">
        <v>9.6</v>
      </c>
      <c r="I26" s="256">
        <f t="shared" si="0"/>
        <v>8.6666666666666661</v>
      </c>
    </row>
  </sheetData>
  <mergeCells count="1">
    <mergeCell ref="A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opLeftCell="A5" zoomScale="150" zoomScaleNormal="150" workbookViewId="0">
      <selection activeCell="C12" sqref="C12"/>
    </sheetView>
  </sheetViews>
  <sheetFormatPr baseColWidth="10" defaultColWidth="8.83203125" defaultRowHeight="15" x14ac:dyDescent="0.2"/>
  <cols>
    <col min="1" max="1" width="12.5" style="39" customWidth="1"/>
    <col min="2" max="2" width="7.83203125" style="150" customWidth="1"/>
    <col min="3" max="3" width="29.83203125" style="38" customWidth="1"/>
    <col min="4" max="4" width="7.33203125" style="41" customWidth="1"/>
    <col min="5" max="5" width="12.5" style="41" customWidth="1"/>
    <col min="6" max="6" width="15.1640625" style="41" customWidth="1"/>
    <col min="7" max="7" width="12" style="39" customWidth="1"/>
    <col min="9" max="9" width="32.5" style="54" customWidth="1"/>
    <col min="10" max="10" width="12.5" style="54" customWidth="1"/>
    <col min="11" max="11" width="11" style="109" customWidth="1"/>
  </cols>
  <sheetData>
    <row r="1" spans="1:11" s="35" customFormat="1" ht="30.75" customHeight="1" x14ac:dyDescent="0.2">
      <c r="A1" s="36" t="s">
        <v>43</v>
      </c>
      <c r="B1" s="148" t="s">
        <v>49</v>
      </c>
      <c r="C1" s="37" t="s">
        <v>44</v>
      </c>
      <c r="D1" s="36" t="s">
        <v>242</v>
      </c>
      <c r="E1" s="36" t="s">
        <v>46</v>
      </c>
      <c r="F1" s="36" t="s">
        <v>45</v>
      </c>
      <c r="G1" s="36" t="s">
        <v>47</v>
      </c>
      <c r="I1" s="107" t="s">
        <v>58</v>
      </c>
      <c r="J1" s="107" t="s">
        <v>45</v>
      </c>
      <c r="K1" s="108" t="s">
        <v>47</v>
      </c>
    </row>
    <row r="2" spans="1:11" ht="32" x14ac:dyDescent="0.2">
      <c r="A2" s="57">
        <v>45413</v>
      </c>
      <c r="B2" s="149" t="s">
        <v>240</v>
      </c>
      <c r="C2" s="56" t="s">
        <v>244</v>
      </c>
      <c r="D2" s="55">
        <v>0.3</v>
      </c>
      <c r="E2" s="55" t="s">
        <v>241</v>
      </c>
      <c r="F2" s="55" t="s">
        <v>241</v>
      </c>
      <c r="G2" s="57"/>
      <c r="I2" s="38"/>
      <c r="J2" s="38"/>
      <c r="K2" s="40"/>
    </row>
    <row r="3" spans="1:11" ht="48" x14ac:dyDescent="0.2">
      <c r="A3" s="57">
        <v>45604</v>
      </c>
      <c r="B3" s="149" t="s">
        <v>243</v>
      </c>
      <c r="C3" s="56" t="s">
        <v>270</v>
      </c>
      <c r="D3" s="55">
        <v>4</v>
      </c>
      <c r="E3" s="55" t="s">
        <v>241</v>
      </c>
      <c r="F3" s="55" t="s">
        <v>241</v>
      </c>
      <c r="G3" s="57"/>
      <c r="I3" s="38"/>
      <c r="J3" s="38"/>
      <c r="K3" s="39"/>
    </row>
    <row r="4" spans="1:11" ht="16" x14ac:dyDescent="0.2">
      <c r="A4" s="57">
        <v>45611</v>
      </c>
      <c r="B4" s="149" t="s">
        <v>271</v>
      </c>
      <c r="C4" s="56" t="s">
        <v>272</v>
      </c>
      <c r="D4" s="55">
        <v>0.3</v>
      </c>
      <c r="E4" s="55" t="s">
        <v>241</v>
      </c>
      <c r="F4" s="55" t="s">
        <v>241</v>
      </c>
      <c r="G4" s="57"/>
      <c r="I4" s="38"/>
      <c r="J4" s="38"/>
      <c r="K4" s="40"/>
    </row>
    <row r="5" spans="1:11" ht="40.5" customHeight="1" x14ac:dyDescent="0.2">
      <c r="A5" s="57">
        <v>45622</v>
      </c>
      <c r="B5" s="149" t="s">
        <v>298</v>
      </c>
      <c r="C5" s="56" t="s">
        <v>299</v>
      </c>
      <c r="D5" s="55">
        <v>4</v>
      </c>
      <c r="E5" s="55" t="s">
        <v>241</v>
      </c>
      <c r="F5" s="55" t="s">
        <v>241</v>
      </c>
      <c r="G5" s="57"/>
      <c r="I5" s="38"/>
      <c r="J5" s="38"/>
      <c r="K5" s="40"/>
    </row>
    <row r="6" spans="1:11" ht="38.5" customHeight="1" x14ac:dyDescent="0.2">
      <c r="A6" s="57">
        <v>45666</v>
      </c>
      <c r="B6" s="149" t="s">
        <v>307</v>
      </c>
      <c r="C6" s="56" t="s">
        <v>308</v>
      </c>
      <c r="D6" s="55">
        <v>3</v>
      </c>
      <c r="E6" s="55" t="s">
        <v>241</v>
      </c>
      <c r="F6" s="55" t="s">
        <v>241</v>
      </c>
      <c r="G6" s="57"/>
      <c r="I6" s="38"/>
      <c r="J6" s="38"/>
      <c r="K6" s="39"/>
    </row>
    <row r="7" spans="1:11" ht="64" x14ac:dyDescent="0.2">
      <c r="A7" s="57">
        <v>45670</v>
      </c>
      <c r="B7" s="149" t="s">
        <v>312</v>
      </c>
      <c r="C7" s="38" t="s">
        <v>309</v>
      </c>
      <c r="D7" s="55">
        <v>0.5</v>
      </c>
      <c r="E7" s="55" t="s">
        <v>241</v>
      </c>
      <c r="F7" s="55" t="s">
        <v>241</v>
      </c>
      <c r="G7" s="57"/>
      <c r="I7" s="38"/>
      <c r="J7" s="41"/>
      <c r="K7" s="40"/>
    </row>
    <row r="8" spans="1:11" ht="32" x14ac:dyDescent="0.2">
      <c r="A8" s="57">
        <v>45671</v>
      </c>
      <c r="B8" s="149" t="s">
        <v>339</v>
      </c>
      <c r="C8" s="56" t="s">
        <v>340</v>
      </c>
      <c r="D8" s="55">
        <v>0.5</v>
      </c>
      <c r="E8" s="55" t="s">
        <v>241</v>
      </c>
      <c r="F8" s="55" t="s">
        <v>241</v>
      </c>
      <c r="G8" s="57"/>
      <c r="I8" s="38"/>
      <c r="J8" s="41"/>
      <c r="K8" s="40"/>
    </row>
    <row r="9" spans="1:11" ht="16" x14ac:dyDescent="0.2">
      <c r="A9" s="57">
        <v>45681</v>
      </c>
      <c r="B9" s="149" t="s">
        <v>353</v>
      </c>
      <c r="C9" s="56" t="s">
        <v>354</v>
      </c>
      <c r="D9" s="55">
        <v>0.25</v>
      </c>
      <c r="E9" s="55" t="s">
        <v>241</v>
      </c>
      <c r="F9" s="55" t="s">
        <v>241</v>
      </c>
      <c r="G9" s="57"/>
      <c r="I9" s="38"/>
      <c r="J9" s="38"/>
      <c r="K9" s="40"/>
    </row>
    <row r="10" spans="1:11" ht="32" x14ac:dyDescent="0.2">
      <c r="A10" s="57">
        <v>45681</v>
      </c>
      <c r="B10" s="149" t="s">
        <v>357</v>
      </c>
      <c r="C10" s="56" t="s">
        <v>358</v>
      </c>
      <c r="D10" s="55">
        <v>1</v>
      </c>
      <c r="E10" s="55" t="s">
        <v>241</v>
      </c>
      <c r="F10" s="38" t="s">
        <v>355</v>
      </c>
      <c r="G10" s="57">
        <v>45678</v>
      </c>
      <c r="I10" s="38"/>
      <c r="J10" s="41"/>
      <c r="K10" s="40"/>
    </row>
    <row r="11" spans="1:11" ht="32" x14ac:dyDescent="0.2">
      <c r="A11" s="57">
        <v>45762</v>
      </c>
      <c r="B11" s="149" t="s">
        <v>406</v>
      </c>
      <c r="C11" s="56" t="s">
        <v>407</v>
      </c>
      <c r="D11" s="55">
        <v>12</v>
      </c>
      <c r="E11" s="55" t="s">
        <v>408</v>
      </c>
      <c r="F11" s="55" t="s">
        <v>409</v>
      </c>
      <c r="G11" s="57">
        <v>45702</v>
      </c>
      <c r="I11" s="38"/>
      <c r="J11" s="41"/>
      <c r="K11" s="40"/>
    </row>
    <row r="12" spans="1:11" ht="48" x14ac:dyDescent="0.2">
      <c r="A12" s="57"/>
      <c r="B12" s="149"/>
      <c r="C12" s="56" t="s">
        <v>436</v>
      </c>
      <c r="D12" s="55">
        <v>6</v>
      </c>
      <c r="E12" s="55" t="s">
        <v>408</v>
      </c>
      <c r="F12" s="55" t="s">
        <v>435</v>
      </c>
      <c r="G12" s="57">
        <v>45702</v>
      </c>
      <c r="I12" s="38"/>
      <c r="J12" s="41"/>
      <c r="K12" s="40"/>
    </row>
    <row r="13" spans="1:11" x14ac:dyDescent="0.2">
      <c r="A13" s="57"/>
      <c r="B13" s="149"/>
      <c r="C13" s="56"/>
      <c r="D13" s="55"/>
      <c r="E13" s="55"/>
      <c r="F13" s="55"/>
      <c r="G13" s="57"/>
      <c r="I13" s="38"/>
      <c r="J13" s="38"/>
      <c r="K13" s="39"/>
    </row>
    <row r="14" spans="1:11" x14ac:dyDescent="0.2">
      <c r="A14" s="57"/>
      <c r="B14" s="149"/>
      <c r="C14" s="56"/>
      <c r="D14" s="55"/>
      <c r="E14" s="55"/>
      <c r="F14" s="55"/>
      <c r="G14" s="57"/>
      <c r="I14" s="38"/>
      <c r="J14" s="38"/>
      <c r="K14" s="39"/>
    </row>
    <row r="15" spans="1:11" x14ac:dyDescent="0.2">
      <c r="A15" s="57"/>
      <c r="B15" s="149"/>
      <c r="C15" s="56"/>
      <c r="D15" s="55"/>
      <c r="E15" s="55"/>
      <c r="F15" s="55"/>
      <c r="G15" s="57"/>
      <c r="I15" s="38"/>
      <c r="J15" s="38"/>
      <c r="K15" s="39"/>
    </row>
    <row r="16" spans="1:11" x14ac:dyDescent="0.2">
      <c r="A16" s="57"/>
      <c r="B16" s="149"/>
      <c r="C16" s="56"/>
      <c r="D16" s="55"/>
      <c r="E16" s="55"/>
      <c r="F16" s="55"/>
      <c r="G16" s="57"/>
      <c r="I16" s="38"/>
      <c r="J16" s="38"/>
      <c r="K16" s="39"/>
    </row>
    <row r="17" spans="1:7" x14ac:dyDescent="0.2">
      <c r="A17" s="57"/>
      <c r="B17" s="149"/>
      <c r="C17" s="56"/>
      <c r="D17" s="55"/>
      <c r="E17" s="55"/>
      <c r="F17" s="55"/>
      <c r="G17" s="57"/>
    </row>
    <row r="18" spans="1:7" x14ac:dyDescent="0.2">
      <c r="A18" s="57"/>
      <c r="B18" s="149"/>
      <c r="C18" s="56"/>
      <c r="D18" s="55"/>
      <c r="E18" s="55"/>
      <c r="F18" s="55"/>
      <c r="G18" s="57"/>
    </row>
    <row r="19" spans="1:7" x14ac:dyDescent="0.2">
      <c r="A19" s="57"/>
      <c r="B19" s="55"/>
      <c r="C19" s="56"/>
      <c r="D19" s="55"/>
      <c r="E19" s="55"/>
      <c r="F19" s="55"/>
      <c r="G19" s="57"/>
    </row>
    <row r="20" spans="1:7" x14ac:dyDescent="0.2">
      <c r="A20" s="57"/>
      <c r="B20" s="55"/>
      <c r="C20" s="56"/>
      <c r="D20" s="55"/>
      <c r="E20" s="55"/>
      <c r="F20" s="55"/>
      <c r="G20" s="57"/>
    </row>
    <row r="21" spans="1:7" x14ac:dyDescent="0.2">
      <c r="A21" s="57"/>
      <c r="B21" s="55"/>
      <c r="C21" s="56"/>
      <c r="D21" s="55"/>
      <c r="E21" s="55"/>
      <c r="F21" s="55"/>
      <c r="G21" s="57"/>
    </row>
    <row r="22" spans="1:7" x14ac:dyDescent="0.2">
      <c r="A22" s="57"/>
      <c r="B22" s="55"/>
      <c r="C22" s="56"/>
      <c r="D22" s="55"/>
      <c r="E22" s="55"/>
      <c r="F22" s="55"/>
      <c r="G22" s="57"/>
    </row>
    <row r="23" spans="1:7" x14ac:dyDescent="0.2">
      <c r="A23" s="57"/>
      <c r="B23" s="55"/>
      <c r="C23" s="56"/>
      <c r="D23" s="55"/>
      <c r="E23" s="55"/>
      <c r="F23" s="55"/>
      <c r="G23" s="57"/>
    </row>
    <row r="24" spans="1:7" x14ac:dyDescent="0.2">
      <c r="A24" s="57"/>
      <c r="B24" s="55"/>
      <c r="C24" s="56"/>
      <c r="D24" s="55"/>
      <c r="E24" s="55"/>
      <c r="F24" s="55"/>
      <c r="G24" s="57"/>
    </row>
    <row r="25" spans="1:7" x14ac:dyDescent="0.2">
      <c r="A25" s="57"/>
      <c r="B25" s="55"/>
      <c r="C25" s="56"/>
      <c r="D25" s="55"/>
      <c r="E25" s="55"/>
      <c r="F25" s="55"/>
      <c r="G25" s="57"/>
    </row>
    <row r="26" spans="1:7" x14ac:dyDescent="0.2">
      <c r="A26" s="57"/>
      <c r="B26" s="55"/>
      <c r="C26" s="56"/>
      <c r="D26" s="55"/>
      <c r="E26" s="55"/>
      <c r="F26" s="55"/>
      <c r="G26" s="57"/>
    </row>
    <row r="27" spans="1:7" x14ac:dyDescent="0.2">
      <c r="A27" s="57"/>
      <c r="B27" s="55"/>
      <c r="E27" s="55"/>
      <c r="F27" s="55"/>
      <c r="G27" s="57"/>
    </row>
    <row r="28" spans="1:7" x14ac:dyDescent="0.2">
      <c r="A28" s="57"/>
      <c r="B28" s="55"/>
      <c r="C28" s="56"/>
      <c r="D28" s="55"/>
      <c r="E28" s="55"/>
      <c r="F28" s="55"/>
      <c r="G28" s="57"/>
    </row>
    <row r="29" spans="1:7" x14ac:dyDescent="0.2">
      <c r="A29" s="57"/>
      <c r="B29" s="55"/>
      <c r="C29" s="56"/>
      <c r="D29" s="55"/>
      <c r="E29" s="55"/>
      <c r="F29" s="55"/>
      <c r="G29" s="57"/>
    </row>
    <row r="30" spans="1:7" x14ac:dyDescent="0.2">
      <c r="A30" s="55"/>
      <c r="B30" s="55"/>
      <c r="E30" s="55"/>
      <c r="F30" s="55"/>
      <c r="G30" s="57"/>
    </row>
    <row r="31" spans="1:7" x14ac:dyDescent="0.2">
      <c r="A31" s="55"/>
      <c r="B31" s="55"/>
      <c r="E31" s="55"/>
      <c r="F31" s="55"/>
      <c r="G31" s="57"/>
    </row>
    <row r="32" spans="1:7" x14ac:dyDescent="0.2">
      <c r="A32" s="57"/>
      <c r="B32" s="55"/>
      <c r="C32" s="56"/>
      <c r="D32" s="55"/>
      <c r="E32" s="55"/>
      <c r="F32" s="55"/>
      <c r="G32" s="57"/>
    </row>
    <row r="33" spans="1:7" x14ac:dyDescent="0.2">
      <c r="A33" s="40"/>
      <c r="B33" s="39"/>
      <c r="G33" s="40"/>
    </row>
    <row r="34" spans="1:7" x14ac:dyDescent="0.2">
      <c r="A34" s="40"/>
      <c r="B34" s="39"/>
      <c r="G34" s="40"/>
    </row>
    <row r="35" spans="1:7" x14ac:dyDescent="0.2">
      <c r="A35" s="40"/>
      <c r="B35" s="39"/>
      <c r="G35" s="40"/>
    </row>
    <row r="36" spans="1:7" x14ac:dyDescent="0.2">
      <c r="A36" s="40"/>
      <c r="B36" s="39"/>
      <c r="G36" s="40"/>
    </row>
    <row r="37" spans="1:7" x14ac:dyDescent="0.2">
      <c r="A37" s="40"/>
      <c r="B37" s="39"/>
      <c r="G37" s="40"/>
    </row>
    <row r="38" spans="1:7" x14ac:dyDescent="0.2">
      <c r="A38" s="40"/>
      <c r="B38" s="39"/>
      <c r="G38" s="40"/>
    </row>
    <row r="39" spans="1:7" x14ac:dyDescent="0.2">
      <c r="A39" s="40"/>
      <c r="B39" s="39"/>
      <c r="G39" s="40"/>
    </row>
    <row r="40" spans="1:7" x14ac:dyDescent="0.2">
      <c r="A40" s="40"/>
      <c r="B40" s="39"/>
      <c r="G40" s="40"/>
    </row>
    <row r="41" spans="1:7" x14ac:dyDescent="0.2">
      <c r="A41" s="40"/>
      <c r="B41" s="39"/>
      <c r="G41" s="40"/>
    </row>
    <row r="42" spans="1:7" x14ac:dyDescent="0.2">
      <c r="A42" s="40"/>
      <c r="B42" s="39"/>
      <c r="G42" s="40"/>
    </row>
    <row r="43" spans="1:7" x14ac:dyDescent="0.2">
      <c r="A43" s="40"/>
      <c r="B43" s="39"/>
      <c r="G43" s="40"/>
    </row>
    <row r="44" spans="1:7" x14ac:dyDescent="0.2">
      <c r="A44" s="40"/>
      <c r="B44" s="39"/>
      <c r="G44" s="40"/>
    </row>
    <row r="45" spans="1:7" x14ac:dyDescent="0.2">
      <c r="A45" s="40"/>
      <c r="B45" s="39"/>
      <c r="G45" s="40"/>
    </row>
    <row r="46" spans="1:7" x14ac:dyDescent="0.2">
      <c r="A46" s="40"/>
      <c r="B46" s="39"/>
      <c r="G46" s="40"/>
    </row>
    <row r="47" spans="1:7" x14ac:dyDescent="0.2">
      <c r="A47" s="40"/>
      <c r="B47" s="42"/>
      <c r="G47" s="40"/>
    </row>
    <row r="48" spans="1:7" x14ac:dyDescent="0.2">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opLeftCell="A22" zoomScale="150" zoomScaleNormal="150" workbookViewId="0">
      <selection activeCell="C28" sqref="C28"/>
    </sheetView>
  </sheetViews>
  <sheetFormatPr baseColWidth="10" defaultColWidth="8.83203125" defaultRowHeight="15" x14ac:dyDescent="0.2"/>
  <cols>
    <col min="1" max="1" width="39.5" customWidth="1"/>
    <col min="2" max="2" width="10.83203125" customWidth="1"/>
    <col min="3" max="3" width="9" style="2" customWidth="1"/>
    <col min="4" max="4" width="10.83203125" customWidth="1"/>
    <col min="5" max="5" width="10.5" customWidth="1"/>
    <col min="6" max="6" width="10.1640625" customWidth="1"/>
    <col min="7" max="7" width="10.5" customWidth="1"/>
    <col min="8" max="8" width="7.5" hidden="1" customWidth="1"/>
    <col min="9" max="9" width="7.6640625" hidden="1" customWidth="1"/>
    <col min="10" max="12" width="8.6640625" hidden="1" customWidth="1"/>
    <col min="13" max="13" width="10.83203125" customWidth="1"/>
    <col min="14" max="14" width="42"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21" x14ac:dyDescent="0.25">
      <c r="A1" s="344" t="str">
        <f>'ReadMe-Directions'!A1</f>
        <v>Immersive Model for Lake Mead based on the Principle of Divide Reservoir Inflow</v>
      </c>
      <c r="B1" s="344"/>
      <c r="C1" s="344"/>
      <c r="D1" s="344"/>
      <c r="E1" s="344"/>
      <c r="F1" s="344"/>
      <c r="G1" s="344"/>
    </row>
    <row r="2" spans="1:14" x14ac:dyDescent="0.2">
      <c r="A2" s="1" t="s">
        <v>179</v>
      </c>
      <c r="B2" s="1"/>
    </row>
    <row r="3" spans="1:14" ht="32.25" customHeight="1" x14ac:dyDescent="0.2">
      <c r="A3" s="352" t="s">
        <v>191</v>
      </c>
      <c r="B3" s="352"/>
      <c r="C3" s="352"/>
      <c r="D3" s="352"/>
      <c r="E3" s="352"/>
      <c r="F3" s="352"/>
      <c r="G3" s="352"/>
      <c r="H3" s="84"/>
      <c r="I3" s="84"/>
      <c r="J3" s="84"/>
      <c r="K3" s="84"/>
      <c r="N3" s="137" t="s">
        <v>157</v>
      </c>
    </row>
    <row r="4" spans="1:14" x14ac:dyDescent="0.2">
      <c r="A4" s="127" t="s">
        <v>261</v>
      </c>
      <c r="B4" s="127" t="s">
        <v>19</v>
      </c>
      <c r="C4" s="353" t="s">
        <v>262</v>
      </c>
      <c r="D4" s="354"/>
      <c r="E4" s="354"/>
      <c r="F4" s="354"/>
      <c r="G4" s="355"/>
      <c r="N4" s="141" t="s">
        <v>336</v>
      </c>
    </row>
    <row r="5" spans="1:14" x14ac:dyDescent="0.2">
      <c r="A5" s="90" t="s">
        <v>239</v>
      </c>
      <c r="B5" s="114"/>
      <c r="C5" s="356"/>
      <c r="D5" s="351"/>
      <c r="E5" s="351"/>
      <c r="F5" s="351"/>
      <c r="G5" s="351"/>
      <c r="N5" s="141"/>
    </row>
    <row r="6" spans="1:14" x14ac:dyDescent="0.2">
      <c r="A6" s="90" t="s">
        <v>203</v>
      </c>
      <c r="B6" s="114"/>
      <c r="C6" s="356"/>
      <c r="D6" s="351"/>
      <c r="E6" s="351"/>
      <c r="F6" s="351"/>
      <c r="G6" s="351"/>
      <c r="N6" s="142"/>
    </row>
    <row r="7" spans="1:14" x14ac:dyDescent="0.2">
      <c r="A7" s="90" t="s">
        <v>204</v>
      </c>
      <c r="B7" s="114"/>
      <c r="C7" s="356"/>
      <c r="D7" s="351"/>
      <c r="E7" s="351"/>
      <c r="F7" s="351"/>
      <c r="G7" s="351"/>
      <c r="N7" s="142"/>
    </row>
    <row r="8" spans="1:14" x14ac:dyDescent="0.2">
      <c r="A8" s="114" t="s">
        <v>205</v>
      </c>
      <c r="B8" s="90"/>
      <c r="C8" s="351"/>
      <c r="D8" s="351"/>
      <c r="E8" s="351"/>
      <c r="F8" s="351"/>
      <c r="G8" s="351"/>
      <c r="N8" s="142"/>
    </row>
    <row r="9" spans="1:14" x14ac:dyDescent="0.2">
      <c r="A9" s="114" t="s">
        <v>18</v>
      </c>
      <c r="B9" s="90"/>
      <c r="C9" s="357"/>
      <c r="D9" s="357"/>
      <c r="E9" s="357"/>
      <c r="F9" s="357"/>
      <c r="G9" s="357"/>
      <c r="N9" s="142"/>
    </row>
    <row r="10" spans="1:14" x14ac:dyDescent="0.2">
      <c r="A10" s="90" t="s">
        <v>283</v>
      </c>
      <c r="B10" s="90"/>
      <c r="C10" s="351"/>
      <c r="D10" s="351"/>
      <c r="E10" s="351"/>
      <c r="F10" s="351"/>
      <c r="G10" s="351"/>
      <c r="N10" s="142"/>
    </row>
    <row r="11" spans="1:14" x14ac:dyDescent="0.2">
      <c r="A11" s="13"/>
      <c r="B11" s="2"/>
      <c r="C11"/>
      <c r="N11" s="142"/>
    </row>
    <row r="12" spans="1:14" x14ac:dyDescent="0.2">
      <c r="A12" s="15" t="s">
        <v>111</v>
      </c>
      <c r="B12" s="358" t="s">
        <v>113</v>
      </c>
      <c r="C12" s="359"/>
      <c r="D12" s="360"/>
      <c r="N12" s="141" t="s">
        <v>130</v>
      </c>
    </row>
    <row r="13" spans="1:14" x14ac:dyDescent="0.2">
      <c r="B13" s="361" t="s">
        <v>190</v>
      </c>
      <c r="C13" s="362"/>
      <c r="D13" s="363"/>
    </row>
    <row r="14" spans="1:14" x14ac:dyDescent="0.2">
      <c r="B14" s="345" t="s">
        <v>185</v>
      </c>
      <c r="C14" s="346"/>
      <c r="D14" s="347"/>
      <c r="N14" s="142"/>
    </row>
    <row r="15" spans="1:14" x14ac:dyDescent="0.2">
      <c r="B15" s="348" t="s">
        <v>21</v>
      </c>
      <c r="C15" s="349"/>
      <c r="D15" s="350"/>
      <c r="N15" s="142"/>
    </row>
    <row r="16" spans="1:14" x14ac:dyDescent="0.2">
      <c r="N16" s="142"/>
    </row>
    <row r="17" spans="1:14" ht="32" x14ac:dyDescent="0.2">
      <c r="A17" s="1" t="s">
        <v>254</v>
      </c>
      <c r="B17" s="221" t="s">
        <v>206</v>
      </c>
      <c r="C17" s="221" t="s">
        <v>207</v>
      </c>
      <c r="N17" s="141" t="s">
        <v>131</v>
      </c>
    </row>
    <row r="18" spans="1:14" x14ac:dyDescent="0.2">
      <c r="A18" t="s">
        <v>255</v>
      </c>
      <c r="B18" s="220">
        <v>6</v>
      </c>
      <c r="D18" s="16"/>
      <c r="N18" s="141" t="s">
        <v>133</v>
      </c>
    </row>
    <row r="19" spans="1:14" x14ac:dyDescent="0.2">
      <c r="A19" t="s">
        <v>256</v>
      </c>
      <c r="B19" s="212">
        <v>1063.29</v>
      </c>
      <c r="C19" s="12">
        <f>VLOOKUP(B19,'Mead-Elevation-Area'!$A$5:$B$676,2)/1000000</f>
        <v>8.6522179999999995</v>
      </c>
      <c r="D19" s="129" t="s">
        <v>356</v>
      </c>
      <c r="F19" s="249" t="s">
        <v>209</v>
      </c>
      <c r="N19" s="141" t="s">
        <v>132</v>
      </c>
    </row>
    <row r="20" spans="1:14" x14ac:dyDescent="0.2">
      <c r="A20" s="125" t="str">
        <f>"     Set "&amp;A5</f>
        <v xml:space="preserve">     Set Reclamation - Protect Zone</v>
      </c>
      <c r="B20" s="184"/>
      <c r="C20" s="12">
        <f>VLOOKUP(IF(B20="",895,B20),'Mead-Elevation-Area'!$A$5:$B$689,2)/1000000</f>
        <v>0</v>
      </c>
      <c r="D20" s="10"/>
      <c r="N20" s="141" t="s">
        <v>134</v>
      </c>
    </row>
    <row r="21" spans="1:14" x14ac:dyDescent="0.2">
      <c r="A21" t="s">
        <v>257</v>
      </c>
      <c r="C21" s="12">
        <f>C19-C20</f>
        <v>8.6522179999999995</v>
      </c>
      <c r="D21" s="116"/>
      <c r="E21" s="28"/>
      <c r="F21" s="116"/>
      <c r="N21" s="141" t="s">
        <v>294</v>
      </c>
    </row>
    <row r="22" spans="1:14" x14ac:dyDescent="0.2">
      <c r="A22" t="s">
        <v>258</v>
      </c>
      <c r="C22" s="185">
        <v>3.5339999999999998</v>
      </c>
      <c r="D22" s="111" t="s">
        <v>211</v>
      </c>
      <c r="E22" s="28"/>
      <c r="F22" s="28"/>
      <c r="N22" s="141" t="s">
        <v>293</v>
      </c>
    </row>
    <row r="23" spans="1:14" x14ac:dyDescent="0.2">
      <c r="A23" t="s">
        <v>282</v>
      </c>
      <c r="C23" s="12">
        <f>C21-C22</f>
        <v>5.1182179999999997</v>
      </c>
      <c r="D23" s="111"/>
      <c r="E23" s="28"/>
      <c r="N23" s="141" t="s">
        <v>295</v>
      </c>
    </row>
    <row r="24" spans="1:14" x14ac:dyDescent="0.2">
      <c r="A24" t="s">
        <v>311</v>
      </c>
      <c r="B24" s="94">
        <f>TribalWater!H7</f>
        <v>0.16438105840220965</v>
      </c>
      <c r="C24"/>
      <c r="D24" s="111"/>
      <c r="E24" s="28"/>
      <c r="N24" s="141" t="s">
        <v>337</v>
      </c>
    </row>
    <row r="25" spans="1:14" x14ac:dyDescent="0.2">
      <c r="A25" t="s">
        <v>310</v>
      </c>
      <c r="B25" s="230">
        <f>1-B24</f>
        <v>0.83561894159779038</v>
      </c>
      <c r="C25"/>
      <c r="D25" s="111"/>
      <c r="E25" s="28"/>
      <c r="N25" s="141" t="s">
        <v>338</v>
      </c>
    </row>
    <row r="26" spans="1:14" x14ac:dyDescent="0.2">
      <c r="B26" s="28"/>
      <c r="N26" s="142"/>
    </row>
    <row r="27" spans="1:14" s="1" customFormat="1" x14ac:dyDescent="0.2">
      <c r="A27" s="102" t="s">
        <v>108</v>
      </c>
      <c r="B27" s="103" t="s">
        <v>22</v>
      </c>
      <c r="C27" s="103" t="s">
        <v>0</v>
      </c>
      <c r="D27" s="103" t="s">
        <v>1</v>
      </c>
      <c r="E27" s="103" t="s">
        <v>2</v>
      </c>
      <c r="F27" s="103" t="s">
        <v>3</v>
      </c>
      <c r="G27" s="103" t="s">
        <v>4</v>
      </c>
      <c r="H27" s="103" t="s">
        <v>5</v>
      </c>
      <c r="I27" s="103" t="s">
        <v>6</v>
      </c>
      <c r="J27" s="103" t="s">
        <v>7</v>
      </c>
      <c r="K27" s="103" t="s">
        <v>14</v>
      </c>
      <c r="L27" s="103" t="s">
        <v>15</v>
      </c>
      <c r="M27" s="103" t="s">
        <v>25</v>
      </c>
      <c r="N27" s="138" t="str">
        <f>N3</f>
        <v>HELP, CONTEXT, and SUGGESTIONS</v>
      </c>
    </row>
    <row r="28" spans="1:14" x14ac:dyDescent="0.2">
      <c r="A28" s="125" t="s">
        <v>208</v>
      </c>
      <c r="B28" s="1"/>
      <c r="C28" s="97"/>
      <c r="D28" s="97"/>
      <c r="E28" s="97"/>
      <c r="F28" s="97"/>
      <c r="G28" s="97"/>
      <c r="H28" s="97"/>
      <c r="I28" s="97"/>
      <c r="J28" s="97"/>
      <c r="K28" s="97"/>
      <c r="L28" s="97"/>
      <c r="N28" s="141" t="s">
        <v>297</v>
      </c>
    </row>
    <row r="29" spans="1:14" hidden="1" x14ac:dyDescent="0.2">
      <c r="A29" s="1" t="s">
        <v>32</v>
      </c>
      <c r="B29" s="1"/>
      <c r="C29" s="96" t="str">
        <f>IF(C$28&lt;&gt;"",0.8,"")</f>
        <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140</v>
      </c>
    </row>
    <row r="30" spans="1:14" hidden="1" x14ac:dyDescent="0.2">
      <c r="A30" s="1" t="s">
        <v>98</v>
      </c>
      <c r="B30" s="1"/>
      <c r="C30" s="96" t="str">
        <f>IF(C$28&lt;&gt;"",0.2,"")</f>
        <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141</v>
      </c>
    </row>
    <row r="31" spans="1:14" hidden="1" x14ac:dyDescent="0.2">
      <c r="A31" s="1" t="s">
        <v>87</v>
      </c>
      <c r="B31" s="1"/>
      <c r="C31" s="96" t="str">
        <f>IF(C$28&lt;&gt;"",0.6,"")</f>
        <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142</v>
      </c>
    </row>
    <row r="32" spans="1:14" x14ac:dyDescent="0.2">
      <c r="A32" s="1" t="s">
        <v>252</v>
      </c>
      <c r="B32" s="1"/>
      <c r="H32" s="96"/>
      <c r="I32" s="96"/>
      <c r="J32" s="96"/>
      <c r="K32" s="96"/>
      <c r="L32" s="96"/>
      <c r="N32" s="141"/>
    </row>
    <row r="33" spans="1:14" x14ac:dyDescent="0.2">
      <c r="A33" s="1" t="s">
        <v>249</v>
      </c>
      <c r="B33" s="1"/>
      <c r="C33" s="12" t="str">
        <f>IF(C$28&lt;&gt;"",IF(COLUMN(C28)=COLUMN($C28),$C$19,B135),"")</f>
        <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2">
      <c r="A34" s="1" t="s">
        <v>250</v>
      </c>
      <c r="B34" s="1"/>
      <c r="C34" s="213" t="str">
        <f>IF(C$28&lt;&gt;"",IF(COLUMN(C29)=COLUMN($C29),$B$19,B136),"")</f>
        <v/>
      </c>
      <c r="D34" s="213" t="str">
        <f t="shared" ref="D34:G34" si="3">IF(D$28&lt;&gt;"",IF(COLUMN(D29)=COLUMN($C29),$B$19,C136),"")</f>
        <v/>
      </c>
      <c r="E34" s="213" t="str">
        <f t="shared" si="3"/>
        <v/>
      </c>
      <c r="F34" s="213" t="str">
        <f t="shared" si="3"/>
        <v/>
      </c>
      <c r="G34" s="213" t="str">
        <f t="shared" si="3"/>
        <v/>
      </c>
      <c r="H34" s="96"/>
      <c r="I34" s="96"/>
      <c r="J34" s="96"/>
      <c r="K34" s="96"/>
      <c r="L34" s="96"/>
      <c r="N34" s="141"/>
    </row>
    <row r="35" spans="1:14" x14ac:dyDescent="0.2">
      <c r="A35" s="125" t="s">
        <v>247</v>
      </c>
      <c r="C35"/>
      <c r="H35" s="12" t="str">
        <f>IF(H$28&lt;&gt;"",G135,"")</f>
        <v/>
      </c>
      <c r="I35" s="12" t="str">
        <f t="shared" ref="I35:L35" si="4">IF(I$28&lt;&gt;"",H134,"")</f>
        <v/>
      </c>
      <c r="J35" s="12" t="str">
        <f t="shared" si="4"/>
        <v/>
      </c>
      <c r="K35" s="12" t="str">
        <f t="shared" si="4"/>
        <v/>
      </c>
      <c r="L35" s="12" t="str">
        <f t="shared" si="4"/>
        <v/>
      </c>
      <c r="N35" s="141" t="s">
        <v>143</v>
      </c>
    </row>
    <row r="36" spans="1:14" x14ac:dyDescent="0.2">
      <c r="A36" t="str">
        <f t="shared" ref="A36:A41" si="5">IF(A5="","","    "&amp;A5&amp;" Balance")</f>
        <v xml:space="preserve">    Reclamation - Protect Zone Balance</v>
      </c>
      <c r="B36" s="83">
        <f>C20</f>
        <v>0</v>
      </c>
      <c r="C36" s="81" t="str">
        <f>IF(OR(C$28="",$A36=""),"",B36)</f>
        <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M36" s="28"/>
      <c r="N36" s="142"/>
    </row>
    <row r="37" spans="1:14" x14ac:dyDescent="0.2">
      <c r="A37" t="str">
        <f t="shared" si="5"/>
        <v xml:space="preserve">    California Balance</v>
      </c>
      <c r="B37" s="83">
        <v>1.6619999999999999</v>
      </c>
      <c r="C37" s="81" t="str">
        <f>IF(OR(C$28="",$A37=""),"",IF(C$22&lt;=C$21,B37,B37-(C$22-C$21)*B37/C$22))</f>
        <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M37" s="28"/>
      <c r="N37" s="142"/>
    </row>
    <row r="38" spans="1:14" x14ac:dyDescent="0.2">
      <c r="A38" t="str">
        <f t="shared" si="5"/>
        <v xml:space="preserve">    Arizona Balance</v>
      </c>
      <c r="B38" s="83">
        <v>0.71099999999999997</v>
      </c>
      <c r="C38" s="81" t="str">
        <f t="shared" ref="C38:C41" si="9">IF(OR(C$28="",$A38=""),"",IF(C$22&lt;=C$21,B38,B38-(C$22-C$21)*B38/C$22))</f>
        <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M38" s="28"/>
      <c r="N38" s="142"/>
    </row>
    <row r="39" spans="1:14" x14ac:dyDescent="0.2">
      <c r="A39" t="str">
        <f t="shared" si="5"/>
        <v xml:space="preserve">    Nevada Balance</v>
      </c>
      <c r="B39" s="83">
        <v>0.9556</v>
      </c>
      <c r="C39" s="81" t="str">
        <f t="shared" si="9"/>
        <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2">
      <c r="A40" t="str">
        <f t="shared" si="5"/>
        <v xml:space="preserve">    Mexico Balance</v>
      </c>
      <c r="B40" s="83">
        <v>0.21099999999999999</v>
      </c>
      <c r="C40" s="81" t="str">
        <f t="shared" si="9"/>
        <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2">
      <c r="A41" t="str">
        <f t="shared" si="5"/>
        <v xml:space="preserve">    Tribal Nations of the Lower Basin Balance</v>
      </c>
      <c r="B41" s="83">
        <f>IF(C21&gt;C22,C21-C22,0)</f>
        <v>5.1182179999999997</v>
      </c>
      <c r="C41" s="81" t="str">
        <f t="shared" si="9"/>
        <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2">
      <c r="A42" s="1" t="s">
        <v>109</v>
      </c>
      <c r="C42"/>
      <c r="N42" s="141" t="s">
        <v>155</v>
      </c>
    </row>
    <row r="43" spans="1:14" hidden="1" x14ac:dyDescent="0.2">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2">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2">
      <c r="A45" s="1" t="s">
        <v>210</v>
      </c>
      <c r="B45" s="186"/>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296</v>
      </c>
    </row>
    <row r="46" spans="1:14" x14ac:dyDescent="0.2">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2">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2">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2">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2">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2">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2">
      <c r="A52" s="125" t="s">
        <v>245</v>
      </c>
      <c r="B52" s="209"/>
      <c r="C52" s="210" t="str">
        <f>IF(C28="","",SUM(C28))</f>
        <v/>
      </c>
      <c r="D52" s="210" t="str">
        <f>IF(D28="","",SUM(D28))</f>
        <v/>
      </c>
      <c r="E52" s="210" t="str">
        <f>IF(E28="","",SUM(E28))</f>
        <v/>
      </c>
      <c r="F52" s="210" t="str">
        <f>IF(F28="","",SUM(F28))</f>
        <v/>
      </c>
      <c r="G52" s="210"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300</v>
      </c>
    </row>
    <row r="53" spans="1:16" x14ac:dyDescent="0.2">
      <c r="A53" t="str">
        <f>IF(A5="","","    To "&amp;A5)</f>
        <v xml:space="preserve">    To Reclamation - Protect Zone</v>
      </c>
      <c r="B53" s="187" t="s">
        <v>212</v>
      </c>
      <c r="C53" s="82" t="str">
        <f>IF(OR(C$28="",$A55=""),"",C46)</f>
        <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0</v>
      </c>
      <c r="N53" s="183"/>
    </row>
    <row r="54" spans="1:16" x14ac:dyDescent="0.2">
      <c r="A54" t="s">
        <v>246</v>
      </c>
      <c r="C54" s="82" t="str">
        <f>IF(OR(C$28="",$A56=""),"",C52-C53)</f>
        <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t="e">
        <f>SUM(M55:M59)</f>
        <v>#VALUE!</v>
      </c>
      <c r="N54" s="143"/>
      <c r="P54" s="81"/>
    </row>
    <row r="55" spans="1:16" x14ac:dyDescent="0.2">
      <c r="A55" t="str">
        <f>IF(A6="","","       To "&amp;A6)</f>
        <v xml:space="preserve">       To California</v>
      </c>
      <c r="B55" s="95" t="s">
        <v>260</v>
      </c>
      <c r="C55" s="82" t="str">
        <f>IF(OR(C$28="",$A55=""),"",(VLOOKUP(C$54,DivideInflow!$K$19:$W$22,9)-IF($A$59&lt;&gt;"",$B$59*$B$24,0))*(C$54))</f>
        <v/>
      </c>
      <c r="D55" s="82" t="str">
        <f>IF(OR(D$28="",$A55=""),"",(VLOOKUP(D$54,DivideInflow!$K$19:$W$22,9)-IF($A$59&lt;&gt;"",$B$59*$B$24,0))*(D$54))</f>
        <v/>
      </c>
      <c r="E55" s="82" t="str">
        <f>IF(OR(E$28="",$A55=""),"",(VLOOKUP(E$54,DivideInflow!$K$19:$W$22,9)-IF($A$59&lt;&gt;"",$B$59*$B$24,0))*(E$54))</f>
        <v/>
      </c>
      <c r="F55" s="82" t="str">
        <f>IF(OR(F$28="",$A55=""),"",(VLOOKUP(F$54,DivideInflow!$K$19:$W$22,9)-IF($A$59&lt;&gt;"",$B$59*$B$24,0))*(F$54))</f>
        <v/>
      </c>
      <c r="G55" s="82" t="str">
        <f>IF(OR(G$28="",$A55=""),"",(VLOOKUP(G$54,DivideInflow!$K$19:$W$22,9)-IF($A$59&lt;&gt;"",$B$59*$B$24,0))*(G$54))</f>
        <v/>
      </c>
      <c r="H55" s="81"/>
      <c r="I55" s="81"/>
      <c r="J55" s="81"/>
      <c r="K55" s="81"/>
      <c r="L55" s="81"/>
      <c r="M55" s="218" t="e">
        <f>C55/C$54</f>
        <v>#VALUE!</v>
      </c>
      <c r="N55" s="143"/>
      <c r="P55" s="81"/>
    </row>
    <row r="56" spans="1:16" x14ac:dyDescent="0.2">
      <c r="A56" t="str">
        <f>IF(A7="","","       To "&amp;A7)</f>
        <v xml:space="preserve">       To Arizona</v>
      </c>
      <c r="B56" s="95" t="s">
        <v>259</v>
      </c>
      <c r="C56" s="82" t="str">
        <f>IF(OR(C$28="",$A56=""),"",(VLOOKUP(C$54,DivideInflow!$K$19:$W$22,7)-IF($A$59&lt;&gt;"",$B$59*$B$25,0))*(C$54))</f>
        <v/>
      </c>
      <c r="D56" s="82" t="str">
        <f>IF(OR(D$28="",$A56=""),"",(VLOOKUP(D$54,DivideInflow!$K$19:$W$22,7)-IF($A$59&lt;&gt;"",$B$59*$B$25,0))*(D$54))</f>
        <v/>
      </c>
      <c r="E56" s="82" t="str">
        <f>IF(OR(E$28="",$A56=""),"",(VLOOKUP(E$54,DivideInflow!$K$19:$W$22,7)-IF($A$59&lt;&gt;"",$B$59*$B$25,0))*(E$54))</f>
        <v/>
      </c>
      <c r="F56" s="82" t="str">
        <f>IF(OR(F$28="",$A56=""),"",(VLOOKUP(F$54,DivideInflow!$K$19:$W$22,7)-IF($A$59&lt;&gt;"",$B$59*$B$25,0))*(F$54))</f>
        <v/>
      </c>
      <c r="G56" s="82" t="str">
        <f>IF(OR(G$28="",$A56=""),"",(VLOOKUP(G$54,DivideInflow!$K$19:$W$22,7)-IF($A$59&lt;&gt;"",$B$59*$B$25,0))*(G$54))</f>
        <v/>
      </c>
      <c r="H56" s="82" t="str">
        <f t="shared" ref="H56" si="21">IF(OR(H$28="",$A56=""),"",MIN(H52,H$53-SUM(H57:H60)))</f>
        <v/>
      </c>
      <c r="I56" s="82" t="str">
        <f t="shared" ref="I56" si="22">IF(OR(I$28="",$A56=""),"",MIN(I52,I$53-SUM(I57:I60)))</f>
        <v/>
      </c>
      <c r="J56" s="82" t="str">
        <f t="shared" ref="J56" si="23">IF(OR(J$28="",$A56=""),"",MIN(J52,J$53-SUM(J57:J60)))</f>
        <v/>
      </c>
      <c r="K56" s="82" t="str">
        <f t="shared" ref="K56" si="24">IF(OR(K$28="",$A56=""),"",MIN(K52,K$53-SUM(K57:K60)))</f>
        <v/>
      </c>
      <c r="L56" s="82" t="str">
        <f t="shared" ref="L56" si="25">IF(OR(L$28="",$A56=""),"",MIN(L52,L$53-SUM(L57:L60)))</f>
        <v/>
      </c>
      <c r="M56" s="218" t="e">
        <f t="shared" ref="M56:M58" si="26">C56/C$54</f>
        <v>#VALUE!</v>
      </c>
      <c r="N56" s="143"/>
    </row>
    <row r="57" spans="1:16" x14ac:dyDescent="0.2">
      <c r="A57" t="str">
        <f>IF(A8="","","       To "&amp;A8)</f>
        <v xml:space="preserve">       To Nevada</v>
      </c>
      <c r="B57" s="207">
        <v>3.3000000000000002E-2</v>
      </c>
      <c r="C57" s="82" t="str">
        <f>IF(OR(C$28="",$A57=""),"",VLOOKUP(C$54,DivideInflow!$K$19:$W$22,8)*(C$54))</f>
        <v/>
      </c>
      <c r="D57" s="82" t="str">
        <f>IF(OR(D$28="",$A57=""),"",VLOOKUP(D$54,DivideInflow!$K$18:$W$22,8)*(D$54))</f>
        <v/>
      </c>
      <c r="E57" s="82" t="str">
        <f>IF(OR(E$28="",$A57=""),"",VLOOKUP(E$54,DivideInflow!$K$18:$W$22,8)*(E$54))</f>
        <v/>
      </c>
      <c r="F57" s="82" t="str">
        <f>IF(OR(F$28="",$A57=""),"",VLOOKUP(F$54,DivideInflow!$K$18:$W$22,8)*(F$54))</f>
        <v/>
      </c>
      <c r="G57" s="82" t="str">
        <f>IF(OR(G$28="",$A57=""),"",VLOOKUP(G$54,DivideInflow!$K$18:$W$22,8)*(G$54))</f>
        <v/>
      </c>
      <c r="H57" s="105" t="str">
        <f t="shared" ref="H57" si="27">IF(OR(H$28="",$A57=""),"",MIN($B57,H$53-SUM(H58:H60)))</f>
        <v/>
      </c>
      <c r="I57" s="105" t="str">
        <f t="shared" ref="I57" si="28">IF(OR(I$28="",$A57=""),"",MIN($B57,I$53-SUM(I58:I60)))</f>
        <v/>
      </c>
      <c r="J57" s="105" t="str">
        <f t="shared" ref="J57" si="29">IF(OR(J$28="",$A57=""),"",MIN($B57,J$53-SUM(J58:J60)))</f>
        <v/>
      </c>
      <c r="K57" s="105" t="str">
        <f t="shared" ref="K57" si="30">IF(OR(K$28="",$A57=""),"",MIN($B57,K$53-SUM(K58:K60)))</f>
        <v/>
      </c>
      <c r="L57" s="105" t="str">
        <f t="shared" ref="L57" si="31">IF(OR(L$28="",$A57=""),"",MIN($B57,L$53-SUM(L58:L60)))</f>
        <v/>
      </c>
      <c r="M57" s="218" t="e">
        <f t="shared" si="26"/>
        <v>#VALUE!</v>
      </c>
      <c r="N57" s="143"/>
    </row>
    <row r="58" spans="1:16" x14ac:dyDescent="0.2">
      <c r="A58" t="str">
        <f>IF(A9="","","       To "&amp;A9)</f>
        <v xml:space="preserve">       To Mexico</v>
      </c>
      <c r="B58" s="207">
        <v>0.16700000000000001</v>
      </c>
      <c r="C58" s="82" t="str">
        <f>IF(OR(C$28="",$A58=""),"",VLOOKUP(C$54,DivideInflow!$K$19:$W$22,10)*(C$54))</f>
        <v/>
      </c>
      <c r="D58" s="82" t="str">
        <f>IF(OR(D$28="",$A58=""),"",VLOOKUP(D$54,DivideInflow!$K$18:$W$22,10)*(D$54))</f>
        <v/>
      </c>
      <c r="E58" s="82" t="str">
        <f>IF(OR(E$28="",$A58=""),"",VLOOKUP(E$54,DivideInflow!$K$18:$W$22,10)*(E$54))</f>
        <v/>
      </c>
      <c r="F58" s="82" t="str">
        <f>IF(OR(F$28="",$A58=""),"",VLOOKUP(F$54,DivideInflow!$K$18:$W$22,10)*(F$54))</f>
        <v/>
      </c>
      <c r="G58" s="82" t="str">
        <f>IF(OR(G$28="",$A58=""),"",VLOOKUP(G$54,DivideInflow!$K$18:$W$22,10)*(G$54))</f>
        <v/>
      </c>
      <c r="H58" s="81" t="str">
        <f t="shared" ref="H58" si="32">IF(OR(H$28="",$A58=""),"",MIN($B58,H$53-SUM(H59:H60)))</f>
        <v/>
      </c>
      <c r="I58" s="81" t="str">
        <f t="shared" ref="I58" si="33">IF(OR(I$28="",$A58=""),"",MIN($B58,I$53-SUM(I59:I60)))</f>
        <v/>
      </c>
      <c r="J58" s="81" t="str">
        <f t="shared" ref="J58" si="34">IF(OR(J$28="",$A58=""),"",MIN($B58,J$53-SUM(J59:J60)))</f>
        <v/>
      </c>
      <c r="K58" s="81" t="str">
        <f t="shared" ref="K58" si="35">IF(OR(K$28="",$A58=""),"",MIN($B58,K$53-SUM(K59:K60)))</f>
        <v/>
      </c>
      <c r="L58" s="81" t="str">
        <f t="shared" ref="L58" si="36">IF(OR(L$28="",$A58=""),"",MIN($B58,L$53-SUM(L59:L60)))</f>
        <v/>
      </c>
      <c r="M58" s="218" t="e">
        <f t="shared" si="26"/>
        <v>#VALUE!</v>
      </c>
      <c r="N58" s="143"/>
    </row>
    <row r="59" spans="1:16" x14ac:dyDescent="0.2">
      <c r="A59" t="str">
        <f>IF(A10="","","       To "&amp;A10)</f>
        <v xml:space="preserve">       To Tribal Nations of the Lower Basin</v>
      </c>
      <c r="B59" s="207">
        <f>IF(A59="","",0.952/7.5)</f>
        <v>0.12693333333333331</v>
      </c>
      <c r="C59" s="82" t="str">
        <f>IF(OR(C$28="",$A59=""),"",C$54*$B59)</f>
        <v/>
      </c>
      <c r="D59" s="82" t="str">
        <f t="shared" ref="D59:G59" si="37">IF(OR(D$28="",$A59=""),"",D$54*$B59)</f>
        <v/>
      </c>
      <c r="E59" s="82" t="str">
        <f t="shared" si="37"/>
        <v/>
      </c>
      <c r="F59" s="82" t="str">
        <f t="shared" si="37"/>
        <v/>
      </c>
      <c r="G59" s="82" t="str">
        <f t="shared" si="37"/>
        <v/>
      </c>
      <c r="H59" s="152" t="str">
        <f t="shared" ref="H59:L59" si="38">IF(OR(H$28="",$A59=""),"",IF(H$53&gt;H51,H51,H53))</f>
        <v/>
      </c>
      <c r="I59" s="152" t="str">
        <f t="shared" si="38"/>
        <v/>
      </c>
      <c r="J59" s="152" t="str">
        <f t="shared" si="38"/>
        <v/>
      </c>
      <c r="K59" s="152" t="str">
        <f t="shared" si="38"/>
        <v/>
      </c>
      <c r="L59" s="152" t="str">
        <f t="shared" si="38"/>
        <v/>
      </c>
      <c r="M59" s="218" t="e">
        <f>IF(A59="","",C59/C$54)</f>
        <v>#VALUE!</v>
      </c>
      <c r="N59" s="143"/>
    </row>
    <row r="60" spans="1:16" hidden="1" x14ac:dyDescent="0.2">
      <c r="A60" t="str">
        <f>IF(A31="","","    To "&amp;A31)</f>
        <v xml:space="preserve">    To Havasu / Parker evaporation and ET</v>
      </c>
      <c r="B60" s="151" t="s">
        <v>160</v>
      </c>
      <c r="C60" s="153" t="str">
        <f>IF(OR(C$28="",$A60=""),"",MIN(C31,C52-C59))</f>
        <v/>
      </c>
      <c r="D60" s="153" t="str">
        <f>IF(OR(D$28="",$A60=""),"",MIN(D31,D52-D59))</f>
        <v/>
      </c>
      <c r="E60" s="153" t="str">
        <f>IF(OR(E$28="",$A60=""),"",MIN(E31,E52-E59))</f>
        <v/>
      </c>
      <c r="F60" s="153" t="str">
        <f>IF(OR(F$28="",$A60=""),"",MIN(F31,F52-F59))</f>
        <v/>
      </c>
      <c r="G60" s="153" t="str">
        <f>IF(OR(G$28="",$A60=""),"",MIN(G31,G52-G59))</f>
        <v/>
      </c>
      <c r="H60" s="153" t="str">
        <f t="shared" ref="H60" si="39">IF(OR(H$28="",$A60=""),"",MIN(H31,H53-H59))</f>
        <v/>
      </c>
      <c r="I60" s="153" t="str">
        <f t="shared" ref="I60" si="40">IF(OR(I$28="",$A60=""),"",MIN(I31,I53-I59))</f>
        <v/>
      </c>
      <c r="J60" s="153" t="str">
        <f t="shared" ref="J60" si="41">IF(OR(J$28="",$A60=""),"",MIN(J31,J53-J59))</f>
        <v/>
      </c>
      <c r="K60" s="153" t="str">
        <f t="shared" ref="K60" si="42">IF(OR(K$28="",$A60=""),"",MIN(K31,K53-K59))</f>
        <v/>
      </c>
      <c r="L60" s="153" t="str">
        <f t="shared" ref="L60" si="43">IF(OR(L$28="",$A60=""),"",MIN(L31,L53-L59))</f>
        <v/>
      </c>
      <c r="M60" s="218" t="e">
        <f t="shared" ref="M60" si="44">F60/F$54</f>
        <v>#VALUE!</v>
      </c>
      <c r="N60" s="143"/>
    </row>
    <row r="61" spans="1:16" x14ac:dyDescent="0.2">
      <c r="B61" s="19"/>
      <c r="C61" s="18"/>
      <c r="D61" s="18"/>
      <c r="E61" s="18"/>
      <c r="F61" s="116"/>
      <c r="G61" s="28"/>
      <c r="N61" s="142"/>
    </row>
    <row r="62" spans="1:16" x14ac:dyDescent="0.2">
      <c r="A62" s="101" t="s">
        <v>188</v>
      </c>
      <c r="B62" s="98"/>
      <c r="C62" s="98"/>
      <c r="D62" s="98"/>
      <c r="E62" s="98"/>
      <c r="F62" s="98"/>
      <c r="G62" s="98"/>
      <c r="H62" s="98"/>
      <c r="I62" s="98"/>
      <c r="J62" s="98"/>
      <c r="K62" s="98"/>
      <c r="L62" s="98"/>
      <c r="M62" s="98"/>
      <c r="N62" s="138" t="str">
        <f>N3</f>
        <v>HELP, CONTEXT, and SUGGESTIONS</v>
      </c>
    </row>
    <row r="63" spans="1:16" x14ac:dyDescent="0.2">
      <c r="A63" s="119" t="str">
        <f>IF(A$5="[Unused]","",A5&amp;" ("&amp;B5&amp;")")</f>
        <v>Reclamation - Protect Zone ()</v>
      </c>
      <c r="B63" s="99"/>
      <c r="C63" s="99"/>
      <c r="D63" s="99"/>
      <c r="E63" s="99"/>
      <c r="F63" s="99"/>
      <c r="G63" s="99"/>
      <c r="H63" s="99"/>
      <c r="I63" s="99"/>
      <c r="J63" s="99"/>
      <c r="K63" s="99"/>
      <c r="L63" s="99"/>
      <c r="M63" s="100" t="s">
        <v>25</v>
      </c>
      <c r="N63" s="139" t="s">
        <v>147</v>
      </c>
    </row>
    <row r="64" spans="1:16" x14ac:dyDescent="0.2">
      <c r="A64" s="126" t="str">
        <f>IF(A63="[Unused]","","   Enter volume to Buy(+) or Sell(-) [maf]")</f>
        <v xml:space="preserve">   Enter volume to Buy(+) or Sell(-) [maf]</v>
      </c>
      <c r="C64" s="91"/>
      <c r="D64" s="91"/>
      <c r="E64" s="91"/>
      <c r="F64" s="91"/>
      <c r="G64" s="91"/>
      <c r="H64" s="91"/>
      <c r="I64" s="91"/>
      <c r="J64" s="91"/>
      <c r="K64" s="91"/>
      <c r="L64" s="91"/>
      <c r="M64" s="44">
        <f>SUM(C64:L64)</f>
        <v>0</v>
      </c>
      <c r="N64" s="144" t="s">
        <v>148</v>
      </c>
    </row>
    <row r="65" spans="1:14" x14ac:dyDescent="0.2">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149</v>
      </c>
    </row>
    <row r="66" spans="1:14" x14ac:dyDescent="0.2">
      <c r="A66" t="str">
        <f>IF(A65="","","   Net trade volume all participants (should be zero)")</f>
        <v xml:space="preserve">   Net trade volume all participants (should be zero)</v>
      </c>
      <c r="C66" s="44" t="str">
        <f t="shared" ref="C66:M66" si="45">IF(OR(C$28="",$A66=""),"",C$119)</f>
        <v/>
      </c>
      <c r="D66" s="44" t="str">
        <f t="shared" si="45"/>
        <v/>
      </c>
      <c r="E66" s="44" t="str">
        <f t="shared" si="45"/>
        <v/>
      </c>
      <c r="F66" s="44" t="str">
        <f t="shared" si="45"/>
        <v/>
      </c>
      <c r="G66" s="44" t="str">
        <f t="shared" si="45"/>
        <v/>
      </c>
      <c r="H66" s="44" t="str">
        <f t="shared" si="45"/>
        <v/>
      </c>
      <c r="I66" s="44" t="str">
        <f t="shared" si="45"/>
        <v/>
      </c>
      <c r="J66" s="44" t="str">
        <f t="shared" si="45"/>
        <v/>
      </c>
      <c r="K66" s="44" t="str">
        <f t="shared" si="45"/>
        <v/>
      </c>
      <c r="L66" s="44" t="str">
        <f t="shared" si="45"/>
        <v/>
      </c>
      <c r="M66" t="str">
        <f t="shared" si="45"/>
        <v/>
      </c>
      <c r="N66" s="141" t="s">
        <v>150</v>
      </c>
    </row>
    <row r="67" spans="1:14" x14ac:dyDescent="0.2">
      <c r="A67" s="1" t="str">
        <f>IF(A65="","","   Available Water [maf]")</f>
        <v xml:space="preserve">   Available Water [maf]</v>
      </c>
      <c r="C67" s="12" t="str">
        <f>IF(OR(C$28="",$A67=""),"",C36+C53-C46+C64)</f>
        <v/>
      </c>
      <c r="D67" s="12" t="str">
        <f>IF(OR(D$28="",$A67=""),"",D36+D53-D46+D64)</f>
        <v/>
      </c>
      <c r="E67" s="12" t="str">
        <f>IF(OR(E$28="",$A67=""),"",E36+E53-E46+E64)</f>
        <v/>
      </c>
      <c r="F67" s="12" t="str">
        <f>IF(OR(F$28="",$A67=""),"",F36+F53-F46+F64)</f>
        <v/>
      </c>
      <c r="G67" s="12" t="str">
        <f>IF(OR(G$28="",$A67=""),"",G36+G53-G46+G64)</f>
        <v/>
      </c>
      <c r="H67" s="12" t="str">
        <f t="shared" ref="H67:L67" si="46">IF(OR(H$28="",$A67=""),"",H36+H54-H46+H64)</f>
        <v/>
      </c>
      <c r="I67" s="12" t="str">
        <f t="shared" si="46"/>
        <v/>
      </c>
      <c r="J67" s="12" t="str">
        <f t="shared" si="46"/>
        <v/>
      </c>
      <c r="K67" s="12" t="str">
        <f t="shared" si="46"/>
        <v/>
      </c>
      <c r="L67" s="12" t="str">
        <f t="shared" si="46"/>
        <v/>
      </c>
      <c r="N67" s="141" t="s">
        <v>151</v>
      </c>
    </row>
    <row r="68" spans="1:14" x14ac:dyDescent="0.2">
      <c r="A68" s="125" t="str">
        <f>IF(A67="","","   Enter withdraw [maf] within available water")</f>
        <v xml:space="preserve">   Enter withdraw [maf] within available water</v>
      </c>
      <c r="C68" s="93"/>
      <c r="D68" s="93"/>
      <c r="E68" s="93"/>
      <c r="F68" s="93"/>
      <c r="G68" s="93"/>
      <c r="H68" s="93"/>
      <c r="I68" s="93"/>
      <c r="J68" s="93"/>
      <c r="K68" s="93"/>
      <c r="L68" s="93"/>
      <c r="N68" s="141" t="s">
        <v>156</v>
      </c>
    </row>
    <row r="69" spans="1:14" x14ac:dyDescent="0.2">
      <c r="A69" t="str">
        <f>IF(A68="","","   End of Year Balance [maf]")</f>
        <v xml:space="preserve">   End of Year Balance [maf]</v>
      </c>
      <c r="C69" s="12" t="str">
        <f>IF(OR(C$28="",$A69=""),"",C67-C68)</f>
        <v/>
      </c>
      <c r="D69" s="12" t="str">
        <f t="shared" ref="D69:L69" si="47">IF(OR(D$28="",$A69=""),"",D67-D68)</f>
        <v/>
      </c>
      <c r="E69" s="12" t="str">
        <f t="shared" si="47"/>
        <v/>
      </c>
      <c r="F69" s="12" t="str">
        <f t="shared" si="47"/>
        <v/>
      </c>
      <c r="G69" s="12" t="str">
        <f t="shared" si="47"/>
        <v/>
      </c>
      <c r="H69" s="12" t="str">
        <f t="shared" si="47"/>
        <v/>
      </c>
      <c r="I69" s="12" t="str">
        <f t="shared" si="47"/>
        <v/>
      </c>
      <c r="J69" s="12" t="str">
        <f t="shared" si="47"/>
        <v/>
      </c>
      <c r="K69" s="12" t="str">
        <f t="shared" si="47"/>
        <v/>
      </c>
      <c r="L69" s="12" t="str">
        <f t="shared" si="47"/>
        <v/>
      </c>
      <c r="N69" s="141" t="s">
        <v>152</v>
      </c>
    </row>
    <row r="70" spans="1:14" x14ac:dyDescent="0.2">
      <c r="C70"/>
      <c r="N70" s="142"/>
    </row>
    <row r="71" spans="1:14" x14ac:dyDescent="0.2">
      <c r="A71" s="119" t="str">
        <f>IF(A$6="","[Unused]",A6&amp;" ("&amp;B6&amp;")")</f>
        <v>California ()</v>
      </c>
      <c r="B71" s="99"/>
      <c r="C71" s="99"/>
      <c r="D71" s="99"/>
      <c r="E71" s="99"/>
      <c r="F71" s="99"/>
      <c r="G71" s="99"/>
      <c r="H71" s="99"/>
      <c r="I71" s="99"/>
      <c r="J71" s="99"/>
      <c r="K71" s="99"/>
      <c r="L71" s="99"/>
      <c r="M71" s="100" t="s">
        <v>25</v>
      </c>
      <c r="N71" s="139" t="s">
        <v>147</v>
      </c>
    </row>
    <row r="72" spans="1:14" x14ac:dyDescent="0.2">
      <c r="A72" s="126" t="str">
        <f>IF(A71="[Unused]","",$A$64)</f>
        <v xml:space="preserve">   Enter volume to Buy(+) or Sell(-) [maf]</v>
      </c>
      <c r="C72" s="91"/>
      <c r="D72" s="91"/>
      <c r="E72" s="91"/>
      <c r="F72" s="91"/>
      <c r="G72" s="91"/>
      <c r="H72" s="91"/>
      <c r="I72" s="91"/>
      <c r="J72" s="91"/>
      <c r="K72" s="91"/>
      <c r="L72" s="91"/>
      <c r="M72" s="44">
        <f>SUM(C72:L72)</f>
        <v>0</v>
      </c>
      <c r="N72" s="144" t="s">
        <v>148</v>
      </c>
    </row>
    <row r="73" spans="1:14" x14ac:dyDescent="0.2">
      <c r="A73" s="126" t="str">
        <f>IF(A72="","",$A$65)</f>
        <v xml:space="preserve">   Enter compensation to Buy(-) or Sell(+) [$ Mill]</v>
      </c>
      <c r="C73" s="92"/>
      <c r="D73" s="92"/>
      <c r="E73" s="92"/>
      <c r="F73" s="92"/>
      <c r="G73" s="92"/>
      <c r="H73" s="92"/>
      <c r="I73" s="92"/>
      <c r="J73" s="92"/>
      <c r="K73" s="92"/>
      <c r="L73" s="92"/>
      <c r="M73" s="43">
        <f>SUM(C73:L73)</f>
        <v>0</v>
      </c>
      <c r="N73" s="145" t="s">
        <v>149</v>
      </c>
    </row>
    <row r="74" spans="1:14" x14ac:dyDescent="0.2">
      <c r="A74" s="131" t="str">
        <f>IF(A73="","",$A$66)</f>
        <v xml:space="preserve">   Net trade volume all participants (should be zero)</v>
      </c>
      <c r="C74" s="44" t="str">
        <f t="shared" ref="C74:M74" si="48">IF(OR(C$28="",$A74=""),"",C$119)</f>
        <v/>
      </c>
      <c r="D74" s="44" t="str">
        <f t="shared" si="48"/>
        <v/>
      </c>
      <c r="E74" s="44" t="str">
        <f t="shared" si="48"/>
        <v/>
      </c>
      <c r="F74" s="44" t="str">
        <f t="shared" si="48"/>
        <v/>
      </c>
      <c r="G74" s="44" t="str">
        <f t="shared" si="48"/>
        <v/>
      </c>
      <c r="H74" s="44" t="str">
        <f t="shared" si="48"/>
        <v/>
      </c>
      <c r="I74" s="44" t="str">
        <f t="shared" si="48"/>
        <v/>
      </c>
      <c r="J74" s="44" t="str">
        <f t="shared" si="48"/>
        <v/>
      </c>
      <c r="K74" s="44" t="str">
        <f t="shared" si="48"/>
        <v/>
      </c>
      <c r="L74" s="44" t="str">
        <f t="shared" si="48"/>
        <v/>
      </c>
      <c r="M74" t="str">
        <f t="shared" si="48"/>
        <v/>
      </c>
      <c r="N74" s="141" t="s">
        <v>150</v>
      </c>
    </row>
    <row r="75" spans="1:14" x14ac:dyDescent="0.2">
      <c r="A75" s="1" t="str">
        <f>IF(A73="","","   Available Water [maf]")</f>
        <v xml:space="preserve">   Available Water [maf]</v>
      </c>
      <c r="C75" s="12" t="str">
        <f>IF(OR(C$28="",$A75=""),"",C37+C55-C47+C72)</f>
        <v/>
      </c>
      <c r="D75" s="12" t="str">
        <f>IF(OR(D$28="",$A75=""),"",D37+D55-D47+D72)</f>
        <v/>
      </c>
      <c r="E75" s="12" t="str">
        <f t="shared" ref="E75:L75" si="49">IF(OR(E$28="",$A75=""),"",E37+E55-E47+E72)</f>
        <v/>
      </c>
      <c r="F75" s="12" t="str">
        <f t="shared" si="49"/>
        <v/>
      </c>
      <c r="G75" s="12" t="str">
        <f t="shared" si="49"/>
        <v/>
      </c>
      <c r="H75" s="12" t="str">
        <f t="shared" si="49"/>
        <v/>
      </c>
      <c r="I75" s="12" t="str">
        <f t="shared" si="49"/>
        <v/>
      </c>
      <c r="J75" s="12" t="str">
        <f t="shared" si="49"/>
        <v/>
      </c>
      <c r="K75" s="12" t="str">
        <f t="shared" si="49"/>
        <v/>
      </c>
      <c r="L75" s="12" t="str">
        <f t="shared" si="49"/>
        <v/>
      </c>
      <c r="N75" s="141" t="s">
        <v>151</v>
      </c>
    </row>
    <row r="76" spans="1:14" x14ac:dyDescent="0.2">
      <c r="A76" s="125" t="str">
        <f>IF(A75="","",$A$68)</f>
        <v xml:space="preserve">   Enter withdraw [maf] within available water</v>
      </c>
      <c r="C76" s="93"/>
      <c r="D76" s="93"/>
      <c r="E76" s="93"/>
      <c r="F76" s="93"/>
      <c r="G76" s="93"/>
      <c r="H76" s="93"/>
      <c r="I76" s="93"/>
      <c r="J76" s="93"/>
      <c r="K76" s="93"/>
      <c r="L76" s="93"/>
      <c r="N76" s="141" t="s">
        <v>156</v>
      </c>
    </row>
    <row r="77" spans="1:14" x14ac:dyDescent="0.2">
      <c r="A77" t="str">
        <f>IF(A76="","","   End of Year Balance [maf]")</f>
        <v xml:space="preserve">   End of Year Balance [maf]</v>
      </c>
      <c r="C77" s="12" t="str">
        <f>IF(OR(C$28="",$A77=""),"",C75-C76)</f>
        <v/>
      </c>
      <c r="D77" s="12" t="str">
        <f t="shared" ref="D77:L77" si="50">IF(OR(D$28="",$A77=""),"",D75-D76)</f>
        <v/>
      </c>
      <c r="E77" s="12" t="str">
        <f t="shared" si="50"/>
        <v/>
      </c>
      <c r="F77" s="12" t="str">
        <f t="shared" si="50"/>
        <v/>
      </c>
      <c r="G77" s="12" t="str">
        <f t="shared" si="50"/>
        <v/>
      </c>
      <c r="H77" s="12" t="str">
        <f t="shared" si="50"/>
        <v/>
      </c>
      <c r="I77" s="12" t="str">
        <f t="shared" si="50"/>
        <v/>
      </c>
      <c r="J77" s="12" t="str">
        <f t="shared" si="50"/>
        <v/>
      </c>
      <c r="K77" s="12" t="str">
        <f t="shared" si="50"/>
        <v/>
      </c>
      <c r="L77" s="12" t="str">
        <f t="shared" si="50"/>
        <v/>
      </c>
      <c r="N77" s="141" t="s">
        <v>152</v>
      </c>
    </row>
    <row r="78" spans="1:14" x14ac:dyDescent="0.2">
      <c r="C78"/>
      <c r="N78" s="142"/>
    </row>
    <row r="79" spans="1:14" x14ac:dyDescent="0.2">
      <c r="A79" s="119" t="str">
        <f>IF(A$7="","[Unused]",A7&amp;" ("&amp;B7&amp;")")</f>
        <v>Arizona ()</v>
      </c>
      <c r="B79" s="99"/>
      <c r="C79" s="99"/>
      <c r="D79" s="99"/>
      <c r="E79" s="99"/>
      <c r="F79" s="99"/>
      <c r="G79" s="99"/>
      <c r="H79" s="99"/>
      <c r="I79" s="99"/>
      <c r="J79" s="99"/>
      <c r="K79" s="99"/>
      <c r="L79" s="99"/>
      <c r="M79" s="100" t="s">
        <v>25</v>
      </c>
      <c r="N79" s="139" t="s">
        <v>147</v>
      </c>
    </row>
    <row r="80" spans="1:14" x14ac:dyDescent="0.2">
      <c r="A80" s="126" t="str">
        <f>IF(A79="[Unused]","",$A$64)</f>
        <v xml:space="preserve">   Enter volume to Buy(+) or Sell(-) [maf]</v>
      </c>
      <c r="C80" s="91"/>
      <c r="D80" s="91"/>
      <c r="E80" s="91"/>
      <c r="F80" s="91"/>
      <c r="G80" s="91"/>
      <c r="H80" s="91"/>
      <c r="I80" s="91"/>
      <c r="J80" s="91"/>
      <c r="K80" s="91"/>
      <c r="L80" s="91"/>
      <c r="M80" s="44">
        <f>SUM(C80:L80)</f>
        <v>0</v>
      </c>
      <c r="N80" s="144" t="s">
        <v>148</v>
      </c>
    </row>
    <row r="81" spans="1:14" x14ac:dyDescent="0.2">
      <c r="A81" s="126" t="str">
        <f>IF(A80="","",$A$65)</f>
        <v xml:space="preserve">   Enter compensation to Buy(-) or Sell(+) [$ Mill]</v>
      </c>
      <c r="C81" s="92"/>
      <c r="D81" s="92"/>
      <c r="E81" s="92"/>
      <c r="F81" s="92"/>
      <c r="G81" s="92"/>
      <c r="H81" s="92"/>
      <c r="I81" s="92"/>
      <c r="J81" s="92"/>
      <c r="K81" s="92"/>
      <c r="L81" s="92"/>
      <c r="M81" s="43">
        <f>SUM(C81:L81)</f>
        <v>0</v>
      </c>
      <c r="N81" s="145" t="s">
        <v>149</v>
      </c>
    </row>
    <row r="82" spans="1:14" x14ac:dyDescent="0.2">
      <c r="A82" s="131" t="str">
        <f>IF(A81="","",$A$66)</f>
        <v xml:space="preserve">   Net trade volume all participants (should be zero)</v>
      </c>
      <c r="C82" s="44" t="str">
        <f t="shared" ref="C82:M82" si="51">IF(OR(C$28="",$A82=""),"",C$119)</f>
        <v/>
      </c>
      <c r="D82" s="44" t="str">
        <f t="shared" si="51"/>
        <v/>
      </c>
      <c r="E82" s="44" t="str">
        <f t="shared" si="51"/>
        <v/>
      </c>
      <c r="F82" s="44" t="str">
        <f t="shared" si="51"/>
        <v/>
      </c>
      <c r="G82" s="44" t="str">
        <f t="shared" si="51"/>
        <v/>
      </c>
      <c r="H82" s="44" t="str">
        <f t="shared" si="51"/>
        <v/>
      </c>
      <c r="I82" s="44" t="str">
        <f t="shared" si="51"/>
        <v/>
      </c>
      <c r="J82" s="44" t="str">
        <f t="shared" si="51"/>
        <v/>
      </c>
      <c r="K82" s="44" t="str">
        <f t="shared" si="51"/>
        <v/>
      </c>
      <c r="L82" s="44" t="str">
        <f t="shared" si="51"/>
        <v/>
      </c>
      <c r="M82" t="str">
        <f t="shared" si="51"/>
        <v/>
      </c>
      <c r="N82" s="141" t="s">
        <v>150</v>
      </c>
    </row>
    <row r="83" spans="1:14" x14ac:dyDescent="0.2">
      <c r="A83" s="1" t="str">
        <f>IF(A81="","","   Available Water [maf]")</f>
        <v xml:space="preserve">   Available Water [maf]</v>
      </c>
      <c r="C83" s="12" t="str">
        <f>IF(OR(C$28="",$A83=""),"",C38+C56-C48+C80)</f>
        <v/>
      </c>
      <c r="D83" s="12" t="str">
        <f t="shared" ref="D83:L83" si="52">IF(OR(D$28="",$A83=""),"",D38+D56-D48+D80)</f>
        <v/>
      </c>
      <c r="E83" s="12" t="str">
        <f t="shared" si="52"/>
        <v/>
      </c>
      <c r="F83" s="12" t="str">
        <f t="shared" si="52"/>
        <v/>
      </c>
      <c r="G83" s="12" t="str">
        <f t="shared" si="52"/>
        <v/>
      </c>
      <c r="H83" s="12" t="str">
        <f t="shared" si="52"/>
        <v/>
      </c>
      <c r="I83" s="12" t="str">
        <f t="shared" si="52"/>
        <v/>
      </c>
      <c r="J83" s="12" t="str">
        <f t="shared" si="52"/>
        <v/>
      </c>
      <c r="K83" s="12" t="str">
        <f t="shared" si="52"/>
        <v/>
      </c>
      <c r="L83" s="12" t="str">
        <f t="shared" si="52"/>
        <v/>
      </c>
      <c r="N83" s="141" t="s">
        <v>151</v>
      </c>
    </row>
    <row r="84" spans="1:14" x14ac:dyDescent="0.2">
      <c r="A84" s="125" t="str">
        <f>IF(A83="","",$A$68)</f>
        <v xml:space="preserve">   Enter withdraw [maf] within available water</v>
      </c>
      <c r="C84" s="93"/>
      <c r="D84" s="93"/>
      <c r="E84" s="93"/>
      <c r="F84" s="93"/>
      <c r="G84" s="93"/>
      <c r="H84" s="93"/>
      <c r="I84" s="93"/>
      <c r="J84" s="93"/>
      <c r="K84" s="93"/>
      <c r="L84" s="93"/>
      <c r="N84" s="141" t="s">
        <v>156</v>
      </c>
    </row>
    <row r="85" spans="1:14" x14ac:dyDescent="0.2">
      <c r="A85" t="str">
        <f>IF(A84="","","   End of Year Balance [maf]")</f>
        <v xml:space="preserve">   End of Year Balance [maf]</v>
      </c>
      <c r="C85" s="12" t="str">
        <f>IF(OR(C$28="",$A85=""),"",C83-C84)</f>
        <v/>
      </c>
      <c r="D85" s="12" t="str">
        <f t="shared" ref="D85:L85" si="53">IF(OR(D$28="",$A85=""),"",D83-D84)</f>
        <v/>
      </c>
      <c r="E85" s="12" t="str">
        <f t="shared" si="53"/>
        <v/>
      </c>
      <c r="F85" s="12" t="str">
        <f t="shared" si="53"/>
        <v/>
      </c>
      <c r="G85" s="12" t="str">
        <f t="shared" si="53"/>
        <v/>
      </c>
      <c r="H85" s="12" t="str">
        <f t="shared" si="53"/>
        <v/>
      </c>
      <c r="I85" s="12" t="str">
        <f t="shared" si="53"/>
        <v/>
      </c>
      <c r="J85" s="12" t="str">
        <f t="shared" si="53"/>
        <v/>
      </c>
      <c r="K85" s="12" t="str">
        <f t="shared" si="53"/>
        <v/>
      </c>
      <c r="L85" s="12" t="str">
        <f t="shared" si="53"/>
        <v/>
      </c>
      <c r="N85" s="141" t="s">
        <v>152</v>
      </c>
    </row>
    <row r="86" spans="1:14" x14ac:dyDescent="0.2">
      <c r="C86"/>
      <c r="N86" s="142"/>
    </row>
    <row r="87" spans="1:14" x14ac:dyDescent="0.2">
      <c r="A87" s="119" t="str">
        <f>IF(A$8="","[Unused]",A8&amp;" ("&amp;B8&amp;")")</f>
        <v>Nevada ()</v>
      </c>
      <c r="B87" s="99"/>
      <c r="C87" s="99"/>
      <c r="D87" s="99"/>
      <c r="E87" s="99"/>
      <c r="F87" s="99"/>
      <c r="G87" s="99"/>
      <c r="H87" s="99"/>
      <c r="I87" s="99"/>
      <c r="J87" s="99"/>
      <c r="K87" s="99"/>
      <c r="L87" s="99"/>
      <c r="M87" s="100" t="s">
        <v>25</v>
      </c>
      <c r="N87" s="139" t="s">
        <v>147</v>
      </c>
    </row>
    <row r="88" spans="1:14" x14ac:dyDescent="0.2">
      <c r="A88" s="126" t="str">
        <f>IF(A87="[Unused]","",$A$64)</f>
        <v xml:space="preserve">   Enter volume to Buy(+) or Sell(-) [maf]</v>
      </c>
      <c r="C88" s="91"/>
      <c r="D88" s="91"/>
      <c r="E88" s="91"/>
      <c r="F88" s="91"/>
      <c r="G88" s="91"/>
      <c r="H88" s="91"/>
      <c r="I88" s="91"/>
      <c r="J88" s="91"/>
      <c r="K88" s="91"/>
      <c r="L88" s="91"/>
      <c r="M88" s="44">
        <f>SUM(C88:L88)</f>
        <v>0</v>
      </c>
      <c r="N88" s="144" t="s">
        <v>148</v>
      </c>
    </row>
    <row r="89" spans="1:14" x14ac:dyDescent="0.2">
      <c r="A89" s="126" t="str">
        <f>IF(A88="","",$A$65)</f>
        <v xml:space="preserve">   Enter compensation to Buy(-) or Sell(+) [$ Mill]</v>
      </c>
      <c r="C89" s="92"/>
      <c r="D89" s="92"/>
      <c r="E89" s="92"/>
      <c r="F89" s="92"/>
      <c r="G89" s="92"/>
      <c r="H89" s="92"/>
      <c r="I89" s="92"/>
      <c r="J89" s="92"/>
      <c r="K89" s="92"/>
      <c r="L89" s="92"/>
      <c r="M89" s="43">
        <f>SUM(C89:L89)</f>
        <v>0</v>
      </c>
      <c r="N89" s="145" t="s">
        <v>149</v>
      </c>
    </row>
    <row r="90" spans="1:14" x14ac:dyDescent="0.2">
      <c r="A90" s="131" t="str">
        <f>IF(A89="","",$A$66)</f>
        <v xml:space="preserve">   Net trade volume all participants (should be zero)</v>
      </c>
      <c r="C90" s="44" t="str">
        <f t="shared" ref="C90:M90" si="54">IF(OR(C$28="",$A90=""),"",C$119)</f>
        <v/>
      </c>
      <c r="D90" s="44" t="str">
        <f t="shared" si="54"/>
        <v/>
      </c>
      <c r="E90" s="44" t="str">
        <f t="shared" si="54"/>
        <v/>
      </c>
      <c r="F90" s="44" t="str">
        <f t="shared" si="54"/>
        <v/>
      </c>
      <c r="G90" s="44" t="str">
        <f t="shared" si="54"/>
        <v/>
      </c>
      <c r="H90" s="44" t="str">
        <f t="shared" si="54"/>
        <v/>
      </c>
      <c r="I90" s="44" t="str">
        <f t="shared" si="54"/>
        <v/>
      </c>
      <c r="J90" s="44" t="str">
        <f t="shared" si="54"/>
        <v/>
      </c>
      <c r="K90" s="44" t="str">
        <f t="shared" si="54"/>
        <v/>
      </c>
      <c r="L90" s="44" t="str">
        <f t="shared" si="54"/>
        <v/>
      </c>
      <c r="M90" t="str">
        <f t="shared" si="54"/>
        <v/>
      </c>
      <c r="N90" s="141" t="s">
        <v>150</v>
      </c>
    </row>
    <row r="91" spans="1:14" x14ac:dyDescent="0.2">
      <c r="A91" s="1" t="str">
        <f>IF(A89="","","   Available Water [maf]")</f>
        <v xml:space="preserve">   Available Water [maf]</v>
      </c>
      <c r="C91" s="12" t="str">
        <f>IF(OR(C$28="",$A91=""),"",C39+C57-C49+C88)</f>
        <v/>
      </c>
      <c r="D91" s="12" t="str">
        <f t="shared" ref="D91:L91" si="55">IF(OR(D$28="",$A91=""),"",D39+D57-D49+D88)</f>
        <v/>
      </c>
      <c r="E91" s="12" t="str">
        <f t="shared" si="55"/>
        <v/>
      </c>
      <c r="F91" s="12" t="str">
        <f t="shared" si="55"/>
        <v/>
      </c>
      <c r="G91" s="12" t="str">
        <f t="shared" si="55"/>
        <v/>
      </c>
      <c r="H91" s="117" t="str">
        <f t="shared" si="55"/>
        <v/>
      </c>
      <c r="I91" s="117" t="str">
        <f t="shared" si="55"/>
        <v/>
      </c>
      <c r="J91" s="117" t="str">
        <f t="shared" si="55"/>
        <v/>
      </c>
      <c r="K91" s="117" t="str">
        <f t="shared" si="55"/>
        <v/>
      </c>
      <c r="L91" s="117" t="str">
        <f t="shared" si="55"/>
        <v/>
      </c>
      <c r="N91" s="141" t="s">
        <v>151</v>
      </c>
    </row>
    <row r="92" spans="1:14" x14ac:dyDescent="0.2">
      <c r="A92" s="125" t="str">
        <f>IF(A91="","",$A$68)</f>
        <v xml:space="preserve">   Enter withdraw [maf] within available water</v>
      </c>
      <c r="C92" s="93"/>
      <c r="D92" s="93"/>
      <c r="E92" s="93"/>
      <c r="F92" s="93"/>
      <c r="G92" s="93"/>
      <c r="H92" s="118"/>
      <c r="I92" s="118"/>
      <c r="J92" s="118"/>
      <c r="K92" s="118"/>
      <c r="L92" s="118"/>
      <c r="N92" s="141" t="s">
        <v>156</v>
      </c>
    </row>
    <row r="93" spans="1:14" x14ac:dyDescent="0.2">
      <c r="A93" t="str">
        <f>IF(A92="","","   End of Year Balance [maf]")</f>
        <v xml:space="preserve">   End of Year Balance [maf]</v>
      </c>
      <c r="C93" s="12" t="str">
        <f>IF(OR(C$28="",$A93=""),"",C91-C92)</f>
        <v/>
      </c>
      <c r="D93" s="12" t="str">
        <f t="shared" ref="D93:L93" si="56">IF(OR(D$28="",$A93=""),"",D91-D92)</f>
        <v/>
      </c>
      <c r="E93" s="12" t="str">
        <f t="shared" si="56"/>
        <v/>
      </c>
      <c r="F93" s="12" t="str">
        <f t="shared" si="56"/>
        <v/>
      </c>
      <c r="G93" s="12" t="str">
        <f t="shared" si="56"/>
        <v/>
      </c>
      <c r="H93" s="12" t="str">
        <f t="shared" si="56"/>
        <v/>
      </c>
      <c r="I93" s="12" t="str">
        <f t="shared" si="56"/>
        <v/>
      </c>
      <c r="J93" s="12" t="str">
        <f t="shared" si="56"/>
        <v/>
      </c>
      <c r="K93" s="12" t="str">
        <f t="shared" si="56"/>
        <v/>
      </c>
      <c r="L93" s="12" t="str">
        <f t="shared" si="56"/>
        <v/>
      </c>
      <c r="N93" s="141" t="s">
        <v>152</v>
      </c>
    </row>
    <row r="94" spans="1:14" x14ac:dyDescent="0.2">
      <c r="C94"/>
      <c r="N94" s="142"/>
    </row>
    <row r="95" spans="1:14" x14ac:dyDescent="0.2">
      <c r="A95" s="119" t="str">
        <f>IF(A$9="","[Unused]",A9&amp;" ("&amp;B9&amp;")")</f>
        <v>Mexico ()</v>
      </c>
      <c r="B95" s="99"/>
      <c r="C95" s="99"/>
      <c r="D95" s="99"/>
      <c r="E95" s="99"/>
      <c r="F95" s="99"/>
      <c r="G95" s="99"/>
      <c r="H95" s="99"/>
      <c r="I95" s="99"/>
      <c r="J95" s="99"/>
      <c r="K95" s="99"/>
      <c r="L95" s="99"/>
      <c r="M95" s="100" t="s">
        <v>25</v>
      </c>
      <c r="N95" s="139" t="s">
        <v>147</v>
      </c>
    </row>
    <row r="96" spans="1:14" x14ac:dyDescent="0.2">
      <c r="A96" t="str">
        <f>IF(A95="[Unused]","",$A$64)</f>
        <v xml:space="preserve">   Enter volume to Buy(+) or Sell(-) [maf]</v>
      </c>
      <c r="C96" s="91"/>
      <c r="D96" s="91"/>
      <c r="E96" s="91"/>
      <c r="F96" s="91"/>
      <c r="G96" s="91"/>
      <c r="H96" s="91"/>
      <c r="I96" s="91"/>
      <c r="J96" s="91"/>
      <c r="K96" s="91"/>
      <c r="L96" s="91"/>
      <c r="M96" s="44">
        <f>SUM(C96:L96)</f>
        <v>0</v>
      </c>
      <c r="N96" s="144" t="s">
        <v>148</v>
      </c>
    </row>
    <row r="97" spans="1:14" x14ac:dyDescent="0.2">
      <c r="A97" t="str">
        <f>IF(A96="","",$A$65)</f>
        <v xml:space="preserve">   Enter compensation to Buy(-) or Sell(+) [$ Mill]</v>
      </c>
      <c r="C97" s="92"/>
      <c r="D97" s="92"/>
      <c r="E97" s="92"/>
      <c r="F97" s="92"/>
      <c r="G97" s="92"/>
      <c r="H97" s="92"/>
      <c r="I97" s="92"/>
      <c r="J97" s="92"/>
      <c r="K97" s="92"/>
      <c r="L97" s="92"/>
      <c r="M97" s="43">
        <f>SUM(C97:L97)</f>
        <v>0</v>
      </c>
      <c r="N97" s="145" t="s">
        <v>149</v>
      </c>
    </row>
    <row r="98" spans="1:14" x14ac:dyDescent="0.2">
      <c r="A98" s="131" t="str">
        <f>IF(A97="","",$A$66)</f>
        <v xml:space="preserve">   Net trade volume all participants (should be zero)</v>
      </c>
      <c r="C98" s="44" t="str">
        <f t="shared" ref="C98:M98" si="57">IF(OR(C$28="",$A98=""),"",C$119)</f>
        <v/>
      </c>
      <c r="D98" s="44" t="str">
        <f t="shared" si="57"/>
        <v/>
      </c>
      <c r="E98" s="44" t="str">
        <f t="shared" si="57"/>
        <v/>
      </c>
      <c r="F98" s="44" t="str">
        <f t="shared" si="57"/>
        <v/>
      </c>
      <c r="G98" s="44" t="str">
        <f t="shared" si="57"/>
        <v/>
      </c>
      <c r="H98" s="44" t="str">
        <f t="shared" si="57"/>
        <v/>
      </c>
      <c r="I98" s="44" t="str">
        <f t="shared" si="57"/>
        <v/>
      </c>
      <c r="J98" s="44" t="str">
        <f t="shared" si="57"/>
        <v/>
      </c>
      <c r="K98" s="44" t="str">
        <f t="shared" si="57"/>
        <v/>
      </c>
      <c r="L98" s="44" t="str">
        <f t="shared" si="57"/>
        <v/>
      </c>
      <c r="M98" t="str">
        <f t="shared" si="57"/>
        <v/>
      </c>
      <c r="N98" s="141" t="s">
        <v>150</v>
      </c>
    </row>
    <row r="99" spans="1:14" x14ac:dyDescent="0.2">
      <c r="A99" s="1" t="str">
        <f>IF(A97="","","   Available Water [maf]")</f>
        <v xml:space="preserve">   Available Water [maf]</v>
      </c>
      <c r="C99" s="12" t="str">
        <f>IF(OR(C$28="",$A99=""),"",C40+C58-C50+C96)</f>
        <v/>
      </c>
      <c r="D99" s="12" t="str">
        <f t="shared" ref="D99:L99" si="58">IF(OR(D$28="",$A99=""),"",D40+D58-D50+D96)</f>
        <v/>
      </c>
      <c r="E99" s="12" t="str">
        <f t="shared" si="58"/>
        <v/>
      </c>
      <c r="F99" s="12" t="str">
        <f t="shared" si="58"/>
        <v/>
      </c>
      <c r="G99" s="12" t="str">
        <f t="shared" si="58"/>
        <v/>
      </c>
      <c r="H99" s="12" t="str">
        <f t="shared" si="58"/>
        <v/>
      </c>
      <c r="I99" s="12" t="str">
        <f t="shared" si="58"/>
        <v/>
      </c>
      <c r="J99" s="12" t="str">
        <f t="shared" si="58"/>
        <v/>
      </c>
      <c r="K99" s="12" t="str">
        <f t="shared" si="58"/>
        <v/>
      </c>
      <c r="L99" s="12" t="str">
        <f t="shared" si="58"/>
        <v/>
      </c>
      <c r="N99" s="141" t="s">
        <v>151</v>
      </c>
    </row>
    <row r="100" spans="1:14" x14ac:dyDescent="0.2">
      <c r="A100" s="125" t="str">
        <f>IF(A99="","",$A$68)</f>
        <v xml:space="preserve">   Enter withdraw [maf] within available water</v>
      </c>
      <c r="C100" s="93"/>
      <c r="D100" s="93"/>
      <c r="E100" s="93"/>
      <c r="F100" s="93"/>
      <c r="G100" s="93"/>
      <c r="H100" s="93"/>
      <c r="I100" s="93"/>
      <c r="J100" s="93"/>
      <c r="K100" s="93"/>
      <c r="L100" s="93"/>
      <c r="N100" s="141" t="s">
        <v>156</v>
      </c>
    </row>
    <row r="101" spans="1:14" x14ac:dyDescent="0.2">
      <c r="A101" t="str">
        <f>IF(A100="","","   End of Year Balance [maf]")</f>
        <v xml:space="preserve">   End of Year Balance [maf]</v>
      </c>
      <c r="C101" s="12" t="str">
        <f>IF(OR(C$28="",$A101=""),"",C99-C100)</f>
        <v/>
      </c>
      <c r="D101" s="12" t="str">
        <f t="shared" ref="D101:L101" si="59">IF(OR(D$28="",$A101=""),"",D99-D100)</f>
        <v/>
      </c>
      <c r="E101" s="12" t="str">
        <f t="shared" si="59"/>
        <v/>
      </c>
      <c r="F101" s="12" t="str">
        <f t="shared" si="59"/>
        <v/>
      </c>
      <c r="G101" s="12" t="str">
        <f t="shared" si="59"/>
        <v/>
      </c>
      <c r="H101" s="12" t="str">
        <f t="shared" si="59"/>
        <v/>
      </c>
      <c r="I101" s="12" t="str">
        <f t="shared" si="59"/>
        <v/>
      </c>
      <c r="J101" s="12" t="str">
        <f t="shared" si="59"/>
        <v/>
      </c>
      <c r="K101" s="12" t="str">
        <f t="shared" si="59"/>
        <v/>
      </c>
      <c r="L101" s="12" t="str">
        <f t="shared" si="59"/>
        <v/>
      </c>
      <c r="N101" s="141" t="s">
        <v>152</v>
      </c>
    </row>
    <row r="102" spans="1:14" x14ac:dyDescent="0.2">
      <c r="C102"/>
      <c r="N102" s="142"/>
    </row>
    <row r="103" spans="1:14" x14ac:dyDescent="0.2">
      <c r="A103" s="119" t="str">
        <f>IF(A$10="","[Unused]",A10&amp;" ("&amp;B10&amp;")")</f>
        <v>Tribal Nations of the Lower Basin ()</v>
      </c>
      <c r="B103" s="99"/>
      <c r="C103" s="99"/>
      <c r="D103" s="99"/>
      <c r="E103" s="99"/>
      <c r="F103" s="99"/>
      <c r="G103" s="99"/>
      <c r="H103" s="99"/>
      <c r="I103" s="99"/>
      <c r="J103" s="99"/>
      <c r="K103" s="99"/>
      <c r="L103" s="99"/>
      <c r="M103" s="100" t="s">
        <v>25</v>
      </c>
      <c r="N103" s="139" t="s">
        <v>147</v>
      </c>
    </row>
    <row r="104" spans="1:14" x14ac:dyDescent="0.2">
      <c r="A104" s="126" t="str">
        <f>IF(A103="[Unused]","",$A$64)</f>
        <v xml:space="preserve">   Enter volume to Buy(+) or Sell(-) [maf]</v>
      </c>
      <c r="C104" s="215"/>
      <c r="D104" s="215"/>
      <c r="E104" s="215"/>
      <c r="F104" s="215"/>
      <c r="G104" s="215"/>
      <c r="H104" s="17"/>
      <c r="I104" s="17"/>
      <c r="J104" s="17"/>
      <c r="K104" s="17"/>
      <c r="L104" s="17"/>
      <c r="M104" s="44">
        <f>SUM(C104:L104)</f>
        <v>0</v>
      </c>
      <c r="N104" s="144" t="s">
        <v>148</v>
      </c>
    </row>
    <row r="105" spans="1:14" x14ac:dyDescent="0.2">
      <c r="A105" s="126" t="str">
        <f>IF(A104="","",$A$65)</f>
        <v xml:space="preserve">   Enter compensation to Buy(-) or Sell(+) [$ Mill]</v>
      </c>
      <c r="C105" s="216"/>
      <c r="D105" s="216"/>
      <c r="E105" s="216"/>
      <c r="F105" s="216"/>
      <c r="G105" s="216"/>
      <c r="H105" s="112"/>
      <c r="I105" s="112"/>
      <c r="J105" s="112"/>
      <c r="K105" s="112"/>
      <c r="L105" s="112"/>
      <c r="M105" s="43">
        <f>SUM(C105:L105)</f>
        <v>0</v>
      </c>
      <c r="N105" s="145" t="s">
        <v>149</v>
      </c>
    </row>
    <row r="106" spans="1:14" x14ac:dyDescent="0.2">
      <c r="A106" s="131" t="str">
        <f>IF(A105="","",$A$66)</f>
        <v xml:space="preserve">   Net trade volume all participants (should be zero)</v>
      </c>
      <c r="C106" s="44" t="str">
        <f t="shared" ref="C106:M106" si="60">IF(OR(C$28="",$A106=""),"",C$119)</f>
        <v/>
      </c>
      <c r="D106" s="44" t="str">
        <f t="shared" si="60"/>
        <v/>
      </c>
      <c r="E106" s="44" t="str">
        <f t="shared" si="60"/>
        <v/>
      </c>
      <c r="F106" s="44" t="str">
        <f t="shared" si="60"/>
        <v/>
      </c>
      <c r="G106" s="44" t="str">
        <f t="shared" si="60"/>
        <v/>
      </c>
      <c r="H106" s="44" t="str">
        <f t="shared" si="60"/>
        <v/>
      </c>
      <c r="I106" s="44" t="str">
        <f t="shared" si="60"/>
        <v/>
      </c>
      <c r="J106" s="44" t="str">
        <f t="shared" si="60"/>
        <v/>
      </c>
      <c r="K106" s="44" t="str">
        <f t="shared" si="60"/>
        <v/>
      </c>
      <c r="L106" s="44" t="str">
        <f t="shared" si="60"/>
        <v/>
      </c>
      <c r="M106" t="str">
        <f t="shared" si="60"/>
        <v/>
      </c>
      <c r="N106" s="141" t="s">
        <v>150</v>
      </c>
    </row>
    <row r="107" spans="1:14" x14ac:dyDescent="0.2">
      <c r="A107" s="1" t="str">
        <f>IF(A105="","","   Available Water [maf]")</f>
        <v xml:space="preserve">   Available Water [maf]</v>
      </c>
      <c r="C107" s="12" t="str">
        <f>IF(OR(C$28="",$A107=""),"",C41+C59-C51+C104)</f>
        <v/>
      </c>
      <c r="D107" s="12" t="str">
        <f t="shared" ref="D107:L107" si="61">IF(OR(D$28="",$A107=""),"",D41+D59-D51+D104)</f>
        <v/>
      </c>
      <c r="E107" s="12" t="str">
        <f t="shared" si="61"/>
        <v/>
      </c>
      <c r="F107" s="12" t="str">
        <f t="shared" si="61"/>
        <v/>
      </c>
      <c r="G107" s="12" t="str">
        <f t="shared" si="61"/>
        <v/>
      </c>
      <c r="H107" s="12" t="str">
        <f t="shared" si="61"/>
        <v/>
      </c>
      <c r="I107" s="12" t="str">
        <f t="shared" si="61"/>
        <v/>
      </c>
      <c r="J107" s="12" t="str">
        <f t="shared" si="61"/>
        <v/>
      </c>
      <c r="K107" s="12" t="str">
        <f t="shared" si="61"/>
        <v/>
      </c>
      <c r="L107" s="12" t="str">
        <f t="shared" si="61"/>
        <v/>
      </c>
      <c r="N107" s="141" t="s">
        <v>151</v>
      </c>
    </row>
    <row r="108" spans="1:14" x14ac:dyDescent="0.2">
      <c r="A108" s="125" t="str">
        <f>IF(A107="","",$A$68)</f>
        <v xml:space="preserve">   Enter withdraw [maf] within available water</v>
      </c>
      <c r="C108" s="217"/>
      <c r="D108" s="217"/>
      <c r="E108" s="217"/>
      <c r="F108" s="217"/>
      <c r="G108" s="217"/>
      <c r="H108" s="27"/>
      <c r="I108" s="27"/>
      <c r="J108" s="27"/>
      <c r="K108" s="27"/>
      <c r="L108" s="27"/>
      <c r="N108" s="141" t="s">
        <v>156</v>
      </c>
    </row>
    <row r="109" spans="1:14" x14ac:dyDescent="0.2">
      <c r="A109" t="str">
        <f>IF(A108="","","   End of Year Balance [maf]")</f>
        <v xml:space="preserve">   End of Year Balance [maf]</v>
      </c>
      <c r="C109" s="12" t="str">
        <f>IF(OR(C$28="",$A109=""),"",C107-C108)</f>
        <v/>
      </c>
      <c r="D109" s="12" t="str">
        <f t="shared" ref="D109:L109" si="62">IF(OR(D$28="",$A109=""),"",D107-D108)</f>
        <v/>
      </c>
      <c r="E109" s="12" t="str">
        <f t="shared" si="62"/>
        <v/>
      </c>
      <c r="F109" s="12" t="str">
        <f t="shared" si="62"/>
        <v/>
      </c>
      <c r="G109" s="12" t="str">
        <f t="shared" si="62"/>
        <v/>
      </c>
      <c r="H109" s="12" t="str">
        <f t="shared" si="62"/>
        <v/>
      </c>
      <c r="I109" s="12" t="str">
        <f t="shared" si="62"/>
        <v/>
      </c>
      <c r="J109" s="12" t="str">
        <f t="shared" si="62"/>
        <v/>
      </c>
      <c r="K109" s="12" t="str">
        <f t="shared" si="62"/>
        <v/>
      </c>
      <c r="L109" s="12" t="str">
        <f t="shared" si="62"/>
        <v/>
      </c>
      <c r="N109" s="141" t="s">
        <v>152</v>
      </c>
    </row>
    <row r="110" spans="1:14" x14ac:dyDescent="0.2">
      <c r="C110"/>
      <c r="N110" s="142"/>
    </row>
    <row r="111" spans="1:14" x14ac:dyDescent="0.2">
      <c r="A111" s="101" t="s">
        <v>189</v>
      </c>
      <c r="B111" s="101"/>
      <c r="C111" s="101"/>
      <c r="D111" s="101"/>
      <c r="E111" s="101"/>
      <c r="F111" s="101"/>
      <c r="G111" s="101"/>
      <c r="H111" s="101"/>
      <c r="I111" s="101"/>
      <c r="J111" s="101"/>
      <c r="K111" s="101"/>
      <c r="L111" s="101"/>
      <c r="M111" s="101"/>
      <c r="N111" s="141" t="s">
        <v>153</v>
      </c>
    </row>
    <row r="112" spans="1:14" x14ac:dyDescent="0.2">
      <c r="A112" s="1" t="s">
        <v>103</v>
      </c>
      <c r="C112"/>
      <c r="M112" t="s">
        <v>50</v>
      </c>
      <c r="N112" s="142"/>
    </row>
    <row r="113" spans="1:14" x14ac:dyDescent="0.2">
      <c r="A113" t="str">
        <f t="shared" ref="A113:A118" si="63">IF(A5="","","    "&amp;A5)</f>
        <v xml:space="preserve">    Reclamation - Protect Zone</v>
      </c>
      <c r="B113" s="1"/>
      <c r="C113" s="44" t="str">
        <f t="shared" ref="C113:L113" ca="1" si="64">IF(OR(C$28="",$A113=""),"",OFFSET(C$64,8*(ROW(B113)-ROW(B$113)),0))</f>
        <v/>
      </c>
      <c r="D113" s="44" t="str">
        <f t="shared" ca="1" si="64"/>
        <v/>
      </c>
      <c r="E113" s="44" t="str">
        <f t="shared" ca="1" si="64"/>
        <v/>
      </c>
      <c r="F113" s="44" t="str">
        <f t="shared" ca="1" si="64"/>
        <v/>
      </c>
      <c r="G113" s="44" t="str">
        <f t="shared" ca="1" si="64"/>
        <v/>
      </c>
      <c r="H113" s="44" t="str">
        <f t="shared" ca="1" si="64"/>
        <v/>
      </c>
      <c r="I113" s="44" t="str">
        <f t="shared" ca="1" si="64"/>
        <v/>
      </c>
      <c r="J113" s="44" t="str">
        <f t="shared" ca="1" si="64"/>
        <v/>
      </c>
      <c r="K113" s="44" t="str">
        <f t="shared" ca="1" si="64"/>
        <v/>
      </c>
      <c r="L113" s="135" t="str">
        <f t="shared" ca="1" si="64"/>
        <v/>
      </c>
      <c r="M113" s="136">
        <f ca="1">IF(OR($A113=""),"",SUM(C113:L113))</f>
        <v>0</v>
      </c>
      <c r="N113" s="146"/>
    </row>
    <row r="114" spans="1:14" x14ac:dyDescent="0.2">
      <c r="A114" t="str">
        <f t="shared" si="63"/>
        <v xml:space="preserve">    California</v>
      </c>
      <c r="B114" s="1"/>
      <c r="C114" s="44" t="str">
        <f t="shared" ref="C114:L114" ca="1" si="65">IF(OR(C$28="",$A114=""),"",OFFSET(C$64,8*(ROW(B114)-ROW(B$113)),0))</f>
        <v/>
      </c>
      <c r="D114" s="44" t="str">
        <f t="shared" ca="1" si="65"/>
        <v/>
      </c>
      <c r="E114" s="44" t="str">
        <f t="shared" ca="1" si="65"/>
        <v/>
      </c>
      <c r="F114" s="44" t="str">
        <f t="shared" ca="1" si="65"/>
        <v/>
      </c>
      <c r="G114" s="44" t="str">
        <f t="shared" ca="1" si="65"/>
        <v/>
      </c>
      <c r="H114" s="44" t="str">
        <f t="shared" ca="1" si="65"/>
        <v/>
      </c>
      <c r="I114" s="44" t="str">
        <f t="shared" ca="1" si="65"/>
        <v/>
      </c>
      <c r="J114" s="44" t="str">
        <f t="shared" ca="1" si="65"/>
        <v/>
      </c>
      <c r="K114" s="44" t="str">
        <f t="shared" ca="1" si="65"/>
        <v/>
      </c>
      <c r="L114" s="135" t="str">
        <f t="shared" ca="1" si="65"/>
        <v/>
      </c>
      <c r="M114" s="136">
        <f t="shared" ref="M114:M118" ca="1" si="66">IF(OR($A114=""),"",SUM(C114:L114))</f>
        <v>0</v>
      </c>
      <c r="N114" s="146"/>
    </row>
    <row r="115" spans="1:14" x14ac:dyDescent="0.2">
      <c r="A115" t="str">
        <f t="shared" si="63"/>
        <v xml:space="preserve">    Arizona</v>
      </c>
      <c r="B115" s="1"/>
      <c r="C115" s="44" t="str">
        <f t="shared" ref="C115:L115" ca="1" si="67">IF(OR(C$28="",$A115=""),"",OFFSET(C$64,8*(ROW(B115)-ROW(B$113)),0))</f>
        <v/>
      </c>
      <c r="D115" s="44" t="str">
        <f t="shared" ca="1" si="67"/>
        <v/>
      </c>
      <c r="E115" s="44" t="str">
        <f t="shared" ca="1" si="67"/>
        <v/>
      </c>
      <c r="F115" s="44" t="str">
        <f t="shared" ca="1" si="67"/>
        <v/>
      </c>
      <c r="G115" s="44" t="str">
        <f t="shared" ca="1" si="67"/>
        <v/>
      </c>
      <c r="H115" s="44" t="str">
        <f t="shared" ca="1" si="67"/>
        <v/>
      </c>
      <c r="I115" s="44" t="str">
        <f t="shared" ca="1" si="67"/>
        <v/>
      </c>
      <c r="J115" s="44" t="str">
        <f t="shared" ca="1" si="67"/>
        <v/>
      </c>
      <c r="K115" s="44" t="str">
        <f t="shared" ca="1" si="67"/>
        <v/>
      </c>
      <c r="L115" s="135" t="str">
        <f t="shared" ca="1" si="67"/>
        <v/>
      </c>
      <c r="M115" s="136">
        <f t="shared" ca="1" si="66"/>
        <v>0</v>
      </c>
      <c r="N115" s="146"/>
    </row>
    <row r="116" spans="1:14" x14ac:dyDescent="0.2">
      <c r="A116" t="str">
        <f t="shared" si="63"/>
        <v xml:space="preserve">    Nevada</v>
      </c>
      <c r="B116" s="1"/>
      <c r="C116" s="44" t="str">
        <f t="shared" ref="C116:L116" ca="1" si="68">IF(OR(C$28="",$A116=""),"",OFFSET(C$64,8*(ROW(B116)-ROW(B$113)),0))</f>
        <v/>
      </c>
      <c r="D116" s="44" t="str">
        <f t="shared" ca="1" si="68"/>
        <v/>
      </c>
      <c r="E116" s="44" t="str">
        <f t="shared" ca="1" si="68"/>
        <v/>
      </c>
      <c r="F116" s="44" t="str">
        <f t="shared" ca="1" si="68"/>
        <v/>
      </c>
      <c r="G116" s="44" t="str">
        <f t="shared" ca="1" si="68"/>
        <v/>
      </c>
      <c r="H116" s="44" t="str">
        <f t="shared" ca="1" si="68"/>
        <v/>
      </c>
      <c r="I116" s="44" t="str">
        <f t="shared" ca="1" si="68"/>
        <v/>
      </c>
      <c r="J116" s="44" t="str">
        <f t="shared" ca="1" si="68"/>
        <v/>
      </c>
      <c r="K116" s="44" t="str">
        <f t="shared" ca="1" si="68"/>
        <v/>
      </c>
      <c r="L116" s="135" t="str">
        <f t="shared" ca="1" si="68"/>
        <v/>
      </c>
      <c r="M116" s="136">
        <f t="shared" ca="1" si="66"/>
        <v>0</v>
      </c>
      <c r="N116" s="146"/>
    </row>
    <row r="117" spans="1:14" x14ac:dyDescent="0.2">
      <c r="A117" t="str">
        <f t="shared" si="63"/>
        <v xml:space="preserve">    Mexico</v>
      </c>
      <c r="B117" s="1"/>
      <c r="C117" s="44" t="str">
        <f t="shared" ref="C117:L117" ca="1" si="69">IF(OR(C$28="",$A117=""),"",OFFSET(C$64,8*(ROW(B117)-ROW(B$113)),0))</f>
        <v/>
      </c>
      <c r="D117" s="44" t="str">
        <f t="shared" ca="1" si="69"/>
        <v/>
      </c>
      <c r="E117" s="44" t="str">
        <f t="shared" ca="1" si="69"/>
        <v/>
      </c>
      <c r="F117" s="44" t="str">
        <f t="shared" ca="1" si="69"/>
        <v/>
      </c>
      <c r="G117" s="44" t="str">
        <f t="shared" ca="1" si="69"/>
        <v/>
      </c>
      <c r="H117" s="44" t="str">
        <f t="shared" ca="1" si="69"/>
        <v/>
      </c>
      <c r="I117" s="44" t="str">
        <f t="shared" ca="1" si="69"/>
        <v/>
      </c>
      <c r="J117" s="44" t="str">
        <f t="shared" ca="1" si="69"/>
        <v/>
      </c>
      <c r="K117" s="44" t="str">
        <f t="shared" ca="1" si="69"/>
        <v/>
      </c>
      <c r="L117" s="135" t="str">
        <f t="shared" ca="1" si="69"/>
        <v/>
      </c>
      <c r="M117" s="136">
        <f t="shared" ca="1" si="66"/>
        <v>0</v>
      </c>
      <c r="N117" s="146"/>
    </row>
    <row r="118" spans="1:14" x14ac:dyDescent="0.2">
      <c r="A118" t="str">
        <f t="shared" si="63"/>
        <v xml:space="preserve">    Tribal Nations of the Lower Basin</v>
      </c>
      <c r="B118" s="1"/>
      <c r="C118" s="44" t="str">
        <f t="shared" ref="C118:L118" ca="1" si="70">IF(OR(C$28="",$A118=""),"",OFFSET(C$64,8*(ROW(B118)-ROW(B$113)),0))</f>
        <v/>
      </c>
      <c r="D118" s="44" t="str">
        <f t="shared" ca="1" si="70"/>
        <v/>
      </c>
      <c r="E118" s="44" t="str">
        <f t="shared" ca="1" si="70"/>
        <v/>
      </c>
      <c r="F118" s="44" t="str">
        <f t="shared" ca="1" si="70"/>
        <v/>
      </c>
      <c r="G118" s="44" t="str">
        <f t="shared" ca="1" si="70"/>
        <v/>
      </c>
      <c r="H118" s="44" t="str">
        <f t="shared" ca="1" si="70"/>
        <v/>
      </c>
      <c r="I118" s="44" t="str">
        <f t="shared" ca="1" si="70"/>
        <v/>
      </c>
      <c r="J118" s="44" t="str">
        <f t="shared" ca="1" si="70"/>
        <v/>
      </c>
      <c r="K118" s="44" t="str">
        <f t="shared" ca="1" si="70"/>
        <v/>
      </c>
      <c r="L118" s="135" t="str">
        <f t="shared" ca="1" si="70"/>
        <v/>
      </c>
      <c r="M118" s="136">
        <f t="shared" ca="1" si="66"/>
        <v>0</v>
      </c>
      <c r="N118" s="146"/>
    </row>
    <row r="119" spans="1:14" x14ac:dyDescent="0.2">
      <c r="A119" t="s">
        <v>38</v>
      </c>
      <c r="B119" s="1"/>
      <c r="C119" s="12" t="str">
        <f>IF(C$28&lt;&gt;"",SUM(C113:C118),"")</f>
        <v/>
      </c>
      <c r="D119" s="12" t="str">
        <f t="shared" ref="D119:L119" si="71">IF(D$28&lt;&gt;"",SUM(D113:D118),"")</f>
        <v/>
      </c>
      <c r="E119" s="12" t="str">
        <f t="shared" si="71"/>
        <v/>
      </c>
      <c r="F119" s="12" t="str">
        <f t="shared" si="71"/>
        <v/>
      </c>
      <c r="G119" s="12" t="str">
        <f t="shared" si="71"/>
        <v/>
      </c>
      <c r="H119" s="32" t="str">
        <f t="shared" si="71"/>
        <v/>
      </c>
      <c r="I119" s="32" t="str">
        <f t="shared" si="71"/>
        <v/>
      </c>
      <c r="J119" s="32" t="str">
        <f t="shared" si="71"/>
        <v/>
      </c>
      <c r="K119" s="32" t="str">
        <f t="shared" si="71"/>
        <v/>
      </c>
      <c r="L119" s="32" t="str">
        <f t="shared" si="71"/>
        <v/>
      </c>
      <c r="M119" s="20"/>
      <c r="N119" s="147"/>
    </row>
    <row r="120" spans="1:14" x14ac:dyDescent="0.2">
      <c r="A120" s="1" t="s">
        <v>104</v>
      </c>
      <c r="B120" s="1"/>
      <c r="C120" s="34"/>
      <c r="D120" s="2"/>
      <c r="E120" s="34"/>
      <c r="F120" s="2"/>
      <c r="G120" s="2"/>
      <c r="H120" s="2"/>
      <c r="I120" s="2"/>
      <c r="J120" s="2"/>
      <c r="K120" s="2"/>
      <c r="L120" s="2"/>
      <c r="N120" s="142"/>
    </row>
    <row r="121" spans="1:14" x14ac:dyDescent="0.2">
      <c r="A121" t="str">
        <f>IF(A5="","","    "&amp;A5&amp;" - Consumptive Use and Headwaters Losses")</f>
        <v xml:space="preserve">    Reclamation - Protect Zone - Consumptive Use and Headwaters Losses</v>
      </c>
      <c r="C121" s="44" t="str">
        <f t="shared" ref="C121:L121" ca="1" si="72">IF(OR(C$28="",$A121=""),"",OFFSET(C$68,8*(ROW(B121)-ROW(B$121)),0))</f>
        <v/>
      </c>
      <c r="D121" s="44" t="str">
        <f t="shared" ca="1" si="72"/>
        <v/>
      </c>
      <c r="E121" s="44" t="str">
        <f t="shared" ca="1" si="72"/>
        <v/>
      </c>
      <c r="F121" s="44" t="str">
        <f t="shared" ca="1" si="72"/>
        <v/>
      </c>
      <c r="G121" s="44" t="str">
        <f t="shared" ca="1" si="72"/>
        <v/>
      </c>
      <c r="H121" s="44" t="str">
        <f t="shared" ca="1" si="72"/>
        <v/>
      </c>
      <c r="I121" s="44" t="str">
        <f t="shared" ca="1" si="72"/>
        <v/>
      </c>
      <c r="J121" s="44" t="str">
        <f t="shared" ca="1" si="72"/>
        <v/>
      </c>
      <c r="K121" s="44" t="str">
        <f t="shared" ca="1" si="72"/>
        <v/>
      </c>
      <c r="L121" s="44" t="str">
        <f t="shared" ca="1" si="72"/>
        <v/>
      </c>
      <c r="N121" s="142"/>
    </row>
    <row r="122" spans="1:14" x14ac:dyDescent="0.2">
      <c r="A122" t="str">
        <f>IF(A6="","","    "&amp;A6&amp;" - Release from Mead")</f>
        <v xml:space="preserve">    California - Release from Mead</v>
      </c>
      <c r="C122" s="44" t="str">
        <f t="shared" ref="C122:L122" ca="1" si="73">IF(OR(C$28="",$A122=""),"",OFFSET(C$68,8*(ROW(B122)-ROW(B$121)),0))</f>
        <v/>
      </c>
      <c r="D122" s="44" t="str">
        <f t="shared" ca="1" si="73"/>
        <v/>
      </c>
      <c r="E122" s="44" t="str">
        <f t="shared" ca="1" si="73"/>
        <v/>
      </c>
      <c r="F122" s="44" t="str">
        <f t="shared" ca="1" si="73"/>
        <v/>
      </c>
      <c r="G122" s="44" t="str">
        <f t="shared" ca="1" si="73"/>
        <v/>
      </c>
      <c r="H122" s="44" t="str">
        <f t="shared" ca="1" si="73"/>
        <v/>
      </c>
      <c r="I122" s="44" t="str">
        <f t="shared" ca="1" si="73"/>
        <v/>
      </c>
      <c r="J122" s="44" t="str">
        <f t="shared" ca="1" si="73"/>
        <v/>
      </c>
      <c r="K122" s="44" t="str">
        <f t="shared" ca="1" si="73"/>
        <v/>
      </c>
      <c r="L122" s="44" t="str">
        <f t="shared" ca="1" si="73"/>
        <v/>
      </c>
      <c r="N122" s="142"/>
    </row>
    <row r="123" spans="1:14" x14ac:dyDescent="0.2">
      <c r="A123" t="str">
        <f>IF(A7="","","    "&amp;A7&amp;" - Release from Mead")</f>
        <v xml:space="preserve">    Arizona - Release from Mead</v>
      </c>
      <c r="C123" s="44" t="str">
        <f t="shared" ref="C123:L123" ca="1" si="74">IF(OR(C$28="",$A123=""),"",OFFSET(C$68,8*(ROW(B123)-ROW(B$121)),0))</f>
        <v/>
      </c>
      <c r="D123" s="44" t="str">
        <f t="shared" ca="1" si="74"/>
        <v/>
      </c>
      <c r="E123" s="44" t="str">
        <f t="shared" ca="1" si="74"/>
        <v/>
      </c>
      <c r="F123" s="44" t="str">
        <f t="shared" ca="1" si="74"/>
        <v/>
      </c>
      <c r="G123" s="44" t="str">
        <f t="shared" ca="1" si="74"/>
        <v/>
      </c>
      <c r="H123" s="44" t="str">
        <f t="shared" ca="1" si="74"/>
        <v/>
      </c>
      <c r="I123" s="44" t="str">
        <f t="shared" ca="1" si="74"/>
        <v/>
      </c>
      <c r="J123" s="44" t="str">
        <f t="shared" ca="1" si="74"/>
        <v/>
      </c>
      <c r="K123" s="44" t="str">
        <f t="shared" ca="1" si="74"/>
        <v/>
      </c>
      <c r="L123" s="44" t="str">
        <f t="shared" ca="1" si="74"/>
        <v/>
      </c>
      <c r="N123" s="142"/>
    </row>
    <row r="124" spans="1:14" x14ac:dyDescent="0.2">
      <c r="A124" t="str">
        <f>IF(A8="","","    "&amp;A8&amp;" - Release from Mead")</f>
        <v xml:space="preserve">    Nevada - Release from Mead</v>
      </c>
      <c r="C124" s="44" t="str">
        <f t="shared" ref="C124:L124" ca="1" si="75">IF(OR(C$28="",$A124=""),"",OFFSET(C$68,8*(ROW(B124)-ROW(B$121)),0))</f>
        <v/>
      </c>
      <c r="D124" s="44" t="str">
        <f t="shared" ca="1" si="75"/>
        <v/>
      </c>
      <c r="E124" s="44" t="str">
        <f t="shared" ca="1" si="75"/>
        <v/>
      </c>
      <c r="F124" s="44" t="str">
        <f t="shared" ca="1" si="75"/>
        <v/>
      </c>
      <c r="G124" s="44" t="str">
        <f t="shared" ca="1" si="75"/>
        <v/>
      </c>
      <c r="H124" s="44" t="str">
        <f t="shared" ca="1" si="75"/>
        <v/>
      </c>
      <c r="I124" s="44" t="str">
        <f t="shared" ca="1" si="75"/>
        <v/>
      </c>
      <c r="J124" s="44" t="str">
        <f t="shared" ca="1" si="75"/>
        <v/>
      </c>
      <c r="K124" s="44" t="str">
        <f t="shared" ca="1" si="75"/>
        <v/>
      </c>
      <c r="L124" s="44" t="str">
        <f t="shared" ca="1" si="75"/>
        <v/>
      </c>
      <c r="N124" s="142"/>
    </row>
    <row r="125" spans="1:14" x14ac:dyDescent="0.2">
      <c r="A125" t="str">
        <f>IF(A9="","","    "&amp;A9&amp;" - Release from Mead")</f>
        <v xml:space="preserve">    Mexico - Release from Mead</v>
      </c>
      <c r="C125" s="44" t="str">
        <f t="shared" ref="C125:L125" ca="1" si="76">IF(OR(C$28="",$A125=""),"",OFFSET(C$68,8*(ROW(B125)-ROW(B$121)),0))</f>
        <v/>
      </c>
      <c r="D125" s="44" t="str">
        <f t="shared" ca="1" si="76"/>
        <v/>
      </c>
      <c r="E125" s="44" t="str">
        <f t="shared" ca="1" si="76"/>
        <v/>
      </c>
      <c r="F125" s="44" t="str">
        <f t="shared" ca="1" si="76"/>
        <v/>
      </c>
      <c r="G125" s="44" t="str">
        <f t="shared" ca="1" si="76"/>
        <v/>
      </c>
      <c r="H125" s="44" t="str">
        <f t="shared" ca="1" si="76"/>
        <v/>
      </c>
      <c r="I125" s="44" t="str">
        <f t="shared" ca="1" si="76"/>
        <v/>
      </c>
      <c r="J125" s="44" t="str">
        <f t="shared" ca="1" si="76"/>
        <v/>
      </c>
      <c r="K125" s="44" t="str">
        <f t="shared" ca="1" si="76"/>
        <v/>
      </c>
      <c r="L125" s="44" t="str">
        <f t="shared" ca="1" si="76"/>
        <v/>
      </c>
      <c r="N125" s="142"/>
    </row>
    <row r="126" spans="1:14" x14ac:dyDescent="0.2">
      <c r="A126" t="str">
        <f>IF(A10="","","    "&amp;A10&amp;" - Release from Mead")</f>
        <v xml:space="preserve">    Tribal Nations of the Lower Basin - Release from Mead</v>
      </c>
      <c r="C126" s="44" t="str">
        <f t="shared" ref="C126:L126" ca="1" si="77">IF(OR(C$28="",$A126=""),"",OFFSET(C$68,8*(ROW(B126)-ROW(B$121)),0))</f>
        <v/>
      </c>
      <c r="D126" s="44" t="str">
        <f t="shared" ca="1" si="77"/>
        <v/>
      </c>
      <c r="E126" s="44" t="str">
        <f t="shared" ca="1" si="77"/>
        <v/>
      </c>
      <c r="F126" s="44" t="str">
        <f t="shared" ca="1" si="77"/>
        <v/>
      </c>
      <c r="G126" s="44" t="str">
        <f t="shared" ca="1" si="77"/>
        <v/>
      </c>
      <c r="H126" s="44" t="str">
        <f t="shared" ca="1" si="77"/>
        <v/>
      </c>
      <c r="I126" s="44" t="str">
        <f t="shared" ca="1" si="77"/>
        <v/>
      </c>
      <c r="J126" s="44" t="str">
        <f t="shared" ca="1" si="77"/>
        <v/>
      </c>
      <c r="K126" s="44" t="str">
        <f t="shared" ca="1" si="77"/>
        <v/>
      </c>
      <c r="L126" s="44" t="str">
        <f t="shared" ca="1" si="77"/>
        <v/>
      </c>
      <c r="N126" s="142"/>
    </row>
    <row r="127" spans="1:14" x14ac:dyDescent="0.2">
      <c r="A127" s="1" t="s">
        <v>253</v>
      </c>
      <c r="B127" s="1"/>
      <c r="D127" s="2"/>
      <c r="E127" s="2"/>
      <c r="F127" s="2"/>
      <c r="G127" s="2"/>
      <c r="H127" s="2"/>
      <c r="I127" s="2"/>
      <c r="J127" s="2"/>
      <c r="K127" s="2"/>
      <c r="L127" s="2"/>
      <c r="N127" s="142"/>
    </row>
    <row r="128" spans="1:14" x14ac:dyDescent="0.2">
      <c r="A128" t="str">
        <f t="shared" ref="A128:A133" si="78">IF(A5="","","    "&amp;A5)</f>
        <v xml:space="preserve">    Reclamation - Protect Zone</v>
      </c>
      <c r="C128" s="44" t="str">
        <f t="shared" ref="C128:L128" ca="1" si="79">IF(OR(C$28="",$A128=""),"",OFFSET(C$69,8*(ROW(B128)-ROW(B$128)),0))</f>
        <v/>
      </c>
      <c r="D128" s="44" t="str">
        <f t="shared" ca="1" si="79"/>
        <v/>
      </c>
      <c r="E128" s="44" t="str">
        <f t="shared" ca="1" si="79"/>
        <v/>
      </c>
      <c r="F128" s="44" t="str">
        <f t="shared" ca="1" si="79"/>
        <v/>
      </c>
      <c r="G128" s="44" t="str">
        <f t="shared" ca="1" si="79"/>
        <v/>
      </c>
      <c r="H128" s="44" t="str">
        <f t="shared" ca="1" si="79"/>
        <v/>
      </c>
      <c r="I128" s="44" t="str">
        <f t="shared" ca="1" si="79"/>
        <v/>
      </c>
      <c r="J128" s="44" t="str">
        <f t="shared" ca="1" si="79"/>
        <v/>
      </c>
      <c r="K128" s="44" t="str">
        <f t="shared" ca="1" si="79"/>
        <v/>
      </c>
      <c r="L128" s="44" t="str">
        <f t="shared" ca="1" si="79"/>
        <v/>
      </c>
      <c r="N128" s="142"/>
    </row>
    <row r="129" spans="1:14" x14ac:dyDescent="0.2">
      <c r="A129" t="str">
        <f t="shared" si="78"/>
        <v xml:space="preserve">    California</v>
      </c>
      <c r="C129" s="44" t="str">
        <f t="shared" ref="C129:L129" ca="1" si="80">IF(OR(C$28="",$A129=""),"",OFFSET(C$69,8*(ROW(B129)-ROW(B$128)),0))</f>
        <v/>
      </c>
      <c r="D129" s="44" t="str">
        <f t="shared" ca="1" si="80"/>
        <v/>
      </c>
      <c r="E129" s="44" t="str">
        <f t="shared" ca="1" si="80"/>
        <v/>
      </c>
      <c r="F129" s="44" t="str">
        <f t="shared" ca="1" si="80"/>
        <v/>
      </c>
      <c r="G129" s="44" t="str">
        <f t="shared" ca="1" si="80"/>
        <v/>
      </c>
      <c r="H129" s="44" t="str">
        <f t="shared" ca="1" si="80"/>
        <v/>
      </c>
      <c r="I129" s="44" t="str">
        <f t="shared" ca="1" si="80"/>
        <v/>
      </c>
      <c r="J129" s="44" t="str">
        <f t="shared" ca="1" si="80"/>
        <v/>
      </c>
      <c r="K129" s="44" t="str">
        <f t="shared" ca="1" si="80"/>
        <v/>
      </c>
      <c r="L129" s="44" t="str">
        <f t="shared" ca="1" si="80"/>
        <v/>
      </c>
      <c r="N129" s="142"/>
    </row>
    <row r="130" spans="1:14" x14ac:dyDescent="0.2">
      <c r="A130" t="str">
        <f t="shared" si="78"/>
        <v xml:space="preserve">    Arizona</v>
      </c>
      <c r="C130" s="44" t="str">
        <f t="shared" ref="C130:L130" ca="1" si="81">IF(OR(C$28="",$A130=""),"",OFFSET(C$69,8*(ROW(B130)-ROW(B$128)),0))</f>
        <v/>
      </c>
      <c r="D130" s="44" t="str">
        <f t="shared" ca="1" si="81"/>
        <v/>
      </c>
      <c r="E130" s="44" t="str">
        <f t="shared" ca="1" si="81"/>
        <v/>
      </c>
      <c r="F130" s="44" t="str">
        <f t="shared" ca="1" si="81"/>
        <v/>
      </c>
      <c r="G130" s="44" t="str">
        <f t="shared" ca="1" si="81"/>
        <v/>
      </c>
      <c r="H130" s="44" t="str">
        <f t="shared" ca="1" si="81"/>
        <v/>
      </c>
      <c r="I130" s="44" t="str">
        <f t="shared" ca="1" si="81"/>
        <v/>
      </c>
      <c r="J130" s="44" t="str">
        <f t="shared" ca="1" si="81"/>
        <v/>
      </c>
      <c r="K130" s="44" t="str">
        <f t="shared" ca="1" si="81"/>
        <v/>
      </c>
      <c r="L130" s="44" t="str">
        <f t="shared" ca="1" si="81"/>
        <v/>
      </c>
      <c r="N130" s="142"/>
    </row>
    <row r="131" spans="1:14" x14ac:dyDescent="0.2">
      <c r="A131" t="str">
        <f t="shared" si="78"/>
        <v xml:space="preserve">    Nevada</v>
      </c>
      <c r="C131" s="44" t="str">
        <f t="shared" ref="C131:L131" ca="1" si="82">IF(OR(C$28="",$A131=""),"",OFFSET(C$69,8*(ROW(B131)-ROW(B$128)),0))</f>
        <v/>
      </c>
      <c r="D131" s="44" t="str">
        <f t="shared" ca="1" si="82"/>
        <v/>
      </c>
      <c r="E131" s="44" t="str">
        <f t="shared" ca="1" si="82"/>
        <v/>
      </c>
      <c r="F131" s="44" t="str">
        <f t="shared" ca="1" si="82"/>
        <v/>
      </c>
      <c r="G131" s="44" t="str">
        <f t="shared" ca="1" si="82"/>
        <v/>
      </c>
      <c r="H131" s="44" t="str">
        <f t="shared" ca="1" si="82"/>
        <v/>
      </c>
      <c r="I131" s="44" t="str">
        <f t="shared" ca="1" si="82"/>
        <v/>
      </c>
      <c r="J131" s="44" t="str">
        <f t="shared" ca="1" si="82"/>
        <v/>
      </c>
      <c r="K131" s="44" t="str">
        <f t="shared" ca="1" si="82"/>
        <v/>
      </c>
      <c r="L131" s="44" t="str">
        <f t="shared" ca="1" si="82"/>
        <v/>
      </c>
      <c r="N131" s="142"/>
    </row>
    <row r="132" spans="1:14" x14ac:dyDescent="0.2">
      <c r="A132" t="str">
        <f t="shared" si="78"/>
        <v xml:space="preserve">    Mexico</v>
      </c>
      <c r="C132" s="44" t="str">
        <f t="shared" ref="C132:L132" ca="1" si="83">IF(OR(C$28="",$A132=""),"",OFFSET(C$69,8*(ROW(B132)-ROW(B$128)),0))</f>
        <v/>
      </c>
      <c r="D132" s="44" t="str">
        <f t="shared" ca="1" si="83"/>
        <v/>
      </c>
      <c r="E132" s="44" t="str">
        <f t="shared" ca="1" si="83"/>
        <v/>
      </c>
      <c r="F132" s="44" t="str">
        <f t="shared" ca="1" si="83"/>
        <v/>
      </c>
      <c r="G132" s="44" t="str">
        <f t="shared" ca="1" si="83"/>
        <v/>
      </c>
      <c r="H132" s="44" t="str">
        <f t="shared" ca="1" si="83"/>
        <v/>
      </c>
      <c r="I132" s="44" t="str">
        <f t="shared" ca="1" si="83"/>
        <v/>
      </c>
      <c r="J132" s="44" t="str">
        <f t="shared" ca="1" si="83"/>
        <v/>
      </c>
      <c r="K132" s="44" t="str">
        <f t="shared" ca="1" si="83"/>
        <v/>
      </c>
      <c r="L132" s="44" t="str">
        <f t="shared" ca="1" si="83"/>
        <v/>
      </c>
      <c r="N132" s="142"/>
    </row>
    <row r="133" spans="1:14" x14ac:dyDescent="0.2">
      <c r="A133" t="str">
        <f t="shared" si="78"/>
        <v xml:space="preserve">    Tribal Nations of the Lower Basin</v>
      </c>
      <c r="C133" s="44" t="str">
        <f t="shared" ref="C133:L133" ca="1" si="84">IF(OR(C$28="",$A133=""),"",OFFSET(C$69,8*(ROW(B133)-ROW(B$128)),0))</f>
        <v/>
      </c>
      <c r="D133" s="44" t="str">
        <f t="shared" ca="1" si="84"/>
        <v/>
      </c>
      <c r="E133" s="44" t="str">
        <f t="shared" ca="1" si="84"/>
        <v/>
      </c>
      <c r="F133" s="44" t="str">
        <f t="shared" ca="1" si="84"/>
        <v/>
      </c>
      <c r="G133" s="44" t="str">
        <f t="shared" ca="1" si="84"/>
        <v/>
      </c>
      <c r="H133" s="44" t="str">
        <f t="shared" ca="1" si="84"/>
        <v/>
      </c>
      <c r="I133" s="44" t="str">
        <f t="shared" ca="1" si="84"/>
        <v/>
      </c>
      <c r="J133" s="44" t="str">
        <f t="shared" ca="1" si="84"/>
        <v/>
      </c>
      <c r="K133" s="44" t="str">
        <f t="shared" ca="1" si="84"/>
        <v/>
      </c>
      <c r="L133" s="44" t="str">
        <f t="shared" ca="1" si="84"/>
        <v/>
      </c>
      <c r="N133" s="142"/>
    </row>
    <row r="134" spans="1:14" x14ac:dyDescent="0.2">
      <c r="A134" s="1" t="s">
        <v>248</v>
      </c>
      <c r="H134" s="12" t="str">
        <f t="shared" ref="H134:L134" si="85">IF(H$28&lt;&gt;"",SUM(H128:H133),"")</f>
        <v/>
      </c>
      <c r="I134" s="12" t="str">
        <f t="shared" si="85"/>
        <v/>
      </c>
      <c r="J134" s="12" t="str">
        <f t="shared" si="85"/>
        <v/>
      </c>
      <c r="K134" s="12" t="str">
        <f t="shared" si="85"/>
        <v/>
      </c>
      <c r="L134" s="12" t="str">
        <f t="shared" si="85"/>
        <v/>
      </c>
      <c r="N134" s="141" t="s">
        <v>301</v>
      </c>
    </row>
    <row r="135" spans="1:14" x14ac:dyDescent="0.2">
      <c r="A135" t="s">
        <v>249</v>
      </c>
      <c r="B135" s="1"/>
      <c r="C135" s="12" t="str">
        <f>IF(C$28&lt;&gt;"",SUM(C128:C133),"")</f>
        <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2">
      <c r="A136" t="s">
        <v>250</v>
      </c>
      <c r="B136" s="1"/>
      <c r="C136" s="214" t="str">
        <f>IF(C$28&lt;&gt;"",VLOOKUP(C135*1000000,'Mead-Elevation-Area'!$B$5:$H$689,7),"")</f>
        <v/>
      </c>
      <c r="D136" s="214" t="str">
        <f>IF(D$28&lt;&gt;"",VLOOKUP(D135*1000000,'Mead-Elevation-Area'!$B$5:$H$689,7),"")</f>
        <v/>
      </c>
      <c r="E136" s="211" t="str">
        <f>IF(E$28&lt;&gt;"",VLOOKUP(E135*1000000,'Mead-Elevation-Area'!$B$5:$H$689,7),"")</f>
        <v/>
      </c>
      <c r="F136" s="211" t="str">
        <f>IF(F$28&lt;&gt;"",VLOOKUP(F135*1000000,'Mead-Elevation-Area'!$B$5:$H$689,7),"")</f>
        <v/>
      </c>
      <c r="G136" s="211" t="str">
        <f>IF(G$28&lt;&gt;"",VLOOKUP(G135*1000000,'Mead-Elevation-Area'!$B$5:$H$689,7),"")</f>
        <v/>
      </c>
      <c r="H136" s="12"/>
      <c r="I136" s="12"/>
      <c r="J136" s="12"/>
      <c r="K136" s="12"/>
      <c r="L136" s="12"/>
      <c r="N136" s="141"/>
    </row>
    <row r="137" spans="1:14" x14ac:dyDescent="0.2">
      <c r="A137" s="125" t="s">
        <v>251</v>
      </c>
      <c r="C137" s="18"/>
      <c r="N137" s="141" t="s">
        <v>154</v>
      </c>
    </row>
    <row r="139" spans="1:14" x14ac:dyDescent="0.2">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11" r:id="rId23" location="step-6-summary-of-participant-actions" xr:uid="{39E9E91B-EE9B-4603-9A19-992E43688C4C}"/>
    <hyperlink ref="N134" r:id="rId24" location="lake-mead--end-of-year" xr:uid="{18709FDC-6FB8-4FF1-82C7-3E0140C4C207}"/>
    <hyperlink ref="N137"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71" r:id="rId31" location="step-5-participant-dashboards--conserve-consume-and-trade" xr:uid="{397FD8F0-2E30-496A-BE44-5B257A0157EE}"/>
    <hyperlink ref="N73" r:id="rId32" location="ii-compensation" xr:uid="{F57B98BC-FD8A-4B97-9BA7-72787CDB74DE}"/>
    <hyperlink ref="N74" r:id="rId33" location="iii-net-trade-volume-all-participants" xr:uid="{1B926EB5-4EDA-4705-B3ED-7A6C02210193}"/>
    <hyperlink ref="N75" r:id="rId34" location="iv-available-water" xr:uid="{4AA187F2-EAF6-461B-9CFE-0AE554B5221C}"/>
    <hyperlink ref="N76" r:id="rId35" location="v-enter-withdraw-within-available-water" xr:uid="{34772F54-52B5-496C-94CA-EC810414913E}"/>
    <hyperlink ref="N77" r:id="rId36" location="vi-end-of-year-balance" xr:uid="{7E6C6019-B9DB-4F73-8888-9D49C202C8D4}"/>
    <hyperlink ref="N72" r:id="rId37" location="i-buy-or-sell-water-from-other-participantss" xr:uid="{E7375CF2-EC0F-401A-8AFE-0454313662AF}"/>
    <hyperlink ref="N79" r:id="rId38" location="step-5-participant-dashboards--conserve-consume-and-trade" xr:uid="{A70DB134-907F-477F-AB0B-5659C9C11813}"/>
    <hyperlink ref="N81" r:id="rId39" location="ii-compensation" xr:uid="{684D57EC-6721-4F25-AF68-0018C1E34745}"/>
    <hyperlink ref="N82" r:id="rId40" location="iii-net-trade-volume-all-participants" xr:uid="{37DA7529-DE0A-4A6F-8E12-612AF82A188A}"/>
    <hyperlink ref="N83" r:id="rId41" location="iv-available-water" xr:uid="{96EA80FC-ACDC-444F-82AF-0E44E2936515}"/>
    <hyperlink ref="N84" r:id="rId42" location="v-enter-withdraw-within-available-water" xr:uid="{089A3863-E8AF-452C-8335-69D9F1C56707}"/>
    <hyperlink ref="N85" r:id="rId43" location="vi-end-of-year-balance" xr:uid="{475FD103-8EBA-4CD9-ACE9-66204501082E}"/>
    <hyperlink ref="N80" r:id="rId44" location="i-buy-or-sell-water-from-other-participantss" xr:uid="{BA50878C-D141-4CB0-B547-DD4E0AB28999}"/>
    <hyperlink ref="N87" r:id="rId45" location="step-5-participant-dashboards--conserve-consume-and-trade" xr:uid="{39EC330A-C201-45C3-99B6-B424E8A32D15}"/>
    <hyperlink ref="N89" r:id="rId46" location="ii-compensation" xr:uid="{83B18F55-633C-453C-814E-1C950087B924}"/>
    <hyperlink ref="N90" r:id="rId47" location="iii-net-trade-volume-all-participants" xr:uid="{428C6409-0DD6-4EB4-9EB1-0D06FB68C519}"/>
    <hyperlink ref="N91" r:id="rId48" location="iv-available-water" xr:uid="{D2F44442-7A66-450B-97C3-DB62319C8041}"/>
    <hyperlink ref="N92" r:id="rId49" location="v-enter-withdraw-within-available-water" xr:uid="{8511206C-7A63-4135-A4AC-03ED1A7FF5BA}"/>
    <hyperlink ref="N93" r:id="rId50" location="vi-end-of-year-balance" xr:uid="{B922D973-A534-4E90-B9F3-EF812FD44F7A}"/>
    <hyperlink ref="N88" r:id="rId51" location="i-buy-or-sell-water-from-other-participantss" xr:uid="{A5C5B388-17B6-437D-A672-71973A49D5E7}"/>
    <hyperlink ref="N95" r:id="rId52" location="step-5-participant-dashboards--conserve-consume-and-trade" xr:uid="{9D4E2F1A-09BE-48C9-9068-C731FDB7E63B}"/>
    <hyperlink ref="N97" r:id="rId53" location="ii-compensation" xr:uid="{7A619A05-DF2E-44B2-B251-8B6219653520}"/>
    <hyperlink ref="N98" r:id="rId54" location="iii-net-trade-volume-all-participants" xr:uid="{32C1A2E5-D297-4111-B6D0-5CF58DD1D352}"/>
    <hyperlink ref="N99" r:id="rId55" location="iv-available-water" xr:uid="{CB765DE1-3875-46F1-8FBF-E0A429B0AF7C}"/>
    <hyperlink ref="N100" r:id="rId56" location="v-enter-withdraw-within-available-water" xr:uid="{4A2CF82E-D869-4A43-8DDC-871D0CC63292}"/>
    <hyperlink ref="N101" r:id="rId57" location="vi-end-of-year-balance" xr:uid="{25EBA77D-5DF6-49B3-AA19-FB1D17E5F9F4}"/>
    <hyperlink ref="N96" r:id="rId58" location="i-buy-or-sell-water-from-other-participantss" xr:uid="{FAB9FF44-F4B9-4203-BBC6-8852F3D9A20B}"/>
    <hyperlink ref="N103" r:id="rId59" location="step-5-participant-dashboards--conserve-consume-and-trade" xr:uid="{E770BD7B-95C0-4128-95DC-F80C83C66E2B}"/>
    <hyperlink ref="N105" r:id="rId60" location="ii-compensation" xr:uid="{33C35802-FAB0-4790-B941-1A3E7257395B}"/>
    <hyperlink ref="N106" r:id="rId61" location="iii-net-trade-volume-all-participants" xr:uid="{836F4C5D-BBF9-4976-9ADE-859356E14210}"/>
    <hyperlink ref="N107" r:id="rId62" location="iv-available-water" xr:uid="{06AED8BC-115A-4B9E-8553-F960DEF913FF}"/>
    <hyperlink ref="N108" r:id="rId63" location="v-enter-withdraw-within-available-water" xr:uid="{28B406B7-C3AF-4DAD-90AB-E74B9A16207B}"/>
    <hyperlink ref="N109" r:id="rId64" location="vi-end-of-year-balance" xr:uid="{9FD845D0-38C3-41FD-ABEC-D3B2368EEF38}"/>
    <hyperlink ref="N104" r:id="rId65" location="i-buy-or-sell-water-from-other-participantss" xr:uid="{0294E6B9-5E30-4F0F-A0BF-7C0B7042CF5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AM51"/>
  <sheetViews>
    <sheetView tabSelected="1" topLeftCell="X21" zoomScale="142" zoomScaleNormal="170" workbookViewId="0">
      <selection activeCell="AH25" sqref="AH25:AL25"/>
    </sheetView>
  </sheetViews>
  <sheetFormatPr baseColWidth="10" defaultColWidth="8.83203125" defaultRowHeight="15" x14ac:dyDescent="0.2"/>
  <cols>
    <col min="1" max="1" width="10.1640625" customWidth="1"/>
    <col min="2" max="2" width="14.5" customWidth="1"/>
    <col min="3" max="3" width="8.1640625" customWidth="1"/>
    <col min="4" max="4" width="9.83203125" customWidth="1"/>
    <col min="5" max="5" width="10.6640625" customWidth="1"/>
    <col min="6" max="6" width="7.6640625" customWidth="1"/>
    <col min="7" max="7" width="7.1640625" customWidth="1"/>
    <col min="8" max="8" width="8" customWidth="1"/>
    <col min="9" max="9" width="6.1640625" customWidth="1"/>
    <col min="10" max="10" width="13.5" customWidth="1"/>
    <col min="11" max="11" width="12.1640625" customWidth="1"/>
    <col min="12" max="12" width="7.6640625" customWidth="1"/>
    <col min="13" max="13" width="7.83203125" customWidth="1"/>
    <col min="14" max="14" width="10.1640625" customWidth="1"/>
    <col min="16" max="16" width="6.83203125" customWidth="1"/>
    <col min="19" max="19" width="9.33203125" customWidth="1"/>
    <col min="20" max="20" width="10.33203125" customWidth="1"/>
    <col min="21" max="21" width="7.33203125" style="2" customWidth="1"/>
    <col min="23" max="23" width="10.1640625" bestFit="1" customWidth="1"/>
    <col min="24" max="24" width="8.83203125" customWidth="1"/>
    <col min="25" max="25" width="7" customWidth="1"/>
    <col min="26" max="26" width="14" customWidth="1"/>
    <col min="27" max="27" width="15.33203125" customWidth="1"/>
    <col min="30" max="30" width="9.83203125" customWidth="1"/>
    <col min="35" max="36" width="10" customWidth="1"/>
  </cols>
  <sheetData>
    <row r="1" spans="1:37" x14ac:dyDescent="0.2">
      <c r="A1" s="1" t="s">
        <v>263</v>
      </c>
    </row>
    <row r="2" spans="1:37" x14ac:dyDescent="0.2">
      <c r="A2" t="s">
        <v>264</v>
      </c>
    </row>
    <row r="3" spans="1:37" x14ac:dyDescent="0.2">
      <c r="A3" t="s">
        <v>213</v>
      </c>
    </row>
    <row r="4" spans="1:37" ht="15" customHeight="1" x14ac:dyDescent="0.2">
      <c r="I4" s="377" t="s">
        <v>423</v>
      </c>
      <c r="J4" s="377"/>
      <c r="K4" s="377"/>
      <c r="L4" s="377"/>
      <c r="M4" s="377"/>
      <c r="N4" s="377"/>
      <c r="O4" s="377"/>
      <c r="P4" s="377"/>
      <c r="Q4" s="377"/>
      <c r="R4" s="377"/>
      <c r="S4" s="377"/>
      <c r="T4" s="377"/>
      <c r="U4" s="377"/>
      <c r="Y4" s="377" t="s">
        <v>442</v>
      </c>
      <c r="Z4" s="377"/>
      <c r="AA4" s="377"/>
      <c r="AB4" s="377"/>
      <c r="AC4" s="377"/>
      <c r="AD4" s="377"/>
      <c r="AE4" s="377"/>
      <c r="AF4" s="377"/>
      <c r="AG4" s="377"/>
      <c r="AH4" s="377"/>
      <c r="AI4" s="377"/>
      <c r="AJ4" s="377"/>
      <c r="AK4" s="377"/>
    </row>
    <row r="5" spans="1:37" ht="31" customHeight="1" x14ac:dyDescent="0.2">
      <c r="B5" s="189" t="s">
        <v>218</v>
      </c>
      <c r="C5" s="189" t="s">
        <v>204</v>
      </c>
      <c r="D5" s="189" t="s">
        <v>205</v>
      </c>
      <c r="E5" s="189" t="s">
        <v>203</v>
      </c>
      <c r="F5" s="189" t="s">
        <v>18</v>
      </c>
      <c r="G5" s="189" t="s">
        <v>25</v>
      </c>
      <c r="I5" s="364" t="s">
        <v>13</v>
      </c>
      <c r="J5" s="364" t="s">
        <v>214</v>
      </c>
      <c r="K5" s="364" t="s">
        <v>215</v>
      </c>
      <c r="L5" s="366" t="s">
        <v>216</v>
      </c>
      <c r="M5" s="367"/>
      <c r="N5" s="367"/>
      <c r="O5" s="367"/>
      <c r="P5" s="368"/>
      <c r="Q5" s="374" t="s">
        <v>217</v>
      </c>
      <c r="R5" s="375"/>
      <c r="S5" s="375"/>
      <c r="T5" s="375"/>
      <c r="U5" s="376"/>
      <c r="Y5" s="378" t="s">
        <v>13</v>
      </c>
      <c r="Z5" s="364" t="s">
        <v>421</v>
      </c>
      <c r="AA5" s="364" t="s">
        <v>422</v>
      </c>
      <c r="AB5" s="380" t="s">
        <v>216</v>
      </c>
      <c r="AC5" s="381"/>
      <c r="AD5" s="381"/>
      <c r="AE5" s="381"/>
      <c r="AF5" s="382"/>
      <c r="AG5" s="374" t="s">
        <v>217</v>
      </c>
      <c r="AH5" s="375"/>
      <c r="AI5" s="375"/>
      <c r="AJ5" s="375"/>
      <c r="AK5" s="376"/>
    </row>
    <row r="6" spans="1:37" s="188" customFormat="1" ht="27.5" customHeight="1" x14ac:dyDescent="0.15">
      <c r="B6" s="366" t="s">
        <v>229</v>
      </c>
      <c r="C6" s="367"/>
      <c r="D6" s="367"/>
      <c r="E6" s="367"/>
      <c r="F6" s="367"/>
      <c r="G6" s="368"/>
      <c r="I6" s="365"/>
      <c r="J6" s="365"/>
      <c r="K6" s="365"/>
      <c r="L6" s="190" t="s">
        <v>219</v>
      </c>
      <c r="M6" s="190" t="s">
        <v>220</v>
      </c>
      <c r="N6" s="190" t="s">
        <v>221</v>
      </c>
      <c r="O6" s="190" t="s">
        <v>222</v>
      </c>
      <c r="P6" s="190" t="s">
        <v>223</v>
      </c>
      <c r="Q6" s="191" t="s">
        <v>224</v>
      </c>
      <c r="R6" s="191" t="s">
        <v>225</v>
      </c>
      <c r="S6" s="191" t="s">
        <v>226</v>
      </c>
      <c r="T6" s="191" t="s">
        <v>227</v>
      </c>
      <c r="U6" s="191" t="s">
        <v>228</v>
      </c>
      <c r="Y6" s="379"/>
      <c r="Z6" s="379"/>
      <c r="AA6" s="379"/>
      <c r="AB6" s="190" t="s">
        <v>219</v>
      </c>
      <c r="AC6" s="190" t="s">
        <v>220</v>
      </c>
      <c r="AD6" s="190" t="s">
        <v>221</v>
      </c>
      <c r="AE6" s="190" t="s">
        <v>222</v>
      </c>
      <c r="AF6" s="190" t="s">
        <v>223</v>
      </c>
      <c r="AG6" s="191" t="s">
        <v>224</v>
      </c>
      <c r="AH6" s="191" t="s">
        <v>225</v>
      </c>
      <c r="AI6" s="191" t="s">
        <v>226</v>
      </c>
      <c r="AJ6" s="191" t="s">
        <v>227</v>
      </c>
      <c r="AK6" s="191" t="s">
        <v>228</v>
      </c>
    </row>
    <row r="7" spans="1:37" s="188" customFormat="1" ht="13" customHeight="1" x14ac:dyDescent="0.15">
      <c r="B7" s="198">
        <v>0</v>
      </c>
      <c r="C7" s="199">
        <v>0</v>
      </c>
      <c r="D7" s="199">
        <v>0</v>
      </c>
      <c r="E7" s="199">
        <v>0</v>
      </c>
      <c r="F7" s="199">
        <v>0</v>
      </c>
      <c r="G7" s="199">
        <f>SUM(C7:F7)</f>
        <v>0</v>
      </c>
      <c r="I7" s="192" t="s">
        <v>410</v>
      </c>
      <c r="J7" s="192">
        <f>B11</f>
        <v>0</v>
      </c>
      <c r="K7" s="193">
        <v>9</v>
      </c>
      <c r="L7" s="194">
        <v>2.8</v>
      </c>
      <c r="M7" s="194">
        <v>0.3</v>
      </c>
      <c r="N7" s="194">
        <v>4.4000000000000004</v>
      </c>
      <c r="O7" s="194">
        <v>1.5</v>
      </c>
      <c r="P7" s="193">
        <f>SUM(L7:O7)</f>
        <v>9</v>
      </c>
      <c r="Q7" s="195">
        <f>L7/$K7</f>
        <v>0.31111111111111112</v>
      </c>
      <c r="R7" s="195">
        <f t="shared" ref="Q7:T11" si="0">M7/$K7</f>
        <v>3.3333333333333333E-2</v>
      </c>
      <c r="S7" s="195">
        <f t="shared" si="0"/>
        <v>0.48888888888888893</v>
      </c>
      <c r="T7" s="195">
        <f t="shared" si="0"/>
        <v>0.16666666666666666</v>
      </c>
      <c r="U7" s="196">
        <f>SUM(Q7:T7)</f>
        <v>1</v>
      </c>
      <c r="Y7" s="280" t="s">
        <v>410</v>
      </c>
      <c r="Z7" s="281">
        <v>0</v>
      </c>
      <c r="AA7" s="281">
        <v>9</v>
      </c>
      <c r="AB7" s="281">
        <f>AG7*AA7</f>
        <v>2.3286999999999995</v>
      </c>
      <c r="AC7" s="281">
        <f>AH7*AA7</f>
        <v>0.30012857142857147</v>
      </c>
      <c r="AD7" s="281">
        <f>AI7*AA7</f>
        <v>4.8713000000000006</v>
      </c>
      <c r="AE7" s="281">
        <f>AJ7*AA7</f>
        <v>1.4998714285714287</v>
      </c>
      <c r="AF7" s="281">
        <f t="shared" ref="AF7:AF16" si="1">SUM(AB7:AE7)</f>
        <v>9</v>
      </c>
      <c r="AG7" s="283">
        <v>0.25874444444444439</v>
      </c>
      <c r="AH7" s="283">
        <v>3.334761904761905E-2</v>
      </c>
      <c r="AI7" s="283">
        <v>0.5412555555555556</v>
      </c>
      <c r="AJ7" s="283">
        <v>0.16665238095238097</v>
      </c>
      <c r="AK7" s="282">
        <v>1</v>
      </c>
    </row>
    <row r="8" spans="1:37" s="197" customFormat="1" ht="14" x14ac:dyDescent="0.15">
      <c r="B8" s="198" t="s">
        <v>231</v>
      </c>
      <c r="C8" s="202">
        <v>0.8</v>
      </c>
      <c r="D8" s="202">
        <v>3.3300000000000003E-2</v>
      </c>
      <c r="E8" s="202">
        <v>0</v>
      </c>
      <c r="F8" s="202">
        <v>0.16669999999999999</v>
      </c>
      <c r="G8" s="202">
        <f t="shared" ref="G8:G9" si="2">SUM(C8:F8)</f>
        <v>1</v>
      </c>
      <c r="I8" s="192" t="s">
        <v>230</v>
      </c>
      <c r="J8" s="192">
        <f>B12</f>
        <v>0.3</v>
      </c>
      <c r="K8" s="200">
        <f>K$7-J8</f>
        <v>8.6999999999999993</v>
      </c>
      <c r="L8" s="201">
        <f t="shared" ref="L8:O11" si="3">L$7-C12</f>
        <v>2.67001</v>
      </c>
      <c r="M8" s="201">
        <f t="shared" si="3"/>
        <v>0.29000999999999999</v>
      </c>
      <c r="N8" s="201">
        <f t="shared" si="3"/>
        <v>4.2899900000000004</v>
      </c>
      <c r="O8" s="201">
        <f t="shared" si="3"/>
        <v>1.4499900000000001</v>
      </c>
      <c r="P8" s="193">
        <f t="shared" ref="P8:P11" si="4">SUM(L8:O8)</f>
        <v>8.7000000000000011</v>
      </c>
      <c r="Q8" s="195">
        <f t="shared" si="0"/>
        <v>0.30689770114942533</v>
      </c>
      <c r="R8" s="195">
        <f t="shared" si="0"/>
        <v>3.3334482758620693E-2</v>
      </c>
      <c r="S8" s="195">
        <f t="shared" si="0"/>
        <v>0.49310229885057483</v>
      </c>
      <c r="T8" s="195">
        <f t="shared" si="0"/>
        <v>0.16666551724137935</v>
      </c>
      <c r="U8" s="196">
        <f t="shared" ref="U8:U11" si="5">SUM(Q8:T8)</f>
        <v>1.0000000000000002</v>
      </c>
      <c r="Y8" s="257" t="s">
        <v>230</v>
      </c>
      <c r="Z8" s="261">
        <v>0.3</v>
      </c>
      <c r="AA8" s="261">
        <v>8.6999999999999993</v>
      </c>
      <c r="AB8" s="281">
        <f t="shared" ref="AB8:AB16" si="6">AG8*AA8</f>
        <v>2.2510766666666662</v>
      </c>
      <c r="AC8" s="281">
        <f t="shared" ref="AC8:AC16" si="7">AH8*AA8</f>
        <v>0.29000999999999999</v>
      </c>
      <c r="AD8" s="281">
        <f t="shared" ref="AD8:AD16" si="8">AI8*AA8</f>
        <v>4.7089233333333329</v>
      </c>
      <c r="AE8" s="281">
        <f t="shared" ref="AE8:AE16" si="9">AJ8*AA8</f>
        <v>1.4499900000000001</v>
      </c>
      <c r="AF8" s="281">
        <f t="shared" si="1"/>
        <v>8.6999999999999993</v>
      </c>
      <c r="AG8" s="283">
        <v>0.25874444444444439</v>
      </c>
      <c r="AH8" s="283">
        <v>3.3334482758620693E-2</v>
      </c>
      <c r="AI8" s="283">
        <v>0.5412555555555556</v>
      </c>
      <c r="AJ8" s="283">
        <v>0.16666551724137935</v>
      </c>
      <c r="AK8" s="282">
        <v>1.0000000000000002</v>
      </c>
    </row>
    <row r="9" spans="1:37" s="197" customFormat="1" ht="14" x14ac:dyDescent="0.15">
      <c r="B9" s="198" t="s">
        <v>233</v>
      </c>
      <c r="C9" s="202">
        <v>0.43330000000000002</v>
      </c>
      <c r="D9" s="202">
        <v>3.3300000000000003E-2</v>
      </c>
      <c r="E9" s="202">
        <v>0.36670000000000003</v>
      </c>
      <c r="F9" s="202">
        <v>0.16669999999999999</v>
      </c>
      <c r="G9" s="202">
        <f t="shared" si="2"/>
        <v>1</v>
      </c>
      <c r="I9" s="192" t="s">
        <v>232</v>
      </c>
      <c r="J9" s="192">
        <f>B13</f>
        <v>0.4</v>
      </c>
      <c r="K9" s="200">
        <f>K$7-J9</f>
        <v>8.6</v>
      </c>
      <c r="L9" s="201">
        <f t="shared" si="3"/>
        <v>2.6266799999999999</v>
      </c>
      <c r="M9" s="201">
        <f t="shared" si="3"/>
        <v>0.28667999999999999</v>
      </c>
      <c r="N9" s="201">
        <f t="shared" si="3"/>
        <v>4.2533200000000004</v>
      </c>
      <c r="O9" s="201">
        <f t="shared" si="3"/>
        <v>1.4333199999999999</v>
      </c>
      <c r="P9" s="193">
        <f t="shared" si="4"/>
        <v>8.6</v>
      </c>
      <c r="Q9" s="195">
        <f t="shared" si="0"/>
        <v>0.30542790697674421</v>
      </c>
      <c r="R9" s="195">
        <f t="shared" si="0"/>
        <v>3.3334883720930235E-2</v>
      </c>
      <c r="S9" s="195">
        <f t="shared" si="0"/>
        <v>0.49457209302325589</v>
      </c>
      <c r="T9" s="195">
        <f t="shared" si="0"/>
        <v>0.16666511627906977</v>
      </c>
      <c r="U9" s="196">
        <f t="shared" si="5"/>
        <v>1</v>
      </c>
      <c r="Y9" s="257" t="s">
        <v>232</v>
      </c>
      <c r="Z9" s="261">
        <v>0.4</v>
      </c>
      <c r="AA9" s="261">
        <v>8.6</v>
      </c>
      <c r="AB9" s="281">
        <f t="shared" si="6"/>
        <v>2.2252022222222219</v>
      </c>
      <c r="AC9" s="281">
        <f t="shared" si="7"/>
        <v>0.28667999999999999</v>
      </c>
      <c r="AD9" s="281">
        <f t="shared" si="8"/>
        <v>4.6547977777777776</v>
      </c>
      <c r="AE9" s="281">
        <f t="shared" si="9"/>
        <v>1.4333199999999999</v>
      </c>
      <c r="AF9" s="281">
        <f t="shared" si="1"/>
        <v>8.6</v>
      </c>
      <c r="AG9" s="283">
        <v>0.25874444444444439</v>
      </c>
      <c r="AH9" s="283">
        <v>3.3334883720930235E-2</v>
      </c>
      <c r="AI9" s="283">
        <v>0.5412555555555556</v>
      </c>
      <c r="AJ9" s="283">
        <v>0.16666511627906977</v>
      </c>
      <c r="AK9" s="282">
        <v>1</v>
      </c>
    </row>
    <row r="10" spans="1:37" s="197" customFormat="1" ht="14" x14ac:dyDescent="0.15">
      <c r="B10" s="370" t="s">
        <v>238</v>
      </c>
      <c r="C10" s="370"/>
      <c r="D10" s="370"/>
      <c r="E10" s="370"/>
      <c r="F10" s="370"/>
      <c r="G10" s="370"/>
      <c r="I10" s="192" t="s">
        <v>234</v>
      </c>
      <c r="J10" s="192">
        <f>B14</f>
        <v>1</v>
      </c>
      <c r="K10" s="200">
        <f>K$7-J10</f>
        <v>8</v>
      </c>
      <c r="L10" s="201">
        <f t="shared" si="3"/>
        <v>2.3666999999999998</v>
      </c>
      <c r="M10" s="201">
        <f t="shared" si="3"/>
        <v>0.26669999999999999</v>
      </c>
      <c r="N10" s="201">
        <f t="shared" si="3"/>
        <v>4.0333000000000006</v>
      </c>
      <c r="O10" s="201">
        <f t="shared" si="3"/>
        <v>1.3332999999999999</v>
      </c>
      <c r="P10" s="193">
        <f t="shared" si="4"/>
        <v>8</v>
      </c>
      <c r="Q10" s="195">
        <f t="shared" si="0"/>
        <v>0.29583749999999998</v>
      </c>
      <c r="R10" s="195">
        <f t="shared" si="0"/>
        <v>3.3337499999999999E-2</v>
      </c>
      <c r="S10" s="195">
        <f t="shared" si="0"/>
        <v>0.50416250000000007</v>
      </c>
      <c r="T10" s="195">
        <f t="shared" si="0"/>
        <v>0.16666249999999999</v>
      </c>
      <c r="U10" s="196">
        <f t="shared" si="5"/>
        <v>1</v>
      </c>
      <c r="Y10" s="257" t="s">
        <v>234</v>
      </c>
      <c r="Z10" s="261">
        <v>1</v>
      </c>
      <c r="AA10" s="261">
        <v>8</v>
      </c>
      <c r="AB10" s="281">
        <f t="shared" si="6"/>
        <v>2.0699555555555551</v>
      </c>
      <c r="AC10" s="281">
        <f t="shared" si="7"/>
        <v>0.26669999999999999</v>
      </c>
      <c r="AD10" s="281">
        <f t="shared" si="8"/>
        <v>4.3300444444444448</v>
      </c>
      <c r="AE10" s="281">
        <f t="shared" si="9"/>
        <v>1.3332999999999999</v>
      </c>
      <c r="AF10" s="281">
        <f t="shared" si="1"/>
        <v>8</v>
      </c>
      <c r="AG10" s="283">
        <v>0.25874444444444439</v>
      </c>
      <c r="AH10" s="283">
        <v>3.3337499999999999E-2</v>
      </c>
      <c r="AI10" s="283">
        <v>0.5412555555555556</v>
      </c>
      <c r="AJ10" s="283">
        <v>0.16666249999999999</v>
      </c>
      <c r="AK10" s="282">
        <v>1</v>
      </c>
    </row>
    <row r="11" spans="1:37" s="197" customFormat="1" ht="14" x14ac:dyDescent="0.15">
      <c r="B11" s="198">
        <v>0</v>
      </c>
      <c r="C11" s="203">
        <v>0</v>
      </c>
      <c r="D11" s="203">
        <v>0</v>
      </c>
      <c r="E11" s="203">
        <v>0</v>
      </c>
      <c r="F11" s="203">
        <v>0</v>
      </c>
      <c r="G11" s="203">
        <f>SUM(C11:F11)</f>
        <v>0</v>
      </c>
      <c r="I11" s="192" t="s">
        <v>237</v>
      </c>
      <c r="J11" s="192">
        <f>B15</f>
        <v>1.5</v>
      </c>
      <c r="K11" s="200">
        <f>K$7-J11</f>
        <v>7.5</v>
      </c>
      <c r="L11" s="201">
        <f t="shared" si="3"/>
        <v>2.1500499999999998</v>
      </c>
      <c r="M11" s="201">
        <f t="shared" si="3"/>
        <v>0.25004999999999999</v>
      </c>
      <c r="N11" s="201">
        <f t="shared" si="3"/>
        <v>3.8499500000000002</v>
      </c>
      <c r="O11" s="201">
        <f t="shared" si="3"/>
        <v>1.2499500000000001</v>
      </c>
      <c r="P11" s="193">
        <f t="shared" si="4"/>
        <v>7.5</v>
      </c>
      <c r="Q11" s="195">
        <f t="shared" si="0"/>
        <v>0.28667333333333328</v>
      </c>
      <c r="R11" s="195">
        <f t="shared" si="0"/>
        <v>3.3340000000000002E-2</v>
      </c>
      <c r="S11" s="195">
        <f t="shared" si="0"/>
        <v>0.51332666666666671</v>
      </c>
      <c r="T11" s="195">
        <f t="shared" si="0"/>
        <v>0.16666</v>
      </c>
      <c r="U11" s="196">
        <f t="shared" si="5"/>
        <v>1</v>
      </c>
      <c r="Y11" s="257" t="s">
        <v>237</v>
      </c>
      <c r="Z11" s="261">
        <v>1.5</v>
      </c>
      <c r="AA11" s="261">
        <v>7.5</v>
      </c>
      <c r="AB11" s="281">
        <f t="shared" si="6"/>
        <v>1.9405833333333329</v>
      </c>
      <c r="AC11" s="281">
        <f t="shared" si="7"/>
        <v>0.25004999999999999</v>
      </c>
      <c r="AD11" s="281">
        <f t="shared" si="8"/>
        <v>4.0594166666666673</v>
      </c>
      <c r="AE11" s="281">
        <f t="shared" si="9"/>
        <v>1.2499500000000001</v>
      </c>
      <c r="AF11" s="281">
        <f t="shared" si="1"/>
        <v>7.5</v>
      </c>
      <c r="AG11" s="283">
        <v>0.25874444444444439</v>
      </c>
      <c r="AH11" s="283">
        <v>3.3340000000000002E-2</v>
      </c>
      <c r="AI11" s="283">
        <v>0.5412555555555556</v>
      </c>
      <c r="AJ11" s="283">
        <v>0.16666</v>
      </c>
      <c r="AK11" s="282">
        <v>1</v>
      </c>
    </row>
    <row r="12" spans="1:37" s="197" customFormat="1" ht="14" x14ac:dyDescent="0.15">
      <c r="B12" s="198">
        <v>0.3</v>
      </c>
      <c r="C12" s="201">
        <f t="shared" ref="C12:F15" si="10">$B12*C$9</f>
        <v>0.12998999999999999</v>
      </c>
      <c r="D12" s="201">
        <f t="shared" si="10"/>
        <v>9.9900000000000006E-3</v>
      </c>
      <c r="E12" s="201">
        <f t="shared" si="10"/>
        <v>0.11001000000000001</v>
      </c>
      <c r="F12" s="201">
        <f t="shared" si="10"/>
        <v>5.0009999999999992E-2</v>
      </c>
      <c r="G12" s="201">
        <f>SUM(C12:F12)</f>
        <v>0.3</v>
      </c>
      <c r="I12" s="192" t="s">
        <v>411</v>
      </c>
      <c r="J12" s="192">
        <v>2.7</v>
      </c>
      <c r="K12" s="200">
        <f>K$7-J12</f>
        <v>6.3</v>
      </c>
      <c r="L12" s="201">
        <f>L11-C9*($K11-$K12)</f>
        <v>1.6300899999999996</v>
      </c>
      <c r="M12" s="201">
        <f>M11-D9*($K11-$K12)</f>
        <v>0.21009</v>
      </c>
      <c r="N12" s="201">
        <f>N11-E9*($K11-$K12)</f>
        <v>3.40991</v>
      </c>
      <c r="O12" s="201">
        <f>O11-F9*($K11-$K12)</f>
        <v>1.0499100000000001</v>
      </c>
      <c r="P12" s="200">
        <f>P11-G9*($K11-$K12)</f>
        <v>6.3</v>
      </c>
      <c r="Q12" s="195">
        <f t="shared" ref="Q12:T15" si="11">L12/$K12</f>
        <v>0.25874444444444439</v>
      </c>
      <c r="R12" s="195">
        <f t="shared" si="11"/>
        <v>3.334761904761905E-2</v>
      </c>
      <c r="S12" s="195">
        <f t="shared" si="11"/>
        <v>0.5412555555555556</v>
      </c>
      <c r="T12" s="195">
        <f t="shared" si="11"/>
        <v>0.16665238095238097</v>
      </c>
      <c r="U12" s="196">
        <f>SUM(Q12:T12)</f>
        <v>1</v>
      </c>
      <c r="Y12" s="257" t="s">
        <v>411</v>
      </c>
      <c r="Z12" s="261">
        <v>2.7</v>
      </c>
      <c r="AA12" s="261">
        <v>6.3</v>
      </c>
      <c r="AB12" s="281">
        <f>AG12*AA12</f>
        <v>1.6300899999999996</v>
      </c>
      <c r="AC12" s="281">
        <f t="shared" si="7"/>
        <v>0.21009</v>
      </c>
      <c r="AD12" s="281">
        <f t="shared" si="8"/>
        <v>3.40991</v>
      </c>
      <c r="AE12" s="281">
        <f t="shared" si="9"/>
        <v>1.0499100000000001</v>
      </c>
      <c r="AF12" s="281">
        <f t="shared" si="1"/>
        <v>6.3000000000000007</v>
      </c>
      <c r="AG12" s="283">
        <v>0.25874444444444439</v>
      </c>
      <c r="AH12" s="283">
        <v>3.334761904761905E-2</v>
      </c>
      <c r="AI12" s="283">
        <v>0.5412555555555556</v>
      </c>
      <c r="AJ12" s="283">
        <v>0.16665238095238097</v>
      </c>
      <c r="AK12" s="282">
        <v>1</v>
      </c>
    </row>
    <row r="13" spans="1:37" s="197" customFormat="1" ht="14" x14ac:dyDescent="0.15">
      <c r="B13" s="198">
        <v>0.4</v>
      </c>
      <c r="C13" s="201">
        <f t="shared" si="10"/>
        <v>0.17332000000000003</v>
      </c>
      <c r="D13" s="201">
        <f t="shared" si="10"/>
        <v>1.3320000000000002E-2</v>
      </c>
      <c r="E13" s="201">
        <f t="shared" si="10"/>
        <v>0.14668</v>
      </c>
      <c r="F13" s="201">
        <f t="shared" si="10"/>
        <v>6.6680000000000003E-2</v>
      </c>
      <c r="G13" s="201">
        <f>SUM(C13:F13)</f>
        <v>0.40000000000000008</v>
      </c>
      <c r="I13" s="192" t="s">
        <v>412</v>
      </c>
      <c r="J13" s="257">
        <f>9-K13</f>
        <v>4</v>
      </c>
      <c r="K13" s="261">
        <v>5</v>
      </c>
      <c r="L13" s="258">
        <f>L11-C9*($K11-$K13)</f>
        <v>1.0667999999999997</v>
      </c>
      <c r="M13" s="258">
        <f>M11-D9*($K11-$K13)</f>
        <v>0.1668</v>
      </c>
      <c r="N13" s="258">
        <f>N11-E9*($K11-$K13)</f>
        <v>2.9332000000000003</v>
      </c>
      <c r="O13" s="258">
        <f>O11-F9*($K11-$K13)</f>
        <v>0.83320000000000016</v>
      </c>
      <c r="P13" s="261">
        <f>P11-G9*($K11-$K13)</f>
        <v>5</v>
      </c>
      <c r="Q13" s="195">
        <f t="shared" si="11"/>
        <v>0.21335999999999994</v>
      </c>
      <c r="R13" s="195">
        <f t="shared" si="11"/>
        <v>3.3360000000000001E-2</v>
      </c>
      <c r="S13" s="195">
        <f t="shared" si="11"/>
        <v>0.58664000000000005</v>
      </c>
      <c r="T13" s="195">
        <f t="shared" si="11"/>
        <v>0.16664000000000004</v>
      </c>
      <c r="U13" s="196">
        <f>SUM(Q13:T13)</f>
        <v>1</v>
      </c>
      <c r="Y13" s="257" t="s">
        <v>412</v>
      </c>
      <c r="Z13" s="261">
        <v>4</v>
      </c>
      <c r="AA13" s="261">
        <v>5</v>
      </c>
      <c r="AB13" s="281">
        <f t="shared" si="6"/>
        <v>1.293722222222222</v>
      </c>
      <c r="AC13" s="281">
        <f t="shared" si="7"/>
        <v>0.1668</v>
      </c>
      <c r="AD13" s="281">
        <f t="shared" si="8"/>
        <v>2.7062777777777782</v>
      </c>
      <c r="AE13" s="281">
        <f t="shared" si="9"/>
        <v>0.83320000000000016</v>
      </c>
      <c r="AF13" s="281">
        <f t="shared" si="1"/>
        <v>5</v>
      </c>
      <c r="AG13" s="283">
        <v>0.25874444444444439</v>
      </c>
      <c r="AH13" s="283">
        <v>3.3360000000000001E-2</v>
      </c>
      <c r="AI13" s="283">
        <v>0.5412555555555556</v>
      </c>
      <c r="AJ13" s="283">
        <v>0.16664000000000004</v>
      </c>
      <c r="AK13" s="282">
        <v>1</v>
      </c>
    </row>
    <row r="14" spans="1:37" s="197" customFormat="1" ht="14" x14ac:dyDescent="0.15">
      <c r="B14" s="198">
        <v>1</v>
      </c>
      <c r="C14" s="201">
        <f t="shared" si="10"/>
        <v>0.43330000000000002</v>
      </c>
      <c r="D14" s="201">
        <f t="shared" si="10"/>
        <v>3.3300000000000003E-2</v>
      </c>
      <c r="E14" s="201">
        <f t="shared" si="10"/>
        <v>0.36670000000000003</v>
      </c>
      <c r="F14" s="201">
        <f t="shared" si="10"/>
        <v>0.16669999999999999</v>
      </c>
      <c r="G14" s="201">
        <f>SUM(C14:F14)</f>
        <v>1</v>
      </c>
      <c r="I14" s="192" t="s">
        <v>413</v>
      </c>
      <c r="J14" s="257">
        <f>9-K14</f>
        <v>4.4000000000000004</v>
      </c>
      <c r="K14" s="257">
        <v>4.5999999999999996</v>
      </c>
      <c r="L14" s="258">
        <f>L11-C9*($K11-$K14)</f>
        <v>0.89347999999999961</v>
      </c>
      <c r="M14" s="258">
        <f>M11-D9*($K11-$K14)</f>
        <v>0.15347999999999998</v>
      </c>
      <c r="N14" s="258">
        <f>N11-E9*($K11-$K14)</f>
        <v>2.7865200000000003</v>
      </c>
      <c r="O14" s="258">
        <f>O11-F9*($K11-$K14)</f>
        <v>0.76652000000000009</v>
      </c>
      <c r="P14" s="261">
        <f>P11-G9*($K11-$K14)</f>
        <v>4.5999999999999996</v>
      </c>
      <c r="Q14" s="195">
        <f t="shared" si="11"/>
        <v>0.19423478260869559</v>
      </c>
      <c r="R14" s="195">
        <f t="shared" si="11"/>
        <v>3.3365217391304346E-2</v>
      </c>
      <c r="S14" s="195">
        <f t="shared" si="11"/>
        <v>0.60576521739130451</v>
      </c>
      <c r="T14" s="195">
        <f t="shared" si="11"/>
        <v>0.16663478260869569</v>
      </c>
      <c r="U14" s="196">
        <f>SUM(Q14:T14)</f>
        <v>1</v>
      </c>
      <c r="Y14" s="257" t="s">
        <v>413</v>
      </c>
      <c r="Z14" s="261">
        <v>4.4000000000000004</v>
      </c>
      <c r="AA14" s="261">
        <v>4.5999999999999996</v>
      </c>
      <c r="AB14" s="281">
        <f t="shared" si="6"/>
        <v>1.1902244444444441</v>
      </c>
      <c r="AC14" s="281">
        <f t="shared" si="7"/>
        <v>0.15347999999999998</v>
      </c>
      <c r="AD14" s="281">
        <f t="shared" si="8"/>
        <v>2.4897755555555556</v>
      </c>
      <c r="AE14" s="281">
        <f t="shared" si="9"/>
        <v>0.76652000000000009</v>
      </c>
      <c r="AF14" s="281">
        <f t="shared" si="1"/>
        <v>4.5999999999999996</v>
      </c>
      <c r="AG14" s="283">
        <v>0.25874444444444439</v>
      </c>
      <c r="AH14" s="283">
        <v>3.3365217391304346E-2</v>
      </c>
      <c r="AI14" s="283">
        <v>0.5412555555555556</v>
      </c>
      <c r="AJ14" s="283">
        <v>0.16663478260869569</v>
      </c>
      <c r="AK14" s="282">
        <v>1</v>
      </c>
    </row>
    <row r="15" spans="1:37" s="197" customFormat="1" ht="14" x14ac:dyDescent="0.15">
      <c r="B15" s="198">
        <v>1.5</v>
      </c>
      <c r="C15" s="201">
        <f t="shared" si="10"/>
        <v>0.64995000000000003</v>
      </c>
      <c r="D15" s="201">
        <f t="shared" si="10"/>
        <v>4.9950000000000008E-2</v>
      </c>
      <c r="E15" s="201">
        <f t="shared" si="10"/>
        <v>0.55005000000000004</v>
      </c>
      <c r="F15" s="201">
        <f t="shared" si="10"/>
        <v>0.25004999999999999</v>
      </c>
      <c r="G15" s="201">
        <f>SUM(C15:F15)</f>
        <v>1.5</v>
      </c>
      <c r="I15" s="192" t="s">
        <v>414</v>
      </c>
      <c r="J15" s="257">
        <f>9-K15</f>
        <v>5.2</v>
      </c>
      <c r="K15" s="257">
        <v>3.8</v>
      </c>
      <c r="L15" s="258">
        <f>L11-C9*($K11-$K15)</f>
        <v>0.54683999999999955</v>
      </c>
      <c r="M15" s="258">
        <f>M11-D9*($K11-$K15)</f>
        <v>0.12683999999999998</v>
      </c>
      <c r="N15" s="258">
        <f>N11-E9*($K11-$K15)</f>
        <v>2.49316</v>
      </c>
      <c r="O15" s="258">
        <f>O11-F9*($K11-$K15)</f>
        <v>0.63316000000000017</v>
      </c>
      <c r="P15" s="261">
        <f>P11-G9*($K11-$K15)</f>
        <v>3.8</v>
      </c>
      <c r="Q15" s="195">
        <f t="shared" si="11"/>
        <v>0.14390526315789462</v>
      </c>
      <c r="R15" s="195">
        <f t="shared" si="11"/>
        <v>3.337894736842105E-2</v>
      </c>
      <c r="S15" s="195">
        <f t="shared" si="11"/>
        <v>0.65609473684210529</v>
      </c>
      <c r="T15" s="195">
        <f t="shared" si="11"/>
        <v>0.166621052631579</v>
      </c>
      <c r="U15" s="196">
        <f>SUM(Q15:T15)</f>
        <v>1</v>
      </c>
      <c r="Y15" s="257" t="s">
        <v>414</v>
      </c>
      <c r="Z15" s="261">
        <v>5.2</v>
      </c>
      <c r="AA15" s="261">
        <v>3.8</v>
      </c>
      <c r="AB15" s="281">
        <f t="shared" si="6"/>
        <v>0.9832288888888886</v>
      </c>
      <c r="AC15" s="281">
        <f t="shared" si="7"/>
        <v>0.12683999999999998</v>
      </c>
      <c r="AD15" s="281">
        <f t="shared" si="8"/>
        <v>2.0567711111111113</v>
      </c>
      <c r="AE15" s="281">
        <f t="shared" si="9"/>
        <v>0.63316000000000017</v>
      </c>
      <c r="AF15" s="281">
        <f t="shared" si="1"/>
        <v>3.8</v>
      </c>
      <c r="AG15" s="283">
        <v>0.25874444444444439</v>
      </c>
      <c r="AH15" s="283">
        <v>3.337894736842105E-2</v>
      </c>
      <c r="AI15" s="283">
        <v>0.5412555555555556</v>
      </c>
      <c r="AJ15" s="283">
        <v>0.166621052631579</v>
      </c>
      <c r="AK15" s="282">
        <v>1</v>
      </c>
    </row>
    <row r="16" spans="1:37" s="197" customFormat="1" ht="14" x14ac:dyDescent="0.15">
      <c r="B16" s="198" t="s">
        <v>235</v>
      </c>
      <c r="C16" s="383" t="s">
        <v>236</v>
      </c>
      <c r="D16" s="384"/>
      <c r="E16" s="384"/>
      <c r="F16" s="384"/>
      <c r="G16" s="385"/>
      <c r="I16" s="192" t="s">
        <v>415</v>
      </c>
      <c r="J16" s="192">
        <v>8</v>
      </c>
      <c r="K16" s="200">
        <f>K$7-J16</f>
        <v>1</v>
      </c>
      <c r="L16" s="201">
        <f>$K16*Q16</f>
        <v>0.25874444444444439</v>
      </c>
      <c r="M16" s="201">
        <f>$K16*R16</f>
        <v>3.334761904761905E-2</v>
      </c>
      <c r="N16" s="201">
        <f>$K16*S16</f>
        <v>0.5412555555555556</v>
      </c>
      <c r="O16" s="201">
        <f>$K16*T16</f>
        <v>0.16665238095238097</v>
      </c>
      <c r="P16" s="200">
        <f>$K16*U16</f>
        <v>1</v>
      </c>
      <c r="Q16" s="195">
        <f>Q12</f>
        <v>0.25874444444444439</v>
      </c>
      <c r="R16" s="195">
        <f>R12</f>
        <v>3.334761904761905E-2</v>
      </c>
      <c r="S16" s="195">
        <f>S12</f>
        <v>0.5412555555555556</v>
      </c>
      <c r="T16" s="195">
        <f>T12</f>
        <v>0.16665238095238097</v>
      </c>
      <c r="U16" s="219">
        <f>U12</f>
        <v>1</v>
      </c>
      <c r="Y16" s="257" t="s">
        <v>415</v>
      </c>
      <c r="Z16" s="261">
        <v>8</v>
      </c>
      <c r="AA16" s="261">
        <v>1</v>
      </c>
      <c r="AB16" s="281">
        <f t="shared" si="6"/>
        <v>0.25874444444444439</v>
      </c>
      <c r="AC16" s="281">
        <f t="shared" si="7"/>
        <v>3.334761904761905E-2</v>
      </c>
      <c r="AD16" s="281">
        <f t="shared" si="8"/>
        <v>0.5412555555555556</v>
      </c>
      <c r="AE16" s="281">
        <f t="shared" si="9"/>
        <v>0.16665238095238097</v>
      </c>
      <c r="AF16" s="281">
        <f t="shared" si="1"/>
        <v>1</v>
      </c>
      <c r="AG16" s="283">
        <v>0.25874444444444439</v>
      </c>
      <c r="AH16" s="283">
        <v>3.334761904761905E-2</v>
      </c>
      <c r="AI16" s="283">
        <v>0.5412555555555556</v>
      </c>
      <c r="AJ16" s="283">
        <v>0.16665238095238097</v>
      </c>
      <c r="AK16" s="282">
        <v>1</v>
      </c>
    </row>
    <row r="17" spans="2:39" s="197" customFormat="1" ht="14" x14ac:dyDescent="0.15"/>
    <row r="18" spans="2:39" s="197" customFormat="1" ht="14" x14ac:dyDescent="0.15">
      <c r="I18" s="204" t="s">
        <v>416</v>
      </c>
    </row>
    <row r="19" spans="2:39" s="197" customFormat="1" ht="14" x14ac:dyDescent="0.15">
      <c r="I19" s="204" t="s">
        <v>417</v>
      </c>
      <c r="J19" s="205"/>
      <c r="K19" s="205"/>
      <c r="L19" s="206"/>
      <c r="M19" s="206"/>
      <c r="N19" s="206"/>
      <c r="O19" s="206"/>
      <c r="P19" s="206"/>
      <c r="Q19" s="208"/>
      <c r="R19" s="208"/>
      <c r="S19" s="208"/>
      <c r="T19" s="208"/>
      <c r="U19" s="208"/>
    </row>
    <row r="20" spans="2:39" s="197" customFormat="1" ht="14" x14ac:dyDescent="0.15">
      <c r="I20" s="204" t="s">
        <v>418</v>
      </c>
      <c r="J20" s="205"/>
      <c r="K20" s="205"/>
      <c r="L20" s="206"/>
      <c r="M20" s="206"/>
      <c r="N20" s="206"/>
      <c r="O20" s="206"/>
      <c r="P20" s="206"/>
      <c r="Q20" s="208"/>
      <c r="R20" s="208"/>
      <c r="S20" s="208"/>
      <c r="T20" s="208"/>
      <c r="U20" s="208"/>
    </row>
    <row r="21" spans="2:39" s="197" customFormat="1" ht="14" x14ac:dyDescent="0.15">
      <c r="J21" s="205"/>
      <c r="K21" s="205"/>
      <c r="L21" s="206"/>
      <c r="M21" s="206"/>
      <c r="N21" s="206"/>
      <c r="O21" s="206"/>
      <c r="P21" s="206"/>
      <c r="Q21" s="259"/>
      <c r="R21" s="259"/>
      <c r="S21" s="259"/>
      <c r="T21" s="259"/>
      <c r="U21" s="260"/>
    </row>
    <row r="22" spans="2:39" s="197" customFormat="1" ht="17" customHeight="1" x14ac:dyDescent="0.15">
      <c r="I22" s="371" t="s">
        <v>441</v>
      </c>
      <c r="J22" s="372"/>
      <c r="K22" s="372"/>
      <c r="L22" s="372"/>
      <c r="M22" s="372"/>
      <c r="N22" s="372"/>
      <c r="O22" s="372"/>
      <c r="P22" s="372"/>
      <c r="Q22" s="372"/>
      <c r="R22" s="372"/>
      <c r="S22" s="372"/>
      <c r="T22" s="372"/>
      <c r="U22" s="372"/>
      <c r="V22" s="372"/>
      <c r="W22" s="373"/>
      <c r="Y22" s="371" t="s">
        <v>443</v>
      </c>
      <c r="Z22" s="372"/>
      <c r="AA22" s="372"/>
      <c r="AB22" s="372"/>
      <c r="AC22" s="372"/>
      <c r="AD22" s="372"/>
      <c r="AE22" s="372"/>
      <c r="AF22" s="372"/>
      <c r="AG22" s="372"/>
      <c r="AH22" s="372"/>
      <c r="AI22" s="372"/>
      <c r="AJ22" s="372"/>
      <c r="AK22" s="372"/>
      <c r="AL22" s="372"/>
      <c r="AM22" s="373"/>
    </row>
    <row r="23" spans="2:39" s="197" customFormat="1" ht="15" customHeight="1" x14ac:dyDescent="0.15">
      <c r="B23" s="285"/>
      <c r="C23" s="266"/>
      <c r="D23" s="266"/>
      <c r="E23" s="266"/>
      <c r="F23" s="266"/>
      <c r="G23" s="266"/>
      <c r="I23" s="364" t="s">
        <v>13</v>
      </c>
      <c r="J23" s="364" t="s">
        <v>214</v>
      </c>
      <c r="K23" s="364" t="s">
        <v>215</v>
      </c>
      <c r="L23" s="366" t="s">
        <v>216</v>
      </c>
      <c r="M23" s="367"/>
      <c r="N23" s="367"/>
      <c r="O23" s="367"/>
      <c r="P23" s="367"/>
      <c r="Q23" s="368"/>
      <c r="R23" s="374" t="s">
        <v>217</v>
      </c>
      <c r="S23" s="375"/>
      <c r="T23" s="375"/>
      <c r="U23" s="375"/>
      <c r="V23" s="375"/>
      <c r="W23" s="376"/>
      <c r="Y23" s="378" t="s">
        <v>13</v>
      </c>
      <c r="Z23" s="364" t="s">
        <v>424</v>
      </c>
      <c r="AA23" s="364" t="s">
        <v>422</v>
      </c>
      <c r="AB23" s="380" t="s">
        <v>216</v>
      </c>
      <c r="AC23" s="381"/>
      <c r="AD23" s="381"/>
      <c r="AE23" s="381"/>
      <c r="AF23" s="381"/>
      <c r="AG23" s="382"/>
      <c r="AH23" s="374" t="s">
        <v>217</v>
      </c>
      <c r="AI23" s="375"/>
      <c r="AJ23" s="375"/>
      <c r="AK23" s="375"/>
      <c r="AL23" s="375"/>
      <c r="AM23" s="376"/>
    </row>
    <row r="24" spans="2:39" s="197" customFormat="1" ht="44" customHeight="1" x14ac:dyDescent="0.15">
      <c r="B24" s="265"/>
      <c r="C24" s="266"/>
      <c r="D24" s="266"/>
      <c r="E24" s="266"/>
      <c r="F24" s="266"/>
      <c r="G24" s="266"/>
      <c r="I24" s="365"/>
      <c r="J24" s="365"/>
      <c r="K24" s="365"/>
      <c r="L24" s="190" t="s">
        <v>219</v>
      </c>
      <c r="M24" s="190" t="s">
        <v>220</v>
      </c>
      <c r="N24" s="190" t="s">
        <v>221</v>
      </c>
      <c r="O24" s="190" t="s">
        <v>419</v>
      </c>
      <c r="P24" s="190" t="s">
        <v>420</v>
      </c>
      <c r="Q24" s="190" t="s">
        <v>223</v>
      </c>
      <c r="R24" s="191" t="s">
        <v>224</v>
      </c>
      <c r="S24" s="191" t="s">
        <v>225</v>
      </c>
      <c r="T24" s="191" t="s">
        <v>226</v>
      </c>
      <c r="U24" s="191" t="s">
        <v>227</v>
      </c>
      <c r="V24" s="191" t="s">
        <v>420</v>
      </c>
      <c r="W24" s="191" t="s">
        <v>228</v>
      </c>
      <c r="Y24" s="379"/>
      <c r="Z24" s="379"/>
      <c r="AA24" s="379"/>
      <c r="AB24" s="190" t="s">
        <v>425</v>
      </c>
      <c r="AC24" s="190" t="s">
        <v>426</v>
      </c>
      <c r="AD24" s="190" t="s">
        <v>427</v>
      </c>
      <c r="AE24" s="190" t="s">
        <v>419</v>
      </c>
      <c r="AF24" s="190" t="s">
        <v>420</v>
      </c>
      <c r="AG24" s="284" t="s">
        <v>223</v>
      </c>
      <c r="AH24" s="191" t="s">
        <v>428</v>
      </c>
      <c r="AI24" s="191" t="s">
        <v>429</v>
      </c>
      <c r="AJ24" s="191" t="s">
        <v>430</v>
      </c>
      <c r="AK24" s="191" t="s">
        <v>431</v>
      </c>
      <c r="AL24" s="191" t="s">
        <v>420</v>
      </c>
      <c r="AM24" s="268" t="s">
        <v>228</v>
      </c>
    </row>
    <row r="25" spans="2:39" s="197" customFormat="1" ht="14" customHeight="1" x14ac:dyDescent="0.15">
      <c r="I25" s="257" t="s">
        <v>410</v>
      </c>
      <c r="J25" s="257">
        <v>0</v>
      </c>
      <c r="K25" s="261">
        <v>9</v>
      </c>
      <c r="L25" s="258">
        <f t="shared" ref="L25:L34" si="12">L7-(P25*0.824)</f>
        <v>2.0153954399999998</v>
      </c>
      <c r="M25" s="258">
        <v>0.3</v>
      </c>
      <c r="N25" s="258">
        <f t="shared" ref="N25:N34" si="13">N7-(P25*0.164)</f>
        <v>4.2438408400000007</v>
      </c>
      <c r="O25" s="258">
        <v>1.5</v>
      </c>
      <c r="P25" s="201">
        <f>TribalWater!G$8/1000000</f>
        <v>0.95218999999999998</v>
      </c>
      <c r="Q25" s="261">
        <f>SUM(L25:P25)</f>
        <v>9.0114262800000002</v>
      </c>
      <c r="R25" s="262">
        <f>L25/K25</f>
        <v>0.22393282666666664</v>
      </c>
      <c r="S25" s="262">
        <f>M25/K25</f>
        <v>3.3333333333333333E-2</v>
      </c>
      <c r="T25" s="262">
        <f>N25/K25</f>
        <v>0.47153787111111117</v>
      </c>
      <c r="U25" s="262">
        <f>O25/K25</f>
        <v>0.16666666666666666</v>
      </c>
      <c r="V25" s="263">
        <f>P25/K25</f>
        <v>0.10579888888888889</v>
      </c>
      <c r="W25" s="264">
        <f>SUM(R25:V25)</f>
        <v>1.0012695866666665</v>
      </c>
      <c r="Y25" s="257" t="s">
        <v>410</v>
      </c>
      <c r="Z25" s="261">
        <v>0</v>
      </c>
      <c r="AA25" s="261">
        <v>9</v>
      </c>
      <c r="AB25" s="258">
        <f>L7-(AF25*TribalWater!H6)</f>
        <v>2.0168659999999998</v>
      </c>
      <c r="AC25" s="258">
        <f>M25-(AF25*TribalWater!H5)</f>
        <v>0.287466</v>
      </c>
      <c r="AD25" s="258">
        <f>N7-(AF25*TribalWater!H7)</f>
        <v>4.2434780000000005</v>
      </c>
      <c r="AE25" s="258">
        <f ca="1">AK25*AA25</f>
        <v>1.4998714285714287</v>
      </c>
      <c r="AF25" s="258">
        <f>TribalWater!G8/1000000</f>
        <v>0.95218999999999998</v>
      </c>
      <c r="AG25" s="261">
        <f ca="1">SUM(AB25:AF25)</f>
        <v>8.9998714285714296</v>
      </c>
      <c r="AH25" s="283">
        <f t="shared" ref="AH25:AJ25" si="14">AB25/$AA25</f>
        <v>0.2240962222222222</v>
      </c>
      <c r="AI25" s="283">
        <f t="shared" ref="AI25" si="15">AC25/$AA25</f>
        <v>3.1940666666666666E-2</v>
      </c>
      <c r="AJ25" s="283">
        <f t="shared" ref="AJ25" si="16">AD25/$AA25</f>
        <v>0.47149755555555561</v>
      </c>
      <c r="AK25" s="283">
        <f t="shared" ref="AK25" ca="1" si="17">AE25/$AA25</f>
        <v>0.2240962222222222</v>
      </c>
      <c r="AL25" s="283">
        <f t="shared" ref="AL25" si="18">AF25/$AA25</f>
        <v>0.10579888888888889</v>
      </c>
      <c r="AM25" s="282">
        <v>1.0018136952380954</v>
      </c>
    </row>
    <row r="26" spans="2:39" s="197" customFormat="1" ht="14" x14ac:dyDescent="0.15">
      <c r="C26" s="267"/>
      <c r="D26" s="267"/>
      <c r="E26" s="267"/>
      <c r="F26" s="267"/>
      <c r="G26" s="267"/>
      <c r="I26" s="257" t="s">
        <v>230</v>
      </c>
      <c r="J26" s="257">
        <v>0.3</v>
      </c>
      <c r="K26" s="261">
        <v>8.6999999999999993</v>
      </c>
      <c r="L26" s="258">
        <f t="shared" si="12"/>
        <v>1.88540544</v>
      </c>
      <c r="M26" s="258">
        <v>0.29000999999999999</v>
      </c>
      <c r="N26" s="258">
        <f t="shared" si="13"/>
        <v>4.1338308400000008</v>
      </c>
      <c r="O26" s="258">
        <v>1.4499900000000001</v>
      </c>
      <c r="P26" s="201">
        <f>TribalWater!G$8/1000000</f>
        <v>0.95218999999999998</v>
      </c>
      <c r="Q26" s="261">
        <f t="shared" ref="Q26:Q34" si="19">SUM(L26:P26)</f>
        <v>8.7114262800000013</v>
      </c>
      <c r="R26" s="262">
        <f t="shared" ref="R26:R34" si="20">L26/K26</f>
        <v>0.21671326896551726</v>
      </c>
      <c r="S26" s="262">
        <f t="shared" ref="S26:S34" si="21">M26/K26</f>
        <v>3.3334482758620693E-2</v>
      </c>
      <c r="T26" s="262">
        <f t="shared" ref="T26:T34" si="22">N26/K26</f>
        <v>0.47515297011494267</v>
      </c>
      <c r="U26" s="262">
        <f t="shared" ref="U26:U33" si="23">O26/K26</f>
        <v>0.16666551724137935</v>
      </c>
      <c r="V26" s="263">
        <f t="shared" ref="V26:V34" si="24">P26/K26</f>
        <v>0.10944712643678162</v>
      </c>
      <c r="W26" s="264">
        <f t="shared" ref="W26:W34" si="25">SUM(R26:V26)</f>
        <v>1.0013133655172415</v>
      </c>
      <c r="Y26" s="257" t="s">
        <v>230</v>
      </c>
      <c r="Z26" s="261">
        <v>0.3</v>
      </c>
      <c r="AA26" s="261">
        <v>8.6999999999999993</v>
      </c>
      <c r="AB26" s="258">
        <f t="shared" ref="AB26:AB34" si="26">L8-(AF26*0.844)</f>
        <v>1.5602098838095237</v>
      </c>
      <c r="AC26" s="258">
        <f t="shared" ref="AC26:AC34" si="27">AI26*AA26</f>
        <v>0.29012428571428572</v>
      </c>
      <c r="AD26" s="258">
        <f t="shared" ref="AD26:AD34" si="28">AJ26*AA26</f>
        <v>4.4932749695238092</v>
      </c>
      <c r="AE26" s="258">
        <f t="shared" ref="AE26:AE34" si="29">AK26*AA26</f>
        <v>1.4498757142857144</v>
      </c>
      <c r="AF26" s="258">
        <f t="shared" ref="AF26:AF34" si="30">AL26*AA26</f>
        <v>1.3149290476190476</v>
      </c>
      <c r="AG26" s="261">
        <f t="shared" ref="AG26:AG34" si="31">SUM(AB26:AF26)</f>
        <v>9.1084139009523817</v>
      </c>
      <c r="AH26" s="283">
        <v>0.13420403809523807</v>
      </c>
      <c r="AI26" s="283">
        <v>3.334761904761905E-2</v>
      </c>
      <c r="AJ26" s="283">
        <v>0.51646838730158728</v>
      </c>
      <c r="AK26" s="283">
        <v>0.16665238095238097</v>
      </c>
      <c r="AL26" s="283">
        <v>0.15114126984126985</v>
      </c>
      <c r="AM26" s="282">
        <v>1.0018136952380954</v>
      </c>
    </row>
    <row r="27" spans="2:39" s="197" customFormat="1" ht="14" x14ac:dyDescent="0.15">
      <c r="C27" s="267"/>
      <c r="D27" s="267"/>
      <c r="E27" s="267"/>
      <c r="F27" s="267"/>
      <c r="G27" s="267"/>
      <c r="I27" s="257" t="s">
        <v>232</v>
      </c>
      <c r="J27" s="257">
        <v>0.4</v>
      </c>
      <c r="K27" s="261">
        <v>8.6</v>
      </c>
      <c r="L27" s="258">
        <f t="shared" si="12"/>
        <v>1.8420754399999999</v>
      </c>
      <c r="M27" s="258">
        <v>0.28667999999999999</v>
      </c>
      <c r="N27" s="258">
        <f t="shared" si="13"/>
        <v>4.0971608400000008</v>
      </c>
      <c r="O27" s="258">
        <v>1.4333199999999999</v>
      </c>
      <c r="P27" s="201">
        <f>TribalWater!G$8/1000000</f>
        <v>0.95218999999999998</v>
      </c>
      <c r="Q27" s="261">
        <f t="shared" si="19"/>
        <v>8.6114262800000017</v>
      </c>
      <c r="R27" s="262">
        <f t="shared" si="20"/>
        <v>0.21419481860465117</v>
      </c>
      <c r="S27" s="262">
        <f t="shared" si="21"/>
        <v>3.3334883720930235E-2</v>
      </c>
      <c r="T27" s="262">
        <f t="shared" si="22"/>
        <v>0.47641405116279079</v>
      </c>
      <c r="U27" s="262">
        <f t="shared" si="23"/>
        <v>0.16666511627906977</v>
      </c>
      <c r="V27" s="263">
        <f t="shared" si="24"/>
        <v>0.11071976744186046</v>
      </c>
      <c r="W27" s="264">
        <f t="shared" si="25"/>
        <v>1.0013286372093024</v>
      </c>
      <c r="Y27" s="257" t="s">
        <v>232</v>
      </c>
      <c r="Z27" s="261">
        <v>0.4</v>
      </c>
      <c r="AA27" s="261">
        <v>8.6</v>
      </c>
      <c r="AB27" s="258">
        <f t="shared" si="26"/>
        <v>1.5296362069841267</v>
      </c>
      <c r="AC27" s="258">
        <f t="shared" si="27"/>
        <v>0.28678952380952383</v>
      </c>
      <c r="AD27" s="258">
        <f t="shared" si="28"/>
        <v>4.4416281307936503</v>
      </c>
      <c r="AE27" s="258">
        <f t="shared" si="29"/>
        <v>1.4332104761904763</v>
      </c>
      <c r="AF27" s="258">
        <f t="shared" si="30"/>
        <v>1.2998149206349208</v>
      </c>
      <c r="AG27" s="261">
        <f t="shared" si="31"/>
        <v>8.9910792584126984</v>
      </c>
      <c r="AH27" s="283">
        <v>0.13420403809523807</v>
      </c>
      <c r="AI27" s="283">
        <v>3.334761904761905E-2</v>
      </c>
      <c r="AJ27" s="283">
        <v>0.51646838730158728</v>
      </c>
      <c r="AK27" s="283">
        <v>0.16665238095238097</v>
      </c>
      <c r="AL27" s="283">
        <v>0.15114126984126985</v>
      </c>
      <c r="AM27" s="282">
        <v>1.0018136952380954</v>
      </c>
    </row>
    <row r="28" spans="2:39" s="197" customFormat="1" ht="14" x14ac:dyDescent="0.15">
      <c r="I28" s="257" t="s">
        <v>234</v>
      </c>
      <c r="J28" s="257">
        <v>1</v>
      </c>
      <c r="K28" s="261">
        <v>8</v>
      </c>
      <c r="L28" s="258">
        <f t="shared" si="12"/>
        <v>1.5820954399999998</v>
      </c>
      <c r="M28" s="258">
        <v>0.26669999999999999</v>
      </c>
      <c r="N28" s="258">
        <f t="shared" si="13"/>
        <v>3.8771408400000005</v>
      </c>
      <c r="O28" s="258">
        <v>1.3332999999999999</v>
      </c>
      <c r="P28" s="201">
        <f>TribalWater!G$8/1000000</f>
        <v>0.95218999999999998</v>
      </c>
      <c r="Q28" s="261">
        <f t="shared" si="19"/>
        <v>8.0114262800000002</v>
      </c>
      <c r="R28" s="262">
        <f t="shared" si="20"/>
        <v>0.19776192999999997</v>
      </c>
      <c r="S28" s="262">
        <f t="shared" si="21"/>
        <v>3.3337499999999999E-2</v>
      </c>
      <c r="T28" s="262">
        <f t="shared" si="22"/>
        <v>0.48464260500000006</v>
      </c>
      <c r="U28" s="262">
        <f t="shared" si="23"/>
        <v>0.16666249999999999</v>
      </c>
      <c r="V28" s="263">
        <f t="shared" si="24"/>
        <v>0.11902375</v>
      </c>
      <c r="W28" s="264">
        <f t="shared" si="25"/>
        <v>1.001428285</v>
      </c>
      <c r="Y28" s="257" t="s">
        <v>234</v>
      </c>
      <c r="Z28" s="261">
        <v>1</v>
      </c>
      <c r="AA28" s="261">
        <v>8</v>
      </c>
      <c r="AB28" s="258">
        <f t="shared" si="26"/>
        <v>1.3461941460317457</v>
      </c>
      <c r="AC28" s="258">
        <f t="shared" si="27"/>
        <v>0.2667809523809524</v>
      </c>
      <c r="AD28" s="258">
        <f t="shared" si="28"/>
        <v>4.1317470984126983</v>
      </c>
      <c r="AE28" s="258">
        <f t="shared" si="29"/>
        <v>1.3332190476190477</v>
      </c>
      <c r="AF28" s="258">
        <f t="shared" si="30"/>
        <v>1.2091301587301588</v>
      </c>
      <c r="AG28" s="261">
        <f t="shared" si="31"/>
        <v>8.287071403174604</v>
      </c>
      <c r="AH28" s="283">
        <v>0.13420403809523807</v>
      </c>
      <c r="AI28" s="283">
        <v>3.334761904761905E-2</v>
      </c>
      <c r="AJ28" s="283">
        <v>0.51646838730158728</v>
      </c>
      <c r="AK28" s="283">
        <v>0.16665238095238097</v>
      </c>
      <c r="AL28" s="283">
        <v>0.15114126984126985</v>
      </c>
      <c r="AM28" s="282">
        <v>1.0018136952380954</v>
      </c>
    </row>
    <row r="29" spans="2:39" s="197" customFormat="1" ht="14" x14ac:dyDescent="0.15">
      <c r="C29" s="267"/>
      <c r="D29" s="267"/>
      <c r="E29" s="267"/>
      <c r="F29" s="267"/>
      <c r="G29" s="267"/>
      <c r="I29" s="257" t="s">
        <v>237</v>
      </c>
      <c r="J29" s="257">
        <v>1.5</v>
      </c>
      <c r="K29" s="261">
        <v>7.5</v>
      </c>
      <c r="L29" s="258">
        <f t="shared" si="12"/>
        <v>1.3654454399999998</v>
      </c>
      <c r="M29" s="258">
        <v>0.25004999999999999</v>
      </c>
      <c r="N29" s="258">
        <f t="shared" si="13"/>
        <v>3.6937908400000001</v>
      </c>
      <c r="O29" s="258">
        <v>1.2499500000000001</v>
      </c>
      <c r="P29" s="201">
        <f>TribalWater!G$8/1000000</f>
        <v>0.95218999999999998</v>
      </c>
      <c r="Q29" s="261">
        <f t="shared" si="19"/>
        <v>7.5114262800000002</v>
      </c>
      <c r="R29" s="262">
        <f t="shared" si="20"/>
        <v>0.18205939199999996</v>
      </c>
      <c r="S29" s="262">
        <f t="shared" si="21"/>
        <v>3.3340000000000002E-2</v>
      </c>
      <c r="T29" s="262">
        <f t="shared" si="22"/>
        <v>0.49250544533333335</v>
      </c>
      <c r="U29" s="262">
        <f t="shared" si="23"/>
        <v>0.16666</v>
      </c>
      <c r="V29" s="263">
        <f t="shared" si="24"/>
        <v>0.12695866666666666</v>
      </c>
      <c r="W29" s="264">
        <f t="shared" si="25"/>
        <v>1.0015235040000001</v>
      </c>
      <c r="Y29" s="257" t="s">
        <v>237</v>
      </c>
      <c r="Z29" s="261">
        <v>1.5</v>
      </c>
      <c r="AA29" s="261">
        <v>7.5</v>
      </c>
      <c r="AB29" s="258">
        <f t="shared" si="26"/>
        <v>1.1933257619047617</v>
      </c>
      <c r="AC29" s="258">
        <f t="shared" si="27"/>
        <v>0.25010714285714286</v>
      </c>
      <c r="AD29" s="258">
        <f t="shared" si="28"/>
        <v>3.8735129047619048</v>
      </c>
      <c r="AE29" s="258">
        <f t="shared" si="29"/>
        <v>1.2498928571428574</v>
      </c>
      <c r="AF29" s="258">
        <f t="shared" si="30"/>
        <v>1.133559523809524</v>
      </c>
      <c r="AG29" s="261">
        <f t="shared" si="31"/>
        <v>7.7003981904761902</v>
      </c>
      <c r="AH29" s="283">
        <v>0.13420403809523807</v>
      </c>
      <c r="AI29" s="283">
        <v>3.334761904761905E-2</v>
      </c>
      <c r="AJ29" s="283">
        <v>0.51646838730158728</v>
      </c>
      <c r="AK29" s="283">
        <v>0.16665238095238097</v>
      </c>
      <c r="AL29" s="283">
        <v>0.15114126984126985</v>
      </c>
      <c r="AM29" s="282">
        <v>1.0018136952380954</v>
      </c>
    </row>
    <row r="30" spans="2:39" s="197" customFormat="1" ht="14" x14ac:dyDescent="0.15">
      <c r="C30" s="267"/>
      <c r="D30" s="267"/>
      <c r="E30" s="267"/>
      <c r="F30" s="267"/>
      <c r="G30" s="267"/>
      <c r="I30" s="257" t="s">
        <v>411</v>
      </c>
      <c r="J30" s="257">
        <v>2.7</v>
      </c>
      <c r="K30" s="261">
        <v>6.3</v>
      </c>
      <c r="L30" s="258">
        <f t="shared" si="12"/>
        <v>0.8454854399999997</v>
      </c>
      <c r="M30" s="258">
        <v>0.21009</v>
      </c>
      <c r="N30" s="258">
        <f t="shared" si="13"/>
        <v>3.2537508399999999</v>
      </c>
      <c r="O30" s="258">
        <v>1.0499100000000001</v>
      </c>
      <c r="P30" s="201">
        <f>TribalWater!G$8/1000000</f>
        <v>0.95218999999999998</v>
      </c>
      <c r="Q30" s="261">
        <f t="shared" si="19"/>
        <v>6.3114262799999992</v>
      </c>
      <c r="R30" s="262">
        <f t="shared" si="20"/>
        <v>0.13420403809523807</v>
      </c>
      <c r="S30" s="262">
        <f t="shared" si="21"/>
        <v>3.334761904761905E-2</v>
      </c>
      <c r="T30" s="262">
        <f t="shared" si="22"/>
        <v>0.51646838730158728</v>
      </c>
      <c r="U30" s="262">
        <f t="shared" si="23"/>
        <v>0.16665238095238097</v>
      </c>
      <c r="V30" s="263">
        <f t="shared" si="24"/>
        <v>0.15114126984126985</v>
      </c>
      <c r="W30" s="264">
        <f t="shared" si="25"/>
        <v>1.0018136952380954</v>
      </c>
      <c r="Y30" s="257" t="s">
        <v>411</v>
      </c>
      <c r="Z30" s="261">
        <v>2.7</v>
      </c>
      <c r="AA30" s="261">
        <v>6.3</v>
      </c>
      <c r="AB30" s="258">
        <f t="shared" si="26"/>
        <v>0.82644163999999953</v>
      </c>
      <c r="AC30" s="258">
        <f t="shared" si="27"/>
        <v>0.21009</v>
      </c>
      <c r="AD30" s="258">
        <f t="shared" si="28"/>
        <v>3.2537508399999999</v>
      </c>
      <c r="AE30" s="258">
        <f t="shared" si="29"/>
        <v>1.0499100000000001</v>
      </c>
      <c r="AF30" s="258">
        <f t="shared" si="30"/>
        <v>0.95219000000000009</v>
      </c>
      <c r="AG30" s="261">
        <f t="shared" si="31"/>
        <v>6.2923824799999988</v>
      </c>
      <c r="AH30" s="283">
        <v>0.13420403809523807</v>
      </c>
      <c r="AI30" s="283">
        <v>3.334761904761905E-2</v>
      </c>
      <c r="AJ30" s="283">
        <v>0.51646838730158728</v>
      </c>
      <c r="AK30" s="283">
        <v>0.16665238095238097</v>
      </c>
      <c r="AL30" s="283">
        <v>0.15114126984126985</v>
      </c>
      <c r="AM30" s="282">
        <v>1.0018136952380954</v>
      </c>
    </row>
    <row r="31" spans="2:39" s="197" customFormat="1" ht="14" x14ac:dyDescent="0.15">
      <c r="C31" s="267"/>
      <c r="D31" s="267"/>
      <c r="E31" s="267"/>
      <c r="F31" s="267"/>
      <c r="G31" s="267"/>
      <c r="I31" s="257" t="s">
        <v>412</v>
      </c>
      <c r="J31" s="257">
        <v>4</v>
      </c>
      <c r="K31" s="261">
        <v>5</v>
      </c>
      <c r="L31" s="258">
        <f t="shared" si="12"/>
        <v>0.28219543999999985</v>
      </c>
      <c r="M31" s="258">
        <v>0.1668</v>
      </c>
      <c r="N31" s="258">
        <f t="shared" si="13"/>
        <v>2.7770408400000002</v>
      </c>
      <c r="O31" s="258">
        <v>0.83320000000000016</v>
      </c>
      <c r="P31" s="201">
        <f>TribalWater!G$8/1000000</f>
        <v>0.95218999999999998</v>
      </c>
      <c r="Q31" s="261">
        <f t="shared" si="19"/>
        <v>5.0114262800000002</v>
      </c>
      <c r="R31" s="262">
        <f t="shared" si="20"/>
        <v>5.6439087999999971E-2</v>
      </c>
      <c r="S31" s="262">
        <f t="shared" si="21"/>
        <v>3.3360000000000001E-2</v>
      </c>
      <c r="T31" s="262">
        <f t="shared" si="22"/>
        <v>0.55540816800000004</v>
      </c>
      <c r="U31" s="262">
        <f t="shared" si="23"/>
        <v>0.16664000000000004</v>
      </c>
      <c r="V31" s="263">
        <f t="shared" si="24"/>
        <v>0.190438</v>
      </c>
      <c r="W31" s="264">
        <f t="shared" si="25"/>
        <v>1.002285256</v>
      </c>
      <c r="Y31" s="257" t="s">
        <v>412</v>
      </c>
      <c r="Z31" s="261">
        <v>4</v>
      </c>
      <c r="AA31" s="261">
        <v>5</v>
      </c>
      <c r="AB31" s="258">
        <f t="shared" si="26"/>
        <v>0.42898384126984102</v>
      </c>
      <c r="AC31" s="258">
        <f t="shared" si="27"/>
        <v>0.16673809523809524</v>
      </c>
      <c r="AD31" s="258">
        <f t="shared" si="28"/>
        <v>2.5823419365079365</v>
      </c>
      <c r="AE31" s="258">
        <f t="shared" si="29"/>
        <v>0.83326190476190487</v>
      </c>
      <c r="AF31" s="258">
        <f t="shared" si="30"/>
        <v>0.75570634920634927</v>
      </c>
      <c r="AG31" s="261">
        <f t="shared" si="31"/>
        <v>4.7670321269841267</v>
      </c>
      <c r="AH31" s="283">
        <v>0.13420403809523807</v>
      </c>
      <c r="AI31" s="283">
        <v>3.334761904761905E-2</v>
      </c>
      <c r="AJ31" s="283">
        <v>0.51646838730158728</v>
      </c>
      <c r="AK31" s="283">
        <v>0.16665238095238097</v>
      </c>
      <c r="AL31" s="283">
        <v>0.15114126984126985</v>
      </c>
      <c r="AM31" s="282">
        <v>1.0018136952380954</v>
      </c>
    </row>
    <row r="32" spans="2:39" s="197" customFormat="1" ht="14" x14ac:dyDescent="0.15">
      <c r="C32" s="267"/>
      <c r="D32" s="267"/>
      <c r="E32" s="267"/>
      <c r="F32" s="267"/>
      <c r="G32" s="267"/>
      <c r="I32" s="257" t="s">
        <v>413</v>
      </c>
      <c r="J32" s="257">
        <v>4.4000000000000004</v>
      </c>
      <c r="K32" s="261">
        <v>4.5999999999999996</v>
      </c>
      <c r="L32" s="258">
        <f t="shared" si="12"/>
        <v>0.10887543999999971</v>
      </c>
      <c r="M32" s="258">
        <v>0.15347999999999998</v>
      </c>
      <c r="N32" s="258">
        <f t="shared" si="13"/>
        <v>2.6303608400000003</v>
      </c>
      <c r="O32" s="258">
        <v>0.76652000000000009</v>
      </c>
      <c r="P32" s="201">
        <f>TribalWater!G$8/1000000</f>
        <v>0.95218999999999998</v>
      </c>
      <c r="Q32" s="261">
        <f t="shared" si="19"/>
        <v>4.6114262799999999</v>
      </c>
      <c r="R32" s="262">
        <f t="shared" si="20"/>
        <v>2.3668573913043417E-2</v>
      </c>
      <c r="S32" s="262">
        <f t="shared" si="21"/>
        <v>3.3365217391304346E-2</v>
      </c>
      <c r="T32" s="262">
        <f t="shared" si="22"/>
        <v>0.57181757391304355</v>
      </c>
      <c r="U32" s="262">
        <f t="shared" si="23"/>
        <v>0.16663478260869569</v>
      </c>
      <c r="V32" s="263">
        <f t="shared" si="24"/>
        <v>0.20699782608695652</v>
      </c>
      <c r="W32" s="264">
        <f t="shared" si="25"/>
        <v>1.0024839739130436</v>
      </c>
      <c r="Y32" s="257" t="s">
        <v>413</v>
      </c>
      <c r="Z32" s="261">
        <v>4.4000000000000004</v>
      </c>
      <c r="AA32" s="261">
        <v>4.5999999999999996</v>
      </c>
      <c r="AB32" s="258">
        <f t="shared" si="26"/>
        <v>0.30668913396825359</v>
      </c>
      <c r="AC32" s="258">
        <f t="shared" si="27"/>
        <v>0.15339904761904763</v>
      </c>
      <c r="AD32" s="258">
        <f t="shared" si="28"/>
        <v>2.3757545815873011</v>
      </c>
      <c r="AE32" s="258">
        <f t="shared" si="29"/>
        <v>0.76660095238095238</v>
      </c>
      <c r="AF32" s="258">
        <f t="shared" si="30"/>
        <v>0.69524984126984124</v>
      </c>
      <c r="AG32" s="261">
        <f t="shared" si="31"/>
        <v>4.2976935568253953</v>
      </c>
      <c r="AH32" s="283">
        <v>0.13420403809523807</v>
      </c>
      <c r="AI32" s="283">
        <v>3.334761904761905E-2</v>
      </c>
      <c r="AJ32" s="283">
        <v>0.51646838730158728</v>
      </c>
      <c r="AK32" s="283">
        <v>0.16665238095238097</v>
      </c>
      <c r="AL32" s="283">
        <v>0.15114126984126985</v>
      </c>
      <c r="AM32" s="282">
        <v>1.0018136952380954</v>
      </c>
    </row>
    <row r="33" spans="1:39" x14ac:dyDescent="0.2">
      <c r="I33" s="257" t="s">
        <v>414</v>
      </c>
      <c r="J33" s="257">
        <v>5.2</v>
      </c>
      <c r="K33" s="261">
        <v>3.8</v>
      </c>
      <c r="L33" s="258">
        <f t="shared" si="12"/>
        <v>-0.23776456000000035</v>
      </c>
      <c r="M33" s="258">
        <v>0.12683999999999998</v>
      </c>
      <c r="N33" s="258">
        <f t="shared" si="13"/>
        <v>2.33700084</v>
      </c>
      <c r="O33" s="258">
        <v>0.63316000000000017</v>
      </c>
      <c r="P33" s="201">
        <f>TribalWater!G$8/1000000</f>
        <v>0.95218999999999998</v>
      </c>
      <c r="Q33" s="261">
        <f t="shared" si="19"/>
        <v>3.8114262799999996</v>
      </c>
      <c r="R33" s="262">
        <f t="shared" si="20"/>
        <v>-6.2569621052631669E-2</v>
      </c>
      <c r="S33" s="262">
        <f t="shared" si="21"/>
        <v>3.337894736842105E-2</v>
      </c>
      <c r="T33" s="262">
        <f t="shared" si="22"/>
        <v>0.61500022105263163</v>
      </c>
      <c r="U33" s="262">
        <f t="shared" si="23"/>
        <v>0.166621052631579</v>
      </c>
      <c r="V33" s="263">
        <f t="shared" si="24"/>
        <v>0.2505763157894737</v>
      </c>
      <c r="W33" s="264">
        <f t="shared" si="25"/>
        <v>1.0030069157894737</v>
      </c>
      <c r="Y33" s="257" t="s">
        <v>414</v>
      </c>
      <c r="Z33" s="261">
        <v>5.2</v>
      </c>
      <c r="AA33" s="261">
        <v>3.8</v>
      </c>
      <c r="AB33" s="258">
        <f t="shared" si="26"/>
        <v>6.2099719365078909E-2</v>
      </c>
      <c r="AC33" s="258">
        <f t="shared" si="27"/>
        <v>0.12672095238095238</v>
      </c>
      <c r="AD33" s="258">
        <f t="shared" si="28"/>
        <v>1.9625798717460317</v>
      </c>
      <c r="AE33" s="258">
        <f t="shared" si="29"/>
        <v>0.63327904761904763</v>
      </c>
      <c r="AF33" s="258">
        <f t="shared" si="30"/>
        <v>0.5743368253968254</v>
      </c>
      <c r="AG33" s="261">
        <f t="shared" si="31"/>
        <v>3.3590164165079361</v>
      </c>
      <c r="AH33" s="283">
        <v>0.13420403809523807</v>
      </c>
      <c r="AI33" s="283">
        <v>3.334761904761905E-2</v>
      </c>
      <c r="AJ33" s="283">
        <v>0.51646838730158728</v>
      </c>
      <c r="AK33" s="283">
        <v>0.16665238095238097</v>
      </c>
      <c r="AL33" s="283">
        <v>0.15114126984126985</v>
      </c>
      <c r="AM33" s="282">
        <v>1.0018136952380954</v>
      </c>
    </row>
    <row r="34" spans="1:39" x14ac:dyDescent="0.2">
      <c r="I34" s="257" t="s">
        <v>415</v>
      </c>
      <c r="J34" s="257">
        <v>8</v>
      </c>
      <c r="K34" s="261">
        <v>1</v>
      </c>
      <c r="L34" s="258">
        <f t="shared" si="12"/>
        <v>-0.52586011555555556</v>
      </c>
      <c r="M34" s="258">
        <v>3.334761904761905E-2</v>
      </c>
      <c r="N34" s="258">
        <f t="shared" si="13"/>
        <v>0.38509639555555564</v>
      </c>
      <c r="O34" s="258">
        <v>0.16665238095238097</v>
      </c>
      <c r="P34" s="201">
        <f>TribalWater!G$8/1000000</f>
        <v>0.95218999999999998</v>
      </c>
      <c r="Q34" s="261">
        <f t="shared" si="19"/>
        <v>1.01142628</v>
      </c>
      <c r="R34" s="262">
        <f t="shared" si="20"/>
        <v>-0.52586011555555556</v>
      </c>
      <c r="S34" s="262">
        <f t="shared" si="21"/>
        <v>3.334761904761905E-2</v>
      </c>
      <c r="T34" s="262">
        <f t="shared" si="22"/>
        <v>0.38509639555555564</v>
      </c>
      <c r="U34" s="262">
        <f>O34/K34</f>
        <v>0.16665238095238097</v>
      </c>
      <c r="V34" s="263">
        <f t="shared" si="24"/>
        <v>0.95218999999999998</v>
      </c>
      <c r="W34" s="264">
        <f t="shared" si="25"/>
        <v>1.01142628</v>
      </c>
      <c r="Y34" s="257" t="s">
        <v>415</v>
      </c>
      <c r="Z34" s="261">
        <v>8</v>
      </c>
      <c r="AA34" s="261">
        <v>1</v>
      </c>
      <c r="AB34" s="258">
        <f t="shared" si="26"/>
        <v>0.13118121269841262</v>
      </c>
      <c r="AC34" s="258">
        <f t="shared" si="27"/>
        <v>3.334761904761905E-2</v>
      </c>
      <c r="AD34" s="258">
        <f t="shared" si="28"/>
        <v>0.51646838730158728</v>
      </c>
      <c r="AE34" s="258">
        <f t="shared" si="29"/>
        <v>0.16665238095238097</v>
      </c>
      <c r="AF34" s="258">
        <f t="shared" si="30"/>
        <v>0.15114126984126985</v>
      </c>
      <c r="AG34" s="261">
        <f t="shared" si="31"/>
        <v>0.99879086984126986</v>
      </c>
      <c r="AH34" s="283">
        <v>0.13420403809523807</v>
      </c>
      <c r="AI34" s="283">
        <v>3.334761904761905E-2</v>
      </c>
      <c r="AJ34" s="283">
        <v>0.51646838730158728</v>
      </c>
      <c r="AK34" s="283">
        <v>0.16665238095238097</v>
      </c>
      <c r="AL34" s="283">
        <v>0.15114126984126985</v>
      </c>
      <c r="AM34" s="282">
        <v>1.0018136952380954</v>
      </c>
    </row>
    <row r="37" spans="1:39" ht="14" customHeight="1" x14ac:dyDescent="0.2">
      <c r="A37" s="387" t="s">
        <v>434</v>
      </c>
      <c r="B37" s="388"/>
      <c r="C37" s="388"/>
      <c r="D37" s="388"/>
      <c r="E37" s="388"/>
      <c r="F37" s="388"/>
      <c r="G37" s="389"/>
      <c r="I37" s="371" t="s">
        <v>432</v>
      </c>
      <c r="J37" s="372"/>
      <c r="K37" s="372"/>
      <c r="L37" s="372"/>
      <c r="M37" s="372"/>
      <c r="N37" s="372"/>
      <c r="O37" s="372"/>
      <c r="P37" s="372"/>
      <c r="Q37" s="372"/>
      <c r="R37" s="372"/>
      <c r="S37" s="372"/>
      <c r="T37" s="372"/>
      <c r="U37" s="372"/>
      <c r="V37" s="372"/>
      <c r="W37" s="373"/>
      <c r="Y37" s="279"/>
      <c r="Z37" s="279"/>
      <c r="AA37" s="279"/>
      <c r="AB37" s="279"/>
      <c r="AC37" s="279"/>
      <c r="AD37" s="279"/>
      <c r="AE37" s="279"/>
      <c r="AF37" s="279"/>
      <c r="AG37" s="279"/>
      <c r="AH37" s="279"/>
      <c r="AI37" s="279"/>
      <c r="AJ37" s="279"/>
      <c r="AK37" s="279"/>
      <c r="AL37" s="279"/>
      <c r="AM37" s="279"/>
    </row>
    <row r="38" spans="1:39" ht="68" customHeight="1" x14ac:dyDescent="0.2">
      <c r="A38" s="189" t="s">
        <v>218</v>
      </c>
      <c r="B38" s="189" t="s">
        <v>204</v>
      </c>
      <c r="C38" s="189" t="s">
        <v>205</v>
      </c>
      <c r="D38" s="189" t="s">
        <v>203</v>
      </c>
      <c r="E38" s="189" t="s">
        <v>18</v>
      </c>
      <c r="F38" s="189" t="s">
        <v>433</v>
      </c>
      <c r="G38" s="189" t="s">
        <v>25</v>
      </c>
      <c r="I38" s="364" t="s">
        <v>13</v>
      </c>
      <c r="J38" s="364" t="s">
        <v>214</v>
      </c>
      <c r="K38" s="364" t="s">
        <v>215</v>
      </c>
      <c r="L38" s="366" t="s">
        <v>216</v>
      </c>
      <c r="M38" s="367"/>
      <c r="N38" s="367"/>
      <c r="O38" s="367"/>
      <c r="P38" s="367"/>
      <c r="Q38" s="368"/>
      <c r="R38" s="374" t="s">
        <v>217</v>
      </c>
      <c r="S38" s="375"/>
      <c r="T38" s="375"/>
      <c r="U38" s="375"/>
      <c r="V38" s="375"/>
      <c r="W38" s="376"/>
      <c r="Y38" s="279"/>
      <c r="Z38" s="272"/>
      <c r="AA38" s="272"/>
      <c r="AB38" s="279"/>
      <c r="AC38" s="279"/>
      <c r="AD38" s="279"/>
      <c r="AE38" s="279"/>
      <c r="AF38" s="279"/>
      <c r="AG38" s="279"/>
      <c r="AH38" s="279"/>
      <c r="AI38" s="279"/>
      <c r="AJ38" s="279"/>
      <c r="AK38" s="279"/>
      <c r="AL38" s="279"/>
      <c r="AM38" s="279"/>
    </row>
    <row r="39" spans="1:39" ht="44" customHeight="1" x14ac:dyDescent="0.2">
      <c r="A39" s="386" t="s">
        <v>229</v>
      </c>
      <c r="B39" s="386"/>
      <c r="C39" s="386"/>
      <c r="D39" s="386"/>
      <c r="E39" s="386"/>
      <c r="F39" s="386"/>
      <c r="G39" s="386"/>
      <c r="I39" s="365"/>
      <c r="J39" s="365"/>
      <c r="K39" s="365"/>
      <c r="L39" s="190" t="s">
        <v>219</v>
      </c>
      <c r="M39" s="190" t="s">
        <v>220</v>
      </c>
      <c r="N39" s="190" t="s">
        <v>221</v>
      </c>
      <c r="O39" s="190" t="s">
        <v>419</v>
      </c>
      <c r="P39" s="190" t="s">
        <v>420</v>
      </c>
      <c r="Q39" s="190" t="s">
        <v>223</v>
      </c>
      <c r="R39" s="191" t="s">
        <v>224</v>
      </c>
      <c r="S39" s="191" t="s">
        <v>225</v>
      </c>
      <c r="T39" s="191" t="s">
        <v>226</v>
      </c>
      <c r="U39" s="191" t="s">
        <v>227</v>
      </c>
      <c r="V39" s="191" t="s">
        <v>420</v>
      </c>
      <c r="W39" s="191" t="s">
        <v>228</v>
      </c>
      <c r="Y39" s="279"/>
      <c r="Z39" s="279"/>
      <c r="AA39" s="279"/>
      <c r="AB39" s="270"/>
      <c r="AC39" s="270"/>
      <c r="AD39" s="270"/>
      <c r="AE39" s="270"/>
      <c r="AF39" s="270"/>
      <c r="AG39" s="278"/>
      <c r="AH39" s="270"/>
      <c r="AI39" s="270"/>
      <c r="AJ39" s="270"/>
      <c r="AK39" s="270"/>
      <c r="AL39" s="270"/>
      <c r="AM39" s="278"/>
    </row>
    <row r="40" spans="1:39" ht="15" customHeight="1" x14ac:dyDescent="0.2">
      <c r="A40" s="198">
        <v>0</v>
      </c>
      <c r="B40" s="199">
        <v>0</v>
      </c>
      <c r="C40" s="199">
        <v>0</v>
      </c>
      <c r="D40" s="199">
        <v>0</v>
      </c>
      <c r="E40" s="199">
        <v>0</v>
      </c>
      <c r="F40" s="199">
        <v>0</v>
      </c>
      <c r="G40" s="199">
        <f>SUM(B40:F40)</f>
        <v>0</v>
      </c>
      <c r="I40" s="257" t="s">
        <v>410</v>
      </c>
      <c r="J40" s="261">
        <v>0</v>
      </c>
      <c r="K40" s="261">
        <v>9</v>
      </c>
      <c r="L40" s="258">
        <v>2.0153954399999998</v>
      </c>
      <c r="M40" s="258">
        <v>0.3</v>
      </c>
      <c r="N40" s="258">
        <v>4.2438408400000007</v>
      </c>
      <c r="O40" s="258">
        <v>1.5</v>
      </c>
      <c r="P40" s="201">
        <v>0.95218999999999998</v>
      </c>
      <c r="Q40" s="261">
        <v>9.0114262800000002</v>
      </c>
      <c r="R40" s="262">
        <v>0.22393282666666664</v>
      </c>
      <c r="S40" s="262">
        <v>3.3333333333333333E-2</v>
      </c>
      <c r="T40" s="262">
        <v>0.47153787111111117</v>
      </c>
      <c r="U40" s="262">
        <v>0.16666666666666666</v>
      </c>
      <c r="V40" s="263">
        <v>0.10579888888888889</v>
      </c>
      <c r="W40" s="264">
        <v>1.0012695866666665</v>
      </c>
      <c r="Y40" s="273"/>
      <c r="Z40" s="274"/>
      <c r="AA40" s="274"/>
      <c r="AB40" s="275"/>
      <c r="AC40" s="275"/>
      <c r="AD40" s="275"/>
      <c r="AE40" s="275"/>
      <c r="AF40" s="275"/>
      <c r="AG40" s="274"/>
      <c r="AH40" s="276"/>
      <c r="AI40" s="276"/>
      <c r="AJ40" s="276"/>
      <c r="AK40" s="276"/>
      <c r="AL40" s="276"/>
      <c r="AM40" s="277"/>
    </row>
    <row r="41" spans="1:39" x14ac:dyDescent="0.2">
      <c r="A41" s="198" t="s">
        <v>231</v>
      </c>
      <c r="B41" s="202">
        <f>80%-(F41/3)</f>
        <v>0.79</v>
      </c>
      <c r="C41" s="202">
        <f>3.33%-F41/3</f>
        <v>2.3300000000000001E-2</v>
      </c>
      <c r="D41" s="202">
        <v>0</v>
      </c>
      <c r="E41" s="202">
        <f>16.67%-F41/3</f>
        <v>0.15670000000000001</v>
      </c>
      <c r="F41" s="202">
        <v>0.03</v>
      </c>
      <c r="G41" s="199">
        <f t="shared" ref="G41:G42" si="32">SUM(B41:F41)</f>
        <v>1</v>
      </c>
      <c r="I41" s="257" t="s">
        <v>230</v>
      </c>
      <c r="J41" s="261">
        <v>0.3</v>
      </c>
      <c r="K41" s="261">
        <v>8.6999999999999993</v>
      </c>
      <c r="L41" s="258">
        <f>$L$40-B46</f>
        <v>1.8884054399999999</v>
      </c>
      <c r="M41" s="258">
        <f>$M$40-C46</f>
        <v>0.29300999999999999</v>
      </c>
      <c r="N41" s="258">
        <f>$N$40-D46</f>
        <v>4.1368308400000009</v>
      </c>
      <c r="O41" s="258">
        <f>$O$40-E46</f>
        <v>1.45299</v>
      </c>
      <c r="P41" s="258">
        <f>$P$40-F46</f>
        <v>0.94018999999999997</v>
      </c>
      <c r="Q41" s="261">
        <v>8.7114262800000013</v>
      </c>
      <c r="R41" s="262">
        <f>L40/$K40</f>
        <v>0.22393282666666664</v>
      </c>
      <c r="S41" s="262">
        <f>M40/$K40</f>
        <v>3.3333333333333333E-2</v>
      </c>
      <c r="T41" s="262">
        <f>N40/$K40</f>
        <v>0.47153787111111117</v>
      </c>
      <c r="U41" s="262">
        <f t="shared" ref="U41:V49" si="33">O40/$K40</f>
        <v>0.16666666666666666</v>
      </c>
      <c r="V41" s="262">
        <f t="shared" si="33"/>
        <v>0.10579888888888889</v>
      </c>
      <c r="W41" s="264">
        <v>1.0013133655172415</v>
      </c>
      <c r="Y41" s="273"/>
      <c r="Z41" s="274"/>
      <c r="AA41" s="274"/>
      <c r="AB41" s="275"/>
      <c r="AC41" s="275"/>
      <c r="AD41" s="275"/>
      <c r="AE41" s="275"/>
      <c r="AF41" s="275"/>
      <c r="AG41" s="274"/>
      <c r="AH41" s="276"/>
      <c r="AI41" s="276"/>
      <c r="AJ41" s="276"/>
      <c r="AK41" s="276"/>
      <c r="AL41" s="276"/>
      <c r="AM41" s="277"/>
    </row>
    <row r="42" spans="1:39" x14ac:dyDescent="0.2">
      <c r="A42" s="198" t="s">
        <v>233</v>
      </c>
      <c r="B42" s="202">
        <f>43.33%-F42/4</f>
        <v>0.42329999999999995</v>
      </c>
      <c r="C42" s="202">
        <f>3.33%-F42/4</f>
        <v>2.3300000000000001E-2</v>
      </c>
      <c r="D42" s="202">
        <f>36.67%-F42/4</f>
        <v>0.35670000000000002</v>
      </c>
      <c r="E42" s="202">
        <f>16.67%-F42/4</f>
        <v>0.15670000000000001</v>
      </c>
      <c r="F42" s="202">
        <v>0.04</v>
      </c>
      <c r="G42" s="199">
        <f t="shared" si="32"/>
        <v>1</v>
      </c>
      <c r="I42" s="257" t="s">
        <v>232</v>
      </c>
      <c r="J42" s="261">
        <v>0.4</v>
      </c>
      <c r="K42" s="261">
        <v>8.6</v>
      </c>
      <c r="L42" s="258">
        <f>$L$40-B47</f>
        <v>1.8460754399999999</v>
      </c>
      <c r="M42" s="258">
        <f>$M$40-C47</f>
        <v>0.29067999999999999</v>
      </c>
      <c r="N42" s="258">
        <f>$N$40-D47</f>
        <v>4.1011608400000004</v>
      </c>
      <c r="O42" s="258">
        <f t="shared" ref="O42:O44" si="34">$O$40-E47</f>
        <v>1.4373199999999999</v>
      </c>
      <c r="P42" s="258">
        <f t="shared" ref="P42:P44" si="35">$P$40-F47</f>
        <v>0.93618999999999997</v>
      </c>
      <c r="Q42" s="261">
        <v>8.6114262800000017</v>
      </c>
      <c r="R42" s="262">
        <f>L41/K41</f>
        <v>0.21705809655172414</v>
      </c>
      <c r="S42" s="262">
        <f>M41/$K41</f>
        <v>3.3679310344827587E-2</v>
      </c>
      <c r="T42" s="262">
        <f t="shared" ref="T42:T49" si="36">N41/$K41</f>
        <v>0.47549779770114958</v>
      </c>
      <c r="U42" s="262">
        <f t="shared" si="33"/>
        <v>0.16701034482758623</v>
      </c>
      <c r="V42" s="262">
        <f t="shared" si="33"/>
        <v>0.10806781609195402</v>
      </c>
      <c r="W42" s="264">
        <v>1.0013286372093024</v>
      </c>
      <c r="Y42" s="273"/>
      <c r="Z42" s="274"/>
      <c r="AA42" s="274"/>
      <c r="AB42" s="275"/>
      <c r="AC42" s="275"/>
      <c r="AD42" s="275"/>
      <c r="AE42" s="275"/>
      <c r="AF42" s="275"/>
      <c r="AG42" s="274"/>
      <c r="AH42" s="276"/>
      <c r="AI42" s="276"/>
      <c r="AJ42" s="276"/>
      <c r="AK42" s="276"/>
      <c r="AL42" s="276"/>
      <c r="AM42" s="277"/>
    </row>
    <row r="43" spans="1:39" x14ac:dyDescent="0.2">
      <c r="A43" s="198" t="s">
        <v>235</v>
      </c>
      <c r="B43" s="369" t="s">
        <v>236</v>
      </c>
      <c r="C43" s="369"/>
      <c r="D43" s="369"/>
      <c r="E43" s="369"/>
      <c r="F43" s="369"/>
      <c r="G43" s="369"/>
      <c r="I43" s="257" t="s">
        <v>234</v>
      </c>
      <c r="J43" s="261">
        <v>1</v>
      </c>
      <c r="K43" s="261">
        <v>8</v>
      </c>
      <c r="L43" s="258">
        <f t="shared" ref="L43:L44" si="37">$L$40-B48</f>
        <v>1.5920954399999998</v>
      </c>
      <c r="M43" s="258">
        <f>$M$40-C48</f>
        <v>0.2767</v>
      </c>
      <c r="N43" s="258">
        <f t="shared" ref="N43:N44" si="38">$N$40-D48</f>
        <v>3.8871408400000007</v>
      </c>
      <c r="O43" s="258">
        <f t="shared" si="34"/>
        <v>1.3432999999999999</v>
      </c>
      <c r="P43" s="258">
        <f t="shared" si="35"/>
        <v>0.91218999999999995</v>
      </c>
      <c r="Q43" s="261">
        <v>8.0114262800000002</v>
      </c>
      <c r="R43" s="262">
        <f>L42/K42</f>
        <v>0.21465993488372093</v>
      </c>
      <c r="S43" s="262">
        <f>M42/$K42</f>
        <v>3.3800000000000004E-2</v>
      </c>
      <c r="T43" s="262">
        <f>N42/$K42</f>
        <v>0.47687916744186054</v>
      </c>
      <c r="U43" s="262">
        <f t="shared" si="33"/>
        <v>0.16713023255813952</v>
      </c>
      <c r="V43" s="262">
        <f t="shared" si="33"/>
        <v>0.1088593023255814</v>
      </c>
      <c r="W43" s="264">
        <v>1.001428285</v>
      </c>
      <c r="Y43" s="273"/>
      <c r="Z43" s="274"/>
      <c r="AA43" s="274"/>
      <c r="AB43" s="275"/>
      <c r="AC43" s="275"/>
      <c r="AD43" s="275"/>
      <c r="AE43" s="275"/>
      <c r="AF43" s="275"/>
      <c r="AG43" s="274"/>
      <c r="AH43" s="276"/>
      <c r="AI43" s="276"/>
      <c r="AJ43" s="276"/>
      <c r="AK43" s="276"/>
      <c r="AL43" s="276"/>
      <c r="AM43" s="277"/>
    </row>
    <row r="44" spans="1:39" x14ac:dyDescent="0.2">
      <c r="A44" s="370" t="s">
        <v>238</v>
      </c>
      <c r="B44" s="370"/>
      <c r="C44" s="370"/>
      <c r="D44" s="370"/>
      <c r="E44" s="370"/>
      <c r="F44" s="370"/>
      <c r="G44" s="370"/>
      <c r="I44" s="257" t="s">
        <v>237</v>
      </c>
      <c r="J44" s="261">
        <v>1.5</v>
      </c>
      <c r="K44" s="261">
        <v>7.5</v>
      </c>
      <c r="L44" s="258">
        <f t="shared" si="37"/>
        <v>1.3804454399999999</v>
      </c>
      <c r="M44" s="258">
        <f t="shared" ref="M44" si="39">$M$40-C49</f>
        <v>0.26505000000000001</v>
      </c>
      <c r="N44" s="258">
        <f t="shared" si="38"/>
        <v>3.7087908400000007</v>
      </c>
      <c r="O44" s="258">
        <f t="shared" si="34"/>
        <v>1.26495</v>
      </c>
      <c r="P44" s="258">
        <f t="shared" si="35"/>
        <v>0.89219000000000004</v>
      </c>
      <c r="Q44" s="261">
        <v>7.5114262800000002</v>
      </c>
      <c r="R44" s="262">
        <f t="shared" ref="R44:R49" si="40">L43/K43</f>
        <v>0.19901192999999998</v>
      </c>
      <c r="S44" s="262">
        <f t="shared" ref="S44:S49" si="41">M43/$K43</f>
        <v>3.45875E-2</v>
      </c>
      <c r="T44" s="262">
        <f>N43/$K43</f>
        <v>0.48589260500000009</v>
      </c>
      <c r="U44" s="262">
        <f t="shared" si="33"/>
        <v>0.16791249999999999</v>
      </c>
      <c r="V44" s="262">
        <f t="shared" si="33"/>
        <v>0.11402374999999999</v>
      </c>
      <c r="W44" s="264">
        <v>1.0015235040000001</v>
      </c>
      <c r="Y44" s="273"/>
      <c r="Z44" s="274"/>
      <c r="AA44" s="274"/>
      <c r="AB44" s="275"/>
      <c r="AC44" s="275"/>
      <c r="AD44" s="275"/>
      <c r="AE44" s="275"/>
      <c r="AF44" s="275"/>
      <c r="AG44" s="274"/>
      <c r="AH44" s="276"/>
      <c r="AI44" s="276"/>
      <c r="AJ44" s="276"/>
      <c r="AK44" s="276"/>
      <c r="AL44" s="276"/>
      <c r="AM44" s="277"/>
    </row>
    <row r="45" spans="1:39" x14ac:dyDescent="0.2">
      <c r="A45" s="198">
        <v>0</v>
      </c>
      <c r="B45" s="203">
        <v>0</v>
      </c>
      <c r="C45" s="203">
        <v>0</v>
      </c>
      <c r="D45" s="203">
        <v>0</v>
      </c>
      <c r="E45" s="203">
        <v>0</v>
      </c>
      <c r="F45" s="203">
        <v>0</v>
      </c>
      <c r="G45" s="203">
        <f>SUM(B45:E45)</f>
        <v>0</v>
      </c>
      <c r="I45" s="257" t="s">
        <v>411</v>
      </c>
      <c r="J45" s="261">
        <v>2.7</v>
      </c>
      <c r="K45" s="261">
        <v>6.3</v>
      </c>
      <c r="L45" s="258">
        <f>L44-B42*($K$44-$K45)</f>
        <v>0.87248543999999995</v>
      </c>
      <c r="M45" s="258">
        <f>$M$44-$C$42*($K$44-$K45)</f>
        <v>0.23709</v>
      </c>
      <c r="N45" s="258">
        <f>$N$44-$D$42*($K$44-$K45)</f>
        <v>3.2807508400000005</v>
      </c>
      <c r="O45" s="258">
        <f>$O$44-$E$42*($K$44-$K45)</f>
        <v>1.07691</v>
      </c>
      <c r="P45" s="258">
        <f>$P$44-$F$42*($K$44-$K45)</f>
        <v>0.84419</v>
      </c>
      <c r="Q45" s="261">
        <v>6.3114262799999992</v>
      </c>
      <c r="R45" s="262">
        <f t="shared" si="40"/>
        <v>0.18405939199999999</v>
      </c>
      <c r="S45" s="262">
        <f t="shared" si="41"/>
        <v>3.5340000000000003E-2</v>
      </c>
      <c r="T45" s="262">
        <f>N44/$K44</f>
        <v>0.4945054453333334</v>
      </c>
      <c r="U45" s="262">
        <f t="shared" si="33"/>
        <v>0.16866</v>
      </c>
      <c r="V45" s="262">
        <f t="shared" si="33"/>
        <v>0.11895866666666667</v>
      </c>
      <c r="W45" s="264">
        <v>1.0018136952380954</v>
      </c>
      <c r="Y45" s="273"/>
      <c r="Z45" s="274"/>
      <c r="AA45" s="274"/>
      <c r="AB45" s="275"/>
      <c r="AC45" s="275"/>
      <c r="AD45" s="275"/>
      <c r="AE45" s="275"/>
      <c r="AF45" s="275"/>
      <c r="AG45" s="274"/>
      <c r="AH45" s="276"/>
      <c r="AI45" s="276"/>
      <c r="AJ45" s="276"/>
      <c r="AK45" s="276"/>
      <c r="AL45" s="276"/>
      <c r="AM45" s="277"/>
    </row>
    <row r="46" spans="1:39" x14ac:dyDescent="0.2">
      <c r="A46" s="198">
        <v>0.3</v>
      </c>
      <c r="B46" s="201">
        <f>$A46*B$42</f>
        <v>0.12698999999999999</v>
      </c>
      <c r="C46" s="201">
        <f t="shared" ref="C46:F46" si="42">$A$46*C42</f>
        <v>6.9900000000000006E-3</v>
      </c>
      <c r="D46" s="201">
        <f t="shared" si="42"/>
        <v>0.10701000000000001</v>
      </c>
      <c r="E46" s="201">
        <f t="shared" si="42"/>
        <v>4.7010000000000003E-2</v>
      </c>
      <c r="F46" s="201">
        <f t="shared" si="42"/>
        <v>1.2E-2</v>
      </c>
      <c r="G46" s="201">
        <f>SUM(B46:E46)</f>
        <v>0.28799999999999998</v>
      </c>
      <c r="I46" s="257" t="s">
        <v>412</v>
      </c>
      <c r="J46" s="261">
        <v>4</v>
      </c>
      <c r="K46" s="261">
        <v>5</v>
      </c>
      <c r="L46" s="258">
        <f>$L$44-$B$42*($K$44-$K46)</f>
        <v>0.32219544</v>
      </c>
      <c r="M46" s="258">
        <f>$M$44-$C$42*($K$44-$K46)</f>
        <v>0.20680000000000001</v>
      </c>
      <c r="N46" s="258">
        <f t="shared" ref="N46:N49" si="43">$N$44-$D$42*($K$44-$K46)</f>
        <v>2.8170408400000007</v>
      </c>
      <c r="O46" s="258">
        <f t="shared" ref="O46:O49" si="44">$O$44-$E$42*($K$44-$K46)</f>
        <v>0.87319999999999998</v>
      </c>
      <c r="P46" s="258">
        <f t="shared" ref="P46:P49" si="45">$P$44-$F$42*($K$44-$K46)</f>
        <v>0.79219000000000006</v>
      </c>
      <c r="Q46" s="261">
        <v>5.0114262800000002</v>
      </c>
      <c r="R46" s="262">
        <f t="shared" si="40"/>
        <v>0.13848975238095237</v>
      </c>
      <c r="S46" s="262">
        <f t="shared" si="41"/>
        <v>3.7633333333333331E-2</v>
      </c>
      <c r="T46" s="262">
        <f t="shared" si="36"/>
        <v>0.52075410158730173</v>
      </c>
      <c r="U46" s="262">
        <f t="shared" si="33"/>
        <v>0.17093809523809525</v>
      </c>
      <c r="V46" s="262">
        <f t="shared" si="33"/>
        <v>0.1339984126984127</v>
      </c>
      <c r="W46" s="264">
        <v>1.002285256</v>
      </c>
      <c r="Y46" s="273"/>
      <c r="Z46" s="274"/>
      <c r="AA46" s="274"/>
      <c r="AB46" s="275"/>
      <c r="AC46" s="275"/>
      <c r="AD46" s="275"/>
      <c r="AE46" s="275"/>
      <c r="AF46" s="275"/>
      <c r="AG46" s="274"/>
      <c r="AH46" s="276"/>
      <c r="AI46" s="276"/>
      <c r="AJ46" s="276"/>
      <c r="AK46" s="276"/>
      <c r="AL46" s="276"/>
      <c r="AM46" s="277"/>
    </row>
    <row r="47" spans="1:39" x14ac:dyDescent="0.2">
      <c r="A47" s="198">
        <v>0.4</v>
      </c>
      <c r="B47" s="201">
        <f t="shared" ref="B47:F49" si="46">$A47*B$42</f>
        <v>0.16932</v>
      </c>
      <c r="C47" s="201">
        <f t="shared" si="46"/>
        <v>9.3200000000000002E-3</v>
      </c>
      <c r="D47" s="201">
        <f t="shared" si="46"/>
        <v>0.14268</v>
      </c>
      <c r="E47" s="201">
        <f t="shared" si="46"/>
        <v>6.268E-2</v>
      </c>
      <c r="F47" s="201">
        <f t="shared" si="46"/>
        <v>1.6E-2</v>
      </c>
      <c r="G47" s="201">
        <f>SUM(B47:E47)</f>
        <v>0.38400000000000001</v>
      </c>
      <c r="I47" s="257" t="s">
        <v>413</v>
      </c>
      <c r="J47" s="261">
        <v>4.4000000000000004</v>
      </c>
      <c r="K47" s="261">
        <v>4.5999999999999996</v>
      </c>
      <c r="L47" s="258">
        <f t="shared" ref="L47:L49" si="47">$L$44-$B$42*($K$44-$K47)</f>
        <v>0.15287543999999986</v>
      </c>
      <c r="M47" s="258">
        <f t="shared" ref="M47:M49" si="48">$M$44-$C$42*($K$44-$K47)</f>
        <v>0.19747999999999999</v>
      </c>
      <c r="N47" s="258">
        <f t="shared" si="43"/>
        <v>2.6743608400000003</v>
      </c>
      <c r="O47" s="258">
        <f t="shared" si="44"/>
        <v>0.81051999999999991</v>
      </c>
      <c r="P47" s="258">
        <f t="shared" si="45"/>
        <v>0.77619000000000005</v>
      </c>
      <c r="Q47" s="261">
        <v>4.6114262799999999</v>
      </c>
      <c r="R47" s="262">
        <f t="shared" si="40"/>
        <v>6.4439088000000005E-2</v>
      </c>
      <c r="S47" s="262">
        <f t="shared" si="41"/>
        <v>4.1360000000000001E-2</v>
      </c>
      <c r="T47" s="262">
        <f t="shared" si="36"/>
        <v>0.56340816800000015</v>
      </c>
      <c r="U47" s="262">
        <f t="shared" si="33"/>
        <v>0.17463999999999999</v>
      </c>
      <c r="V47" s="262">
        <f t="shared" si="33"/>
        <v>0.15843800000000002</v>
      </c>
      <c r="W47" s="264">
        <v>1.0024839739130436</v>
      </c>
      <c r="Y47" s="273"/>
      <c r="Z47" s="274"/>
      <c r="AA47" s="274"/>
      <c r="AB47" s="275"/>
      <c r="AC47" s="275"/>
      <c r="AD47" s="275"/>
      <c r="AE47" s="275"/>
      <c r="AF47" s="275"/>
      <c r="AG47" s="274"/>
      <c r="AH47" s="276"/>
      <c r="AI47" s="276"/>
      <c r="AJ47" s="276"/>
      <c r="AK47" s="276"/>
      <c r="AL47" s="276"/>
      <c r="AM47" s="277"/>
    </row>
    <row r="48" spans="1:39" x14ac:dyDescent="0.2">
      <c r="A48" s="198">
        <v>1</v>
      </c>
      <c r="B48" s="201">
        <f t="shared" si="46"/>
        <v>0.42329999999999995</v>
      </c>
      <c r="C48" s="201">
        <f t="shared" si="46"/>
        <v>2.3300000000000001E-2</v>
      </c>
      <c r="D48" s="201">
        <f t="shared" si="46"/>
        <v>0.35670000000000002</v>
      </c>
      <c r="E48" s="201">
        <f t="shared" si="46"/>
        <v>0.15670000000000001</v>
      </c>
      <c r="F48" s="201">
        <f t="shared" si="46"/>
        <v>0.04</v>
      </c>
      <c r="G48" s="201">
        <f>SUM(B48:E48)</f>
        <v>0.96</v>
      </c>
      <c r="I48" s="257" t="s">
        <v>414</v>
      </c>
      <c r="J48" s="261">
        <v>5.2</v>
      </c>
      <c r="K48" s="261">
        <v>3.8</v>
      </c>
      <c r="L48" s="258">
        <f t="shared" si="47"/>
        <v>-0.18576455999999997</v>
      </c>
      <c r="M48" s="258">
        <f t="shared" si="48"/>
        <v>0.17884</v>
      </c>
      <c r="N48" s="258">
        <f t="shared" si="43"/>
        <v>2.3890008400000005</v>
      </c>
      <c r="O48" s="258">
        <f t="shared" si="44"/>
        <v>0.68515999999999999</v>
      </c>
      <c r="P48" s="258">
        <f t="shared" si="45"/>
        <v>0.74419000000000002</v>
      </c>
      <c r="Q48" s="261">
        <v>3.8114262799999996</v>
      </c>
      <c r="R48" s="262">
        <f t="shared" si="40"/>
        <v>3.3233791304347796E-2</v>
      </c>
      <c r="S48" s="262">
        <f t="shared" si="41"/>
        <v>4.2930434782608697E-2</v>
      </c>
      <c r="T48" s="262">
        <f t="shared" si="36"/>
        <v>0.58138279130434789</v>
      </c>
      <c r="U48" s="262">
        <f t="shared" si="33"/>
        <v>0.1762</v>
      </c>
      <c r="V48" s="262">
        <f t="shared" si="33"/>
        <v>0.16873695652173915</v>
      </c>
      <c r="W48" s="264">
        <v>1.0030069157894737</v>
      </c>
      <c r="Y48" s="273"/>
      <c r="Z48" s="274"/>
      <c r="AA48" s="274"/>
      <c r="AB48" s="275"/>
      <c r="AC48" s="275"/>
      <c r="AD48" s="275"/>
      <c r="AE48" s="275"/>
      <c r="AF48" s="275"/>
      <c r="AG48" s="274"/>
      <c r="AH48" s="276"/>
      <c r="AI48" s="276"/>
      <c r="AJ48" s="276"/>
      <c r="AK48" s="276"/>
      <c r="AL48" s="276"/>
      <c r="AM48" s="277"/>
    </row>
    <row r="49" spans="1:39" x14ac:dyDescent="0.2">
      <c r="A49" s="198">
        <v>1.5</v>
      </c>
      <c r="B49" s="201">
        <f t="shared" si="46"/>
        <v>0.6349499999999999</v>
      </c>
      <c r="C49" s="201">
        <f t="shared" si="46"/>
        <v>3.4950000000000002E-2</v>
      </c>
      <c r="D49" s="201">
        <f t="shared" si="46"/>
        <v>0.53505000000000003</v>
      </c>
      <c r="E49" s="201">
        <f t="shared" si="46"/>
        <v>0.23505000000000001</v>
      </c>
      <c r="F49" s="201">
        <f t="shared" si="46"/>
        <v>0.06</v>
      </c>
      <c r="G49" s="201">
        <f>SUM(B49:E49)</f>
        <v>1.44</v>
      </c>
      <c r="I49" s="257" t="s">
        <v>415</v>
      </c>
      <c r="J49" s="261">
        <v>8</v>
      </c>
      <c r="K49" s="261">
        <v>1</v>
      </c>
      <c r="L49" s="258">
        <f t="shared" si="47"/>
        <v>-1.3710045599999998</v>
      </c>
      <c r="M49" s="258">
        <f t="shared" si="48"/>
        <v>0.11360000000000001</v>
      </c>
      <c r="N49" s="258">
        <f t="shared" si="43"/>
        <v>1.3902408400000006</v>
      </c>
      <c r="O49" s="258">
        <f t="shared" si="44"/>
        <v>0.24639999999999995</v>
      </c>
      <c r="P49" s="258">
        <f t="shared" si="45"/>
        <v>0.63219000000000003</v>
      </c>
      <c r="Q49" s="261">
        <v>1.01142628</v>
      </c>
      <c r="R49" s="262">
        <f t="shared" si="40"/>
        <v>-4.888541052631578E-2</v>
      </c>
      <c r="S49" s="262">
        <f t="shared" si="41"/>
        <v>4.7063157894736841E-2</v>
      </c>
      <c r="T49" s="262">
        <f t="shared" si="36"/>
        <v>0.62868443157894749</v>
      </c>
      <c r="U49" s="262">
        <f t="shared" si="33"/>
        <v>0.18030526315789475</v>
      </c>
      <c r="V49" s="262">
        <f t="shared" si="33"/>
        <v>0.19583947368421054</v>
      </c>
      <c r="W49" s="264">
        <v>1.01142628</v>
      </c>
      <c r="Y49" s="273"/>
      <c r="Z49" s="274"/>
      <c r="AA49" s="274"/>
      <c r="AB49" s="275"/>
      <c r="AC49" s="275"/>
      <c r="AD49" s="275"/>
      <c r="AE49" s="275"/>
      <c r="AF49" s="275"/>
      <c r="AG49" s="274"/>
      <c r="AH49" s="276"/>
      <c r="AI49" s="276"/>
      <c r="AJ49" s="276"/>
      <c r="AK49" s="276"/>
      <c r="AL49" s="276"/>
      <c r="AM49" s="277"/>
    </row>
    <row r="50" spans="1:39" x14ac:dyDescent="0.2">
      <c r="A50" s="198" t="s">
        <v>235</v>
      </c>
      <c r="B50" s="369" t="s">
        <v>236</v>
      </c>
      <c r="C50" s="369"/>
      <c r="D50" s="369"/>
      <c r="E50" s="369"/>
      <c r="F50" s="369"/>
      <c r="G50" s="369"/>
    </row>
    <row r="51" spans="1:39" x14ac:dyDescent="0.2">
      <c r="B51" s="271"/>
      <c r="C51" s="197"/>
      <c r="D51" s="197"/>
      <c r="E51" s="197"/>
      <c r="F51" s="197"/>
      <c r="G51" s="197"/>
    </row>
  </sheetData>
  <mergeCells count="38">
    <mergeCell ref="I5:I6"/>
    <mergeCell ref="B6:G6"/>
    <mergeCell ref="B10:G10"/>
    <mergeCell ref="C16:G16"/>
    <mergeCell ref="A39:G39"/>
    <mergeCell ref="A37:G37"/>
    <mergeCell ref="R38:W38"/>
    <mergeCell ref="I37:W37"/>
    <mergeCell ref="I4:U4"/>
    <mergeCell ref="Y4:AK4"/>
    <mergeCell ref="Y22:AM22"/>
    <mergeCell ref="Y23:Y24"/>
    <mergeCell ref="Z23:Z24"/>
    <mergeCell ref="AA23:AA24"/>
    <mergeCell ref="AB23:AG23"/>
    <mergeCell ref="AH23:AM23"/>
    <mergeCell ref="Z5:Z6"/>
    <mergeCell ref="AA5:AA6"/>
    <mergeCell ref="AB5:AF5"/>
    <mergeCell ref="AG5:AK5"/>
    <mergeCell ref="Y5:Y6"/>
    <mergeCell ref="Q5:U5"/>
    <mergeCell ref="J5:J6"/>
    <mergeCell ref="K5:K6"/>
    <mergeCell ref="L5:P5"/>
    <mergeCell ref="B43:G43"/>
    <mergeCell ref="B50:G50"/>
    <mergeCell ref="A44:G44"/>
    <mergeCell ref="I22:W22"/>
    <mergeCell ref="I23:I24"/>
    <mergeCell ref="J23:J24"/>
    <mergeCell ref="K23:K24"/>
    <mergeCell ref="L23:Q23"/>
    <mergeCell ref="R23:W23"/>
    <mergeCell ref="I38:I39"/>
    <mergeCell ref="J38:J39"/>
    <mergeCell ref="K38:K39"/>
    <mergeCell ref="L38:Q38"/>
  </mergeCells>
  <pageMargins left="0.7" right="0.7" top="0.75" bottom="0.75" header="0.3" footer="0.3"/>
  <ignoredErrors>
    <ignoredError sqref="M45"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H23"/>
  <sheetViews>
    <sheetView zoomScale="160" zoomScaleNormal="160" workbookViewId="0">
      <selection activeCell="G8" sqref="G8"/>
    </sheetView>
  </sheetViews>
  <sheetFormatPr baseColWidth="10" defaultColWidth="8.83203125" defaultRowHeight="15" x14ac:dyDescent="0.2"/>
  <cols>
    <col min="1" max="1" width="28.6640625" customWidth="1"/>
    <col min="2" max="2" width="11.1640625" bestFit="1" customWidth="1"/>
    <col min="3" max="3" width="16" customWidth="1"/>
    <col min="4" max="4" width="20.1640625" customWidth="1"/>
    <col min="7" max="7" width="9.33203125" customWidth="1"/>
  </cols>
  <sheetData>
    <row r="1" spans="1:8" x14ac:dyDescent="0.2">
      <c r="A1" s="1" t="s">
        <v>313</v>
      </c>
    </row>
    <row r="3" spans="1:8" x14ac:dyDescent="0.2">
      <c r="A3" s="1" t="s">
        <v>319</v>
      </c>
    </row>
    <row r="4" spans="1:8" ht="29" customHeight="1" x14ac:dyDescent="0.2">
      <c r="A4" s="231" t="s">
        <v>314</v>
      </c>
      <c r="B4" s="231" t="s">
        <v>315</v>
      </c>
      <c r="C4" s="232" t="s">
        <v>316</v>
      </c>
      <c r="D4" s="232" t="s">
        <v>317</v>
      </c>
      <c r="F4" s="232" t="s">
        <v>315</v>
      </c>
      <c r="G4" s="232" t="s">
        <v>324</v>
      </c>
      <c r="H4" s="232" t="s">
        <v>325</v>
      </c>
    </row>
    <row r="5" spans="1:8" x14ac:dyDescent="0.2">
      <c r="A5" s="23" t="s">
        <v>318</v>
      </c>
      <c r="B5" s="23" t="s">
        <v>205</v>
      </c>
      <c r="C5" s="24">
        <v>12534</v>
      </c>
      <c r="D5" s="24"/>
      <c r="F5" s="22" t="s">
        <v>205</v>
      </c>
      <c r="G5" s="31">
        <f>SUMIFS($C$5:$C$13,$B$5:$B$13,F5)</f>
        <v>12534</v>
      </c>
      <c r="H5" s="235">
        <f>G5/G$8</f>
        <v>1.3163339249519528E-2</v>
      </c>
    </row>
    <row r="6" spans="1:8" x14ac:dyDescent="0.2">
      <c r="A6" s="23" t="s">
        <v>318</v>
      </c>
      <c r="B6" s="23" t="s">
        <v>204</v>
      </c>
      <c r="C6" s="24">
        <v>103535</v>
      </c>
      <c r="D6" s="24"/>
      <c r="F6" s="22" t="s">
        <v>204</v>
      </c>
      <c r="G6" s="31">
        <f t="shared" ref="G6:G7" si="0">SUMIFS($C$5:$C$13,$B$5:$B$13,F6)</f>
        <v>783134</v>
      </c>
      <c r="H6" s="235">
        <f t="shared" ref="H6:H8" si="1">G6/G$8</f>
        <v>0.82245560234827086</v>
      </c>
    </row>
    <row r="7" spans="1:8" x14ac:dyDescent="0.2">
      <c r="A7" s="23" t="s">
        <v>318</v>
      </c>
      <c r="B7" s="23" t="s">
        <v>203</v>
      </c>
      <c r="C7" s="24">
        <v>16720</v>
      </c>
      <c r="D7" s="24"/>
      <c r="F7" s="22" t="s">
        <v>203</v>
      </c>
      <c r="G7" s="31">
        <f t="shared" si="0"/>
        <v>156522</v>
      </c>
      <c r="H7" s="235">
        <f t="shared" si="1"/>
        <v>0.16438105840220965</v>
      </c>
    </row>
    <row r="8" spans="1:8" x14ac:dyDescent="0.2">
      <c r="A8" s="23" t="s">
        <v>320</v>
      </c>
      <c r="B8" s="23" t="s">
        <v>203</v>
      </c>
      <c r="C8" s="24">
        <v>11340</v>
      </c>
      <c r="D8" s="24"/>
      <c r="F8" s="238" t="s">
        <v>25</v>
      </c>
      <c r="G8" s="236">
        <f>SUM(G5:G7)</f>
        <v>952190</v>
      </c>
      <c r="H8" s="237">
        <f t="shared" si="1"/>
        <v>1</v>
      </c>
    </row>
    <row r="9" spans="1:8" x14ac:dyDescent="0.2">
      <c r="A9" s="23" t="s">
        <v>321</v>
      </c>
      <c r="B9" s="23" t="s">
        <v>204</v>
      </c>
      <c r="C9" s="24">
        <v>662402</v>
      </c>
      <c r="D9" s="24"/>
    </row>
    <row r="10" spans="1:8" x14ac:dyDescent="0.2">
      <c r="A10" s="23" t="s">
        <v>321</v>
      </c>
      <c r="B10" s="23" t="s">
        <v>203</v>
      </c>
      <c r="C10" s="24">
        <v>56846</v>
      </c>
      <c r="D10" s="24"/>
      <c r="G10" s="269"/>
    </row>
    <row r="11" spans="1:8" x14ac:dyDescent="0.2">
      <c r="A11" s="23" t="s">
        <v>322</v>
      </c>
      <c r="B11" s="23" t="s">
        <v>204</v>
      </c>
      <c r="C11" s="24">
        <v>6350</v>
      </c>
      <c r="D11" s="24"/>
    </row>
    <row r="12" spans="1:8" x14ac:dyDescent="0.2">
      <c r="A12" s="23" t="s">
        <v>322</v>
      </c>
      <c r="B12" s="23" t="s">
        <v>203</v>
      </c>
      <c r="C12" s="24">
        <v>71616</v>
      </c>
      <c r="D12" s="24"/>
    </row>
    <row r="13" spans="1:8" x14ac:dyDescent="0.2">
      <c r="A13" s="23" t="s">
        <v>323</v>
      </c>
      <c r="B13" s="23" t="s">
        <v>204</v>
      </c>
      <c r="C13" s="24">
        <v>10847</v>
      </c>
      <c r="D13" s="24">
        <v>22928</v>
      </c>
    </row>
    <row r="14" spans="1:8" s="1" customFormat="1" x14ac:dyDescent="0.2">
      <c r="A14" s="233" t="s">
        <v>25</v>
      </c>
      <c r="B14" s="233"/>
      <c r="C14" s="234">
        <f>SUM(C5:C13)</f>
        <v>952190</v>
      </c>
      <c r="D14" s="234">
        <f>SUM(D5:D13)</f>
        <v>22928</v>
      </c>
    </row>
    <row r="17" spans="1:3" x14ac:dyDescent="0.2">
      <c r="A17" s="1" t="s">
        <v>326</v>
      </c>
    </row>
    <row r="18" spans="1:3" x14ac:dyDescent="0.2">
      <c r="A18" s="231" t="s">
        <v>327</v>
      </c>
      <c r="B18" s="239" t="s">
        <v>328</v>
      </c>
      <c r="C18" s="239" t="s">
        <v>329</v>
      </c>
    </row>
    <row r="19" spans="1:3" x14ac:dyDescent="0.2">
      <c r="A19" s="23" t="s">
        <v>330</v>
      </c>
      <c r="B19" s="24">
        <v>769208</v>
      </c>
      <c r="C19" s="24">
        <v>441381</v>
      </c>
    </row>
    <row r="20" spans="1:3" x14ac:dyDescent="0.2">
      <c r="A20" s="23" t="s">
        <v>331</v>
      </c>
      <c r="B20" s="24">
        <v>15340</v>
      </c>
      <c r="C20" s="24">
        <v>9017</v>
      </c>
    </row>
    <row r="21" spans="1:3" x14ac:dyDescent="0.2">
      <c r="A21" s="23" t="s">
        <v>332</v>
      </c>
      <c r="B21" s="24">
        <v>2844</v>
      </c>
      <c r="C21" s="24">
        <v>1698</v>
      </c>
    </row>
    <row r="22" spans="1:3" x14ac:dyDescent="0.2">
      <c r="A22" s="23" t="s">
        <v>333</v>
      </c>
      <c r="B22" s="24">
        <v>13000</v>
      </c>
      <c r="C22" s="24">
        <v>13000</v>
      </c>
    </row>
    <row r="23" spans="1:3" x14ac:dyDescent="0.2">
      <c r="A23" s="233" t="s">
        <v>25</v>
      </c>
      <c r="B23" s="234">
        <f>SUM(B19:B22)</f>
        <v>800392</v>
      </c>
      <c r="C23" s="234">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baseColWidth="10" defaultColWidth="8.83203125" defaultRowHeight="15" x14ac:dyDescent="0.2"/>
  <cols>
    <col min="1" max="1" width="39.5" customWidth="1"/>
    <col min="2" max="2" width="11" customWidth="1"/>
    <col min="3" max="3" width="10.5" style="2" customWidth="1"/>
    <col min="4" max="4" width="10.83203125" customWidth="1"/>
    <col min="5" max="5" width="10.5" customWidth="1"/>
    <col min="6" max="6" width="10.1640625" customWidth="1"/>
    <col min="7" max="7" width="10.5" customWidth="1"/>
    <col min="8" max="8" width="7.5" customWidth="1"/>
    <col min="9" max="9" width="7.6640625" customWidth="1"/>
    <col min="10" max="12" width="8.6640625" customWidth="1"/>
    <col min="13" max="13" width="10.83203125" customWidth="1"/>
    <col min="14" max="14" width="37.6640625"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16" x14ac:dyDescent="0.2">
      <c r="A1" s="390" t="e">
        <f>#REF!</f>
        <v>#REF!</v>
      </c>
      <c r="B1" s="390"/>
      <c r="C1" s="390"/>
      <c r="D1" s="390"/>
      <c r="E1" s="390"/>
      <c r="F1" s="390"/>
      <c r="G1" s="390"/>
    </row>
    <row r="2" spans="1:14" x14ac:dyDescent="0.2">
      <c r="A2" s="1" t="s">
        <v>182</v>
      </c>
      <c r="B2" s="1"/>
    </row>
    <row r="3" spans="1:14" ht="32.25" customHeight="1" x14ac:dyDescent="0.2">
      <c r="A3" s="352" t="s">
        <v>178</v>
      </c>
      <c r="B3" s="352"/>
      <c r="C3" s="352"/>
      <c r="D3" s="352"/>
      <c r="E3" s="352"/>
      <c r="F3" s="352"/>
      <c r="G3" s="352"/>
      <c r="H3" s="84"/>
      <c r="I3" s="84"/>
      <c r="J3" s="84"/>
      <c r="K3" s="84"/>
      <c r="N3" s="137" t="s">
        <v>157</v>
      </c>
    </row>
    <row r="4" spans="1:14" x14ac:dyDescent="0.2">
      <c r="A4" s="127" t="s">
        <v>110</v>
      </c>
      <c r="B4" s="127" t="s">
        <v>19</v>
      </c>
      <c r="C4" s="353" t="s">
        <v>20</v>
      </c>
      <c r="D4" s="354"/>
      <c r="E4" s="354"/>
      <c r="F4" s="354"/>
      <c r="G4" s="355"/>
      <c r="N4" s="139" t="s">
        <v>129</v>
      </c>
    </row>
    <row r="5" spans="1:14" x14ac:dyDescent="0.2">
      <c r="A5" s="90" t="s">
        <v>16</v>
      </c>
      <c r="B5" s="114"/>
      <c r="C5" s="356"/>
      <c r="D5" s="351"/>
      <c r="E5" s="351"/>
      <c r="F5" s="351"/>
      <c r="G5" s="351"/>
      <c r="N5" s="142"/>
    </row>
    <row r="6" spans="1:14" x14ac:dyDescent="0.2">
      <c r="A6" s="90" t="s">
        <v>17</v>
      </c>
      <c r="B6" s="114"/>
      <c r="C6" s="356"/>
      <c r="D6" s="351"/>
      <c r="E6" s="351"/>
      <c r="F6" s="351"/>
      <c r="G6" s="351"/>
      <c r="N6" s="142"/>
    </row>
    <row r="7" spans="1:14" x14ac:dyDescent="0.2">
      <c r="A7" s="90" t="s">
        <v>18</v>
      </c>
      <c r="B7" s="114"/>
      <c r="C7" s="356"/>
      <c r="D7" s="351"/>
      <c r="E7" s="351"/>
      <c r="F7" s="351"/>
      <c r="G7" s="351"/>
      <c r="N7" s="142"/>
    </row>
    <row r="8" spans="1:14" x14ac:dyDescent="0.2">
      <c r="A8" s="114" t="s">
        <v>39</v>
      </c>
      <c r="B8" s="90"/>
      <c r="C8" s="351"/>
      <c r="D8" s="351"/>
      <c r="E8" s="351"/>
      <c r="F8" s="351"/>
      <c r="G8" s="351"/>
      <c r="N8" s="142"/>
    </row>
    <row r="9" spans="1:14" x14ac:dyDescent="0.2">
      <c r="A9" s="114" t="s">
        <v>163</v>
      </c>
      <c r="B9" s="90"/>
      <c r="C9" s="357"/>
      <c r="D9" s="357"/>
      <c r="E9" s="357"/>
      <c r="F9" s="357"/>
      <c r="G9" s="357"/>
      <c r="N9" s="142"/>
    </row>
    <row r="10" spans="1:14" x14ac:dyDescent="0.2">
      <c r="A10" s="115" t="s">
        <v>41</v>
      </c>
      <c r="B10" s="115"/>
      <c r="C10" s="391"/>
      <c r="D10" s="391"/>
      <c r="E10" s="391"/>
      <c r="F10" s="391"/>
      <c r="G10" s="391"/>
      <c r="N10" s="142"/>
    </row>
    <row r="11" spans="1:14" x14ac:dyDescent="0.2">
      <c r="A11" s="13"/>
      <c r="B11" s="2"/>
      <c r="C11"/>
      <c r="N11" s="142"/>
    </row>
    <row r="12" spans="1:14" x14ac:dyDescent="0.2">
      <c r="A12" s="15" t="s">
        <v>111</v>
      </c>
      <c r="B12" s="358" t="s">
        <v>113</v>
      </c>
      <c r="C12" s="359"/>
      <c r="D12" s="360"/>
      <c r="N12" s="141" t="s">
        <v>130</v>
      </c>
    </row>
    <row r="13" spans="1:14" x14ac:dyDescent="0.2">
      <c r="B13" s="361" t="s">
        <v>114</v>
      </c>
      <c r="C13" s="362"/>
      <c r="D13" s="363"/>
      <c r="N13" s="142"/>
    </row>
    <row r="14" spans="1:14" x14ac:dyDescent="0.2">
      <c r="B14" s="345" t="s">
        <v>115</v>
      </c>
      <c r="C14" s="346"/>
      <c r="D14" s="347"/>
      <c r="N14" s="142"/>
    </row>
    <row r="15" spans="1:14" x14ac:dyDescent="0.2">
      <c r="B15" s="348" t="s">
        <v>21</v>
      </c>
      <c r="C15" s="349"/>
      <c r="D15" s="350"/>
      <c r="N15" s="142"/>
    </row>
    <row r="16" spans="1:14" x14ac:dyDescent="0.2">
      <c r="N16" s="142"/>
    </row>
    <row r="17" spans="1:14" x14ac:dyDescent="0.2">
      <c r="A17" s="1" t="s">
        <v>112</v>
      </c>
      <c r="B17" s="1" t="s">
        <v>27</v>
      </c>
      <c r="C17" s="11" t="s">
        <v>28</v>
      </c>
      <c r="N17" s="141" t="s">
        <v>131</v>
      </c>
    </row>
    <row r="18" spans="1:14" x14ac:dyDescent="0.2">
      <c r="A18" t="s">
        <v>26</v>
      </c>
      <c r="B18" s="110">
        <v>5.73</v>
      </c>
      <c r="C18" s="110">
        <v>6</v>
      </c>
      <c r="D18" s="16"/>
      <c r="N18" s="141" t="s">
        <v>133</v>
      </c>
    </row>
    <row r="19" spans="1:14" x14ac:dyDescent="0.2">
      <c r="A19" t="s">
        <v>128</v>
      </c>
      <c r="B19" s="110">
        <v>7.2</v>
      </c>
      <c r="C19" s="110">
        <v>9</v>
      </c>
      <c r="D19" s="129" t="s">
        <v>118</v>
      </c>
      <c r="F19" s="129"/>
      <c r="N19" s="141" t="s">
        <v>132</v>
      </c>
    </row>
    <row r="20" spans="1:14" x14ac:dyDescent="0.2">
      <c r="A20" t="s">
        <v>51</v>
      </c>
      <c r="B20" s="159">
        <v>3525</v>
      </c>
      <c r="C20" s="159">
        <v>1020</v>
      </c>
      <c r="D20" s="10"/>
      <c r="N20" s="141" t="s">
        <v>134</v>
      </c>
    </row>
    <row r="21" spans="1:14" x14ac:dyDescent="0.2">
      <c r="A21" t="s">
        <v>48</v>
      </c>
      <c r="B21" s="110" t="e">
        <f>VLOOKUP(B20,#REF!,2)/1000000</f>
        <v>#REF!</v>
      </c>
      <c r="C21" s="110">
        <f>VLOOKUP(C20,'Mead-Elevation-Area'!$A$5:$B$689,2)/1000000</f>
        <v>5.664593</v>
      </c>
      <c r="D21" s="10"/>
      <c r="E21" s="28"/>
      <c r="N21" s="141" t="s">
        <v>136</v>
      </c>
    </row>
    <row r="22" spans="1:14" x14ac:dyDescent="0.2">
      <c r="A22" t="s">
        <v>123</v>
      </c>
      <c r="B22" s="110">
        <f>78.1</f>
        <v>78.099999999999994</v>
      </c>
      <c r="C22"/>
      <c r="D22" s="111"/>
      <c r="E22" s="28"/>
      <c r="N22" s="141" t="s">
        <v>135</v>
      </c>
    </row>
    <row r="23" spans="1:14" x14ac:dyDescent="0.2">
      <c r="A23" t="s">
        <v>124</v>
      </c>
      <c r="B23" s="130">
        <v>0.17</v>
      </c>
      <c r="C23"/>
      <c r="D23" s="111"/>
      <c r="E23" s="28"/>
      <c r="N23" s="141" t="s">
        <v>137</v>
      </c>
    </row>
    <row r="24" spans="1:14" x14ac:dyDescent="0.2">
      <c r="A24" t="s">
        <v>122</v>
      </c>
      <c r="B24" s="110">
        <f>10*(7.5+1.5/2)-B22-B23</f>
        <v>4.2300000000000058</v>
      </c>
      <c r="C24"/>
      <c r="D24" s="111"/>
      <c r="E24" s="28"/>
      <c r="N24" s="141" t="s">
        <v>138</v>
      </c>
    </row>
    <row r="25" spans="1:14" x14ac:dyDescent="0.2">
      <c r="A25" t="s">
        <v>158</v>
      </c>
      <c r="B25" s="110">
        <f>2.3 - IF(A9&lt;&gt;"",1.06,0)</f>
        <v>1.2399999999999998</v>
      </c>
      <c r="C25"/>
      <c r="D25" s="111"/>
      <c r="E25" s="28"/>
      <c r="N25" s="141" t="s">
        <v>161</v>
      </c>
    </row>
    <row r="26" spans="1:14" x14ac:dyDescent="0.2">
      <c r="B26" s="28"/>
      <c r="N26" s="142"/>
    </row>
    <row r="27" spans="1:14" s="1" customFormat="1" hidden="1" x14ac:dyDescent="0.2">
      <c r="A27" s="102" t="s">
        <v>108</v>
      </c>
      <c r="B27" s="103" t="s">
        <v>22</v>
      </c>
      <c r="C27" s="103" t="s">
        <v>0</v>
      </c>
      <c r="D27" s="103" t="s">
        <v>1</v>
      </c>
      <c r="E27" s="103" t="s">
        <v>2</v>
      </c>
      <c r="F27" s="103" t="s">
        <v>3</v>
      </c>
      <c r="G27" s="103" t="s">
        <v>4</v>
      </c>
      <c r="H27" s="103" t="s">
        <v>5</v>
      </c>
      <c r="I27" s="103" t="s">
        <v>6</v>
      </c>
      <c r="J27" s="103" t="s">
        <v>7</v>
      </c>
      <c r="K27" s="103" t="s">
        <v>14</v>
      </c>
      <c r="L27" s="103" t="s">
        <v>15</v>
      </c>
      <c r="M27" s="103" t="s">
        <v>25</v>
      </c>
      <c r="N27" s="138" t="str">
        <f>N3</f>
        <v>HELP, CONTEXT, and SUGGESTIONS</v>
      </c>
    </row>
    <row r="28" spans="1:14" x14ac:dyDescent="0.2">
      <c r="A28" s="125" t="s">
        <v>105</v>
      </c>
      <c r="B28" s="1"/>
      <c r="C28" s="97">
        <v>0</v>
      </c>
      <c r="D28" s="97">
        <v>0</v>
      </c>
      <c r="E28" s="97">
        <v>0.2</v>
      </c>
      <c r="F28" s="97">
        <v>2.1</v>
      </c>
      <c r="G28" s="97">
        <v>3.5</v>
      </c>
      <c r="H28" s="97">
        <v>6</v>
      </c>
      <c r="I28" s="97">
        <v>8</v>
      </c>
      <c r="J28" s="97">
        <v>11.26</v>
      </c>
      <c r="K28" s="97">
        <v>12.5</v>
      </c>
      <c r="L28" s="97">
        <v>16</v>
      </c>
      <c r="N28" s="139" t="s">
        <v>139</v>
      </c>
    </row>
    <row r="29" spans="1:14" x14ac:dyDescent="0.2">
      <c r="A29" s="1" t="s">
        <v>32</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140</v>
      </c>
    </row>
    <row r="30" spans="1:14" x14ac:dyDescent="0.2">
      <c r="A30" s="1" t="s">
        <v>98</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141</v>
      </c>
    </row>
    <row r="31" spans="1:14" x14ac:dyDescent="0.2">
      <c r="A31" s="1" t="s">
        <v>87</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142</v>
      </c>
    </row>
    <row r="32" spans="1:14" x14ac:dyDescent="0.2">
      <c r="A32" s="1" t="s">
        <v>180</v>
      </c>
      <c r="C32"/>
      <c r="N32" s="141" t="s">
        <v>155</v>
      </c>
    </row>
    <row r="33" spans="1:16" x14ac:dyDescent="0.2">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2">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2">
      <c r="A35" s="1" t="s">
        <v>181</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2">
      <c r="A36" s="1" t="s">
        <v>106</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144</v>
      </c>
    </row>
    <row r="37" spans="1:16" x14ac:dyDescent="0.2">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2">
      <c r="A38" s="1" t="s">
        <v>107</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145</v>
      </c>
    </row>
    <row r="39" spans="1:16" x14ac:dyDescent="0.2">
      <c r="A39" s="125" t="s">
        <v>125</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t="str">
        <f>Master!C52</f>
        <v/>
      </c>
      <c r="N39" s="140" t="s">
        <v>146</v>
      </c>
    </row>
    <row r="40" spans="1:16" x14ac:dyDescent="0.2">
      <c r="A40" t="str">
        <f t="shared" ref="A40:A45" si="6">IF(A5="","","    To "&amp;A5)</f>
        <v xml:space="preserve">    To Upper Basin</v>
      </c>
      <c r="B40" s="94" t="s">
        <v>159</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t="str">
        <f>Master!C53</f>
        <v/>
      </c>
      <c r="N40" s="143"/>
      <c r="P40" s="81"/>
    </row>
    <row r="41" spans="1:16" x14ac:dyDescent="0.2">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t="str">
        <f>Master!C55</f>
        <v/>
      </c>
      <c r="N41" s="143"/>
      <c r="P41" s="81"/>
    </row>
    <row r="42" spans="1:16" x14ac:dyDescent="0.2">
      <c r="A42" t="str">
        <f t="shared" si="6"/>
        <v xml:space="preserve">    To Mexico</v>
      </c>
      <c r="B42" s="95" t="s">
        <v>198</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t="str">
        <f>Master!C56</f>
        <v/>
      </c>
      <c r="N42" s="143"/>
    </row>
    <row r="43" spans="1:16" x14ac:dyDescent="0.2">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t="str">
        <f>Master!C57</f>
        <v/>
      </c>
      <c r="N43" s="143"/>
    </row>
    <row r="44" spans="1:16" x14ac:dyDescent="0.2">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t="str">
        <f>Master!C58</f>
        <v/>
      </c>
      <c r="N44" s="143"/>
    </row>
    <row r="45" spans="1:16" x14ac:dyDescent="0.2">
      <c r="A45" t="str">
        <f t="shared" si="6"/>
        <v xml:space="preserve">    To Shared, Reserve</v>
      </c>
      <c r="B45" s="95" t="s">
        <v>101</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t="str">
        <f>Master!C59</f>
        <v/>
      </c>
      <c r="N45" s="143"/>
    </row>
    <row r="46" spans="1:16" x14ac:dyDescent="0.2">
      <c r="A46" t="str">
        <f>IF(A31="","","    To "&amp;A31)</f>
        <v xml:space="preserve">    To Havasu / Parker evaporation and ET</v>
      </c>
      <c r="B46" s="151" t="s">
        <v>160</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t="str">
        <f>Master!C60</f>
        <v/>
      </c>
      <c r="N46" s="143"/>
    </row>
    <row r="47" spans="1:16" x14ac:dyDescent="0.2">
      <c r="B47" s="19"/>
      <c r="C47" s="18"/>
      <c r="D47" s="18"/>
      <c r="E47" s="18"/>
      <c r="F47" s="116"/>
      <c r="G47" s="28"/>
      <c r="N47" s="142"/>
    </row>
    <row r="48" spans="1:16" x14ac:dyDescent="0.2">
      <c r="B48" t="s">
        <v>192</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2">
      <c r="D49" s="14"/>
    </row>
    <row r="50" spans="1:8" x14ac:dyDescent="0.2">
      <c r="B50" s="2"/>
      <c r="H50" s="116" t="e">
        <f>SUM(I42:I46)</f>
        <v>#REF!</v>
      </c>
    </row>
    <row r="53" spans="1:8" x14ac:dyDescent="0.2">
      <c r="A53" t="s">
        <v>193</v>
      </c>
      <c r="B53">
        <v>8.1999999999999993</v>
      </c>
    </row>
    <row r="54" spans="1:8" x14ac:dyDescent="0.2">
      <c r="A54" t="s">
        <v>194</v>
      </c>
      <c r="B54">
        <v>1.2</v>
      </c>
    </row>
    <row r="55" spans="1:8" x14ac:dyDescent="0.2">
      <c r="A55" t="s">
        <v>195</v>
      </c>
      <c r="B55">
        <v>0.95</v>
      </c>
    </row>
    <row r="56" spans="1:8" x14ac:dyDescent="0.2">
      <c r="A56" t="s">
        <v>196</v>
      </c>
      <c r="B56">
        <f>1.5/2</f>
        <v>0.75</v>
      </c>
    </row>
    <row r="57" spans="1:8" x14ac:dyDescent="0.2">
      <c r="A57" t="s">
        <v>197</v>
      </c>
      <c r="B57">
        <f>B53-SUM(B54:B56)</f>
        <v>5.2999999999999989</v>
      </c>
    </row>
    <row r="58" spans="1:8" x14ac:dyDescent="0.2">
      <c r="B58" s="182"/>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baseColWidth="10" defaultColWidth="8.83203125" defaultRowHeight="15" x14ac:dyDescent="0.2"/>
  <cols>
    <col min="1" max="1" width="7.5" customWidth="1"/>
    <col min="2" max="3" width="9.1640625" customWidth="1"/>
    <col min="4" max="4" width="10.1640625" style="2" customWidth="1"/>
    <col min="5" max="5" width="11" style="2" customWidth="1"/>
    <col min="6" max="6" width="10.33203125" style="2" customWidth="1"/>
    <col min="7" max="7" width="11" style="2" customWidth="1"/>
    <col min="8" max="8" width="10" style="2" customWidth="1"/>
    <col min="9" max="9" width="10.5" style="2" customWidth="1"/>
    <col min="10" max="10" width="10.6640625" style="2" customWidth="1"/>
    <col min="11" max="11" width="10" style="2" customWidth="1"/>
    <col min="12" max="12" width="11.1640625" customWidth="1"/>
    <col min="13" max="13" width="11.5" style="2" customWidth="1"/>
    <col min="14" max="14" width="12.5" style="2" customWidth="1"/>
    <col min="15" max="15" width="12.1640625" customWidth="1"/>
    <col min="16" max="16" width="8.83203125" customWidth="1"/>
  </cols>
  <sheetData>
    <row r="1" spans="1:16" x14ac:dyDescent="0.2">
      <c r="A1" s="1" t="s">
        <v>59</v>
      </c>
    </row>
    <row r="3" spans="1:16" s="1" customFormat="1" x14ac:dyDescent="0.2">
      <c r="D3" s="392" t="s">
        <v>60</v>
      </c>
      <c r="E3" s="392"/>
      <c r="F3" s="392" t="s">
        <v>61</v>
      </c>
      <c r="G3" s="392"/>
      <c r="H3" s="392"/>
      <c r="I3" s="392" t="s">
        <v>62</v>
      </c>
      <c r="J3" s="392"/>
      <c r="K3" s="392"/>
      <c r="L3" s="134"/>
      <c r="M3" s="392" t="s">
        <v>18</v>
      </c>
      <c r="N3" s="392"/>
      <c r="O3" s="392"/>
    </row>
    <row r="4" spans="1:16" s="47" customFormat="1" ht="42.75" customHeight="1" x14ac:dyDescent="0.2">
      <c r="A4" s="46" t="s">
        <v>33</v>
      </c>
      <c r="B4" s="46" t="s">
        <v>34</v>
      </c>
      <c r="C4" s="46" t="s">
        <v>71</v>
      </c>
      <c r="D4" s="46" t="s">
        <v>63</v>
      </c>
      <c r="E4" s="46" t="s">
        <v>64</v>
      </c>
      <c r="F4" s="46" t="s">
        <v>63</v>
      </c>
      <c r="G4" s="46" t="s">
        <v>64</v>
      </c>
      <c r="H4" s="46" t="s">
        <v>65</v>
      </c>
      <c r="I4" s="46" t="s">
        <v>63</v>
      </c>
      <c r="J4" s="46" t="s">
        <v>64</v>
      </c>
      <c r="K4" s="46" t="s">
        <v>65</v>
      </c>
      <c r="L4" s="46" t="s">
        <v>69</v>
      </c>
      <c r="M4" s="46" t="s">
        <v>67</v>
      </c>
      <c r="N4" s="46" t="s">
        <v>68</v>
      </c>
      <c r="O4" s="46" t="s">
        <v>66</v>
      </c>
      <c r="P4" s="46" t="s">
        <v>35</v>
      </c>
    </row>
    <row r="5" spans="1:16" x14ac:dyDescent="0.2">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2">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2">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2">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2">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2">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2">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2">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2">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2">
      <c r="B14" s="52"/>
    </row>
    <row r="15" spans="1:16" x14ac:dyDescent="0.2">
      <c r="B15" s="51"/>
      <c r="C15" s="49"/>
    </row>
    <row r="16" spans="1:16" x14ac:dyDescent="0.2">
      <c r="A16" t="s">
        <v>70</v>
      </c>
    </row>
    <row r="17" spans="1:16" x14ac:dyDescent="0.2">
      <c r="A17" s="48">
        <v>1091</v>
      </c>
    </row>
    <row r="18" spans="1:16" x14ac:dyDescent="0.2">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2">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2">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2">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2">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2">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2">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2">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2">
      <c r="A26" s="23">
        <v>955</v>
      </c>
    </row>
    <row r="29" spans="1:16" x14ac:dyDescent="0.2">
      <c r="A29" s="24"/>
      <c r="I29" s="9"/>
      <c r="L29" s="19"/>
      <c r="O29" s="2"/>
      <c r="P29" s="49"/>
    </row>
    <row r="30" spans="1:16" x14ac:dyDescent="0.2">
      <c r="A30" s="24"/>
      <c r="I30" s="9"/>
      <c r="L30" s="19"/>
      <c r="O30" s="2"/>
      <c r="P30" s="49"/>
    </row>
    <row r="31" spans="1:16" x14ac:dyDescent="0.2">
      <c r="A31" s="24"/>
      <c r="I31" s="9"/>
      <c r="L31" s="19"/>
      <c r="O31" s="2"/>
      <c r="P31" s="49"/>
    </row>
    <row r="32" spans="1:16" x14ac:dyDescent="0.2">
      <c r="A32" s="24"/>
      <c r="I32" s="9"/>
      <c r="L32" s="19"/>
      <c r="O32" s="2"/>
      <c r="P32" s="49"/>
    </row>
    <row r="33" spans="1:16" x14ac:dyDescent="0.2">
      <c r="A33" s="24"/>
      <c r="I33" s="9"/>
      <c r="L33" s="19"/>
      <c r="O33" s="2"/>
      <c r="P33" s="49"/>
    </row>
    <row r="34" spans="1:16" x14ac:dyDescent="0.2">
      <c r="A34" s="24"/>
      <c r="I34" s="9"/>
      <c r="L34" s="19"/>
      <c r="O34" s="2"/>
      <c r="P34" s="49"/>
    </row>
    <row r="35" spans="1:16" x14ac:dyDescent="0.2">
      <c r="A35" s="24"/>
      <c r="I35" s="9"/>
      <c r="L35" s="19"/>
      <c r="O35" s="2"/>
      <c r="P35" s="49"/>
    </row>
    <row r="36" spans="1:16" x14ac:dyDescent="0.2">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baseColWidth="10" defaultColWidth="8.83203125" defaultRowHeight="15" x14ac:dyDescent="0.2"/>
  <cols>
    <col min="1" max="1" width="10.83203125" style="59" customWidth="1"/>
    <col min="2" max="2" width="12.6640625" style="59" customWidth="1"/>
    <col min="3" max="3" width="9.5" style="59" customWidth="1"/>
    <col min="4" max="4" width="46.33203125" style="59" customWidth="1"/>
    <col min="5" max="5" width="14.5" style="85" customWidth="1"/>
    <col min="6" max="6" width="10.5" style="2" customWidth="1"/>
    <col min="7" max="7" width="10.5" style="18" customWidth="1"/>
  </cols>
  <sheetData>
    <row r="1" spans="1:9" x14ac:dyDescent="0.2">
      <c r="A1" s="58" t="s">
        <v>72</v>
      </c>
    </row>
    <row r="2" spans="1:9" x14ac:dyDescent="0.2">
      <c r="A2" s="59" t="s">
        <v>73</v>
      </c>
    </row>
    <row r="3" spans="1:9" x14ac:dyDescent="0.2">
      <c r="I3" s="1" t="s">
        <v>126</v>
      </c>
    </row>
    <row r="4" spans="1:9" s="53" customFormat="1" ht="48" x14ac:dyDescent="0.2">
      <c r="A4" s="36" t="s">
        <v>74</v>
      </c>
      <c r="B4" s="36" t="s">
        <v>79</v>
      </c>
      <c r="C4" s="36" t="s">
        <v>80</v>
      </c>
      <c r="D4" s="37" t="s">
        <v>75</v>
      </c>
      <c r="E4" s="36" t="s">
        <v>90</v>
      </c>
      <c r="F4" s="36" t="s">
        <v>91</v>
      </c>
      <c r="G4" s="120" t="s">
        <v>102</v>
      </c>
    </row>
    <row r="5" spans="1:9" s="53" customFormat="1" ht="48" x14ac:dyDescent="0.2">
      <c r="A5" s="64" t="e">
        <f>#REF!</f>
        <v>#REF!</v>
      </c>
      <c r="B5" s="80" t="s">
        <v>86</v>
      </c>
      <c r="C5" s="65" t="s">
        <v>82</v>
      </c>
      <c r="D5" s="66" t="str">
        <f>D7</f>
        <v>Highest uncertainty for native fish. Also represent a substantial risk to the tailwater trout fishery, as sustained temperatures of 19oC or higher are unsuitable for trout.</v>
      </c>
      <c r="E5" s="86" t="s">
        <v>93</v>
      </c>
      <c r="F5" s="86" t="s">
        <v>92</v>
      </c>
      <c r="G5" s="121" t="e">
        <f>VLOOKUP(A5,#REF!,2)/1000000</f>
        <v>#REF!</v>
      </c>
    </row>
    <row r="6" spans="1:9" s="53" customFormat="1" ht="48" x14ac:dyDescent="0.2">
      <c r="A6" s="61">
        <v>3425</v>
      </c>
      <c r="B6" s="62" t="str">
        <f>B7</f>
        <v>&gt; 18</v>
      </c>
      <c r="C6" s="62" t="s">
        <v>82</v>
      </c>
      <c r="D6" s="63" t="str">
        <f>D7</f>
        <v>Highest uncertainty for native fish. Also represent a substantial risk to the tailwater trout fishery, as sustained temperatures of 19oC or higher are unsuitable for trout.</v>
      </c>
      <c r="E6" s="86" t="str">
        <f>E5</f>
        <v>Highly uncertain</v>
      </c>
      <c r="F6" s="86" t="s">
        <v>92</v>
      </c>
      <c r="G6" s="121" t="e">
        <f>VLOOKUP(A6,#REF!,2)/1000000</f>
        <v>#REF!</v>
      </c>
    </row>
    <row r="7" spans="1:9" s="53" customFormat="1" ht="48" x14ac:dyDescent="0.2">
      <c r="A7" s="67">
        <v>3490</v>
      </c>
      <c r="B7" s="68" t="s">
        <v>86</v>
      </c>
      <c r="C7" s="68" t="s">
        <v>81</v>
      </c>
      <c r="D7" s="69" t="s">
        <v>78</v>
      </c>
      <c r="E7" s="62" t="str">
        <f>E6</f>
        <v>Highly uncertain</v>
      </c>
      <c r="F7" s="86" t="s">
        <v>92</v>
      </c>
      <c r="G7" s="121" t="e">
        <f>VLOOKUP(A7,#REF!,2)/1000000</f>
        <v>#REF!</v>
      </c>
    </row>
    <row r="8" spans="1:9" ht="80" x14ac:dyDescent="0.2">
      <c r="A8" s="70">
        <v>3525</v>
      </c>
      <c r="B8" s="71" t="s">
        <v>85</v>
      </c>
      <c r="C8" s="71" t="s">
        <v>81</v>
      </c>
      <c r="D8" s="72" t="s">
        <v>77</v>
      </c>
      <c r="E8" s="87" t="s">
        <v>94</v>
      </c>
      <c r="F8" s="87" t="s">
        <v>96</v>
      </c>
      <c r="G8" s="122" t="e">
        <f>VLOOKUP(A8,#REF!,2)/1000000</f>
        <v>#REF!</v>
      </c>
    </row>
    <row r="9" spans="1:9" ht="48" x14ac:dyDescent="0.2">
      <c r="A9" s="73">
        <v>3600</v>
      </c>
      <c r="B9" s="74" t="s">
        <v>84</v>
      </c>
      <c r="C9" s="74" t="s">
        <v>81</v>
      </c>
      <c r="D9" s="75" t="s">
        <v>88</v>
      </c>
      <c r="E9" s="88" t="s">
        <v>89</v>
      </c>
      <c r="F9" s="88" t="str">
        <f>F8</f>
        <v>Help grow + incubate</v>
      </c>
      <c r="G9" s="123" t="e">
        <f>VLOOKUP(A9,#REF!,2)/1000000</f>
        <v>#REF!</v>
      </c>
    </row>
    <row r="10" spans="1:9" ht="112" x14ac:dyDescent="0.2">
      <c r="A10" s="76">
        <v>3675</v>
      </c>
      <c r="B10" s="77" t="s">
        <v>83</v>
      </c>
      <c r="C10" s="77" t="s">
        <v>81</v>
      </c>
      <c r="D10" s="78" t="s">
        <v>76</v>
      </c>
      <c r="E10" s="89" t="s">
        <v>95</v>
      </c>
      <c r="F10" s="89" t="s">
        <v>97</v>
      </c>
      <c r="G10" s="124" t="e">
        <f>VLOOKUP(A10,#REF!,2)/1000000</f>
        <v>#REF!</v>
      </c>
    </row>
    <row r="11" spans="1:9" ht="112" x14ac:dyDescent="0.2">
      <c r="A11" s="76">
        <v>3700</v>
      </c>
      <c r="B11" s="77" t="str">
        <f>B10</f>
        <v>&lt; 12</v>
      </c>
      <c r="C11" s="77" t="s">
        <v>81</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97</v>
      </c>
      <c r="G11" s="124" t="e">
        <f>VLOOKUP(A11,#REF!,2)/1000000</f>
        <v>#REF!</v>
      </c>
    </row>
    <row r="13" spans="1:9" ht="17" x14ac:dyDescent="0.2">
      <c r="D13" s="60"/>
    </row>
    <row r="14" spans="1:9" ht="17" x14ac:dyDescent="0.2">
      <c r="D14" s="60"/>
    </row>
    <row r="15" spans="1:9" ht="17" x14ac:dyDescent="0.2">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baseColWidth="10" defaultColWidth="8.83203125" defaultRowHeight="15" x14ac:dyDescent="0.2"/>
  <cols>
    <col min="1" max="1" width="12.5" customWidth="1"/>
    <col min="2" max="3" width="14.33203125" customWidth="1"/>
    <col min="4" max="4" width="11.5" bestFit="1" customWidth="1"/>
    <col min="7" max="7" width="13.83203125" customWidth="1"/>
    <col min="8" max="8" width="10.5" bestFit="1" customWidth="1"/>
    <col min="9" max="9" width="11.5" bestFit="1" customWidth="1"/>
    <col min="10" max="10" width="10.5" bestFit="1" customWidth="1"/>
    <col min="11" max="11" width="11.1640625" customWidth="1"/>
    <col min="12" max="12" width="12.1640625" customWidth="1"/>
    <col min="13" max="13" width="10.5" bestFit="1" customWidth="1"/>
  </cols>
  <sheetData>
    <row r="1" spans="1:13" s="1" customFormat="1" x14ac:dyDescent="0.2">
      <c r="A1" s="1" t="s">
        <v>31</v>
      </c>
    </row>
    <row r="2" spans="1:13" x14ac:dyDescent="0.2">
      <c r="A2" t="s">
        <v>8</v>
      </c>
    </row>
    <row r="3" spans="1:13" x14ac:dyDescent="0.2">
      <c r="C3">
        <v>2035000</v>
      </c>
    </row>
    <row r="4" spans="1:13" x14ac:dyDescent="0.2">
      <c r="A4" s="3" t="s">
        <v>9</v>
      </c>
      <c r="B4" s="3" t="s">
        <v>10</v>
      </c>
      <c r="C4" s="3" t="s">
        <v>11</v>
      </c>
      <c r="D4" s="3" t="s">
        <v>12</v>
      </c>
      <c r="E4" s="4" t="s">
        <v>13</v>
      </c>
      <c r="G4" s="3"/>
    </row>
    <row r="5" spans="1:13" x14ac:dyDescent="0.2">
      <c r="A5" s="5">
        <v>895</v>
      </c>
      <c r="B5" s="6">
        <v>0</v>
      </c>
      <c r="C5" s="6">
        <f>B5+$C$3</f>
        <v>2035000</v>
      </c>
      <c r="D5" s="6">
        <v>30172.000000100001</v>
      </c>
      <c r="E5" s="2">
        <v>1</v>
      </c>
      <c r="H5" s="8">
        <f>A5</f>
        <v>895</v>
      </c>
    </row>
    <row r="6" spans="1:13" x14ac:dyDescent="0.2">
      <c r="A6" s="5">
        <v>895.5</v>
      </c>
      <c r="B6" s="6">
        <v>15111</v>
      </c>
      <c r="C6" s="6">
        <f t="shared" ref="C6:C69" si="0">B6+$C$3</f>
        <v>2050111</v>
      </c>
      <c r="D6" s="6">
        <v>30270</v>
      </c>
      <c r="E6" s="2">
        <v>2</v>
      </c>
      <c r="H6" s="8">
        <f t="shared" ref="H6:H69" si="1">A6</f>
        <v>895.5</v>
      </c>
    </row>
    <row r="7" spans="1:13" x14ac:dyDescent="0.2">
      <c r="A7" s="5">
        <v>896</v>
      </c>
      <c r="B7" s="6">
        <v>30270</v>
      </c>
      <c r="C7" s="6">
        <f t="shared" si="0"/>
        <v>2065270</v>
      </c>
      <c r="D7" s="6">
        <v>30367.999999899999</v>
      </c>
      <c r="E7" s="2">
        <v>3</v>
      </c>
      <c r="H7" s="8">
        <f t="shared" si="1"/>
        <v>896</v>
      </c>
    </row>
    <row r="8" spans="1:13" x14ac:dyDescent="0.2">
      <c r="A8" s="5">
        <v>896.5</v>
      </c>
      <c r="B8" s="6">
        <v>45479</v>
      </c>
      <c r="C8" s="6">
        <f t="shared" si="0"/>
        <v>2080479</v>
      </c>
      <c r="D8" s="6">
        <v>30466</v>
      </c>
      <c r="E8" s="2">
        <v>4</v>
      </c>
      <c r="H8" s="8">
        <f t="shared" si="1"/>
        <v>896.5</v>
      </c>
    </row>
    <row r="9" spans="1:13" x14ac:dyDescent="0.2">
      <c r="A9" s="5">
        <v>897</v>
      </c>
      <c r="B9" s="21">
        <v>60736</v>
      </c>
      <c r="C9" s="6">
        <f t="shared" si="0"/>
        <v>2095736</v>
      </c>
      <c r="D9" s="6">
        <v>30563.999999899999</v>
      </c>
      <c r="E9" s="2">
        <v>5</v>
      </c>
      <c r="H9" s="8">
        <f t="shared" si="1"/>
        <v>897</v>
      </c>
    </row>
    <row r="10" spans="1:13" x14ac:dyDescent="0.2">
      <c r="A10" s="5">
        <v>897.5</v>
      </c>
      <c r="B10" s="21">
        <v>76043</v>
      </c>
      <c r="C10" s="6">
        <f t="shared" si="0"/>
        <v>2111043</v>
      </c>
      <c r="D10" s="6">
        <v>30662.000000100001</v>
      </c>
      <c r="E10" s="2">
        <v>6</v>
      </c>
      <c r="H10" s="8">
        <f t="shared" si="1"/>
        <v>897.5</v>
      </c>
    </row>
    <row r="11" spans="1:13" x14ac:dyDescent="0.2">
      <c r="A11" s="5">
        <v>898</v>
      </c>
      <c r="B11" s="6">
        <v>91397.999999899999</v>
      </c>
      <c r="C11" s="6">
        <f t="shared" si="0"/>
        <v>2126397.9999998999</v>
      </c>
      <c r="D11" s="6">
        <v>30760</v>
      </c>
      <c r="E11" s="2">
        <v>7</v>
      </c>
      <c r="H11" s="8">
        <f t="shared" si="1"/>
        <v>898</v>
      </c>
    </row>
    <row r="12" spans="1:13" x14ac:dyDescent="0.2">
      <c r="A12" s="5">
        <v>898.5</v>
      </c>
      <c r="B12" s="6">
        <v>106803</v>
      </c>
      <c r="C12" s="6">
        <f t="shared" si="0"/>
        <v>2141803</v>
      </c>
      <c r="D12" s="6">
        <v>30857.999999899999</v>
      </c>
      <c r="E12" s="2">
        <v>8</v>
      </c>
      <c r="H12" s="8">
        <f t="shared" si="1"/>
        <v>898.5</v>
      </c>
    </row>
    <row r="13" spans="1:13" x14ac:dyDescent="0.2">
      <c r="A13" s="5">
        <v>899</v>
      </c>
      <c r="B13" s="6">
        <v>122257</v>
      </c>
      <c r="C13" s="6">
        <f t="shared" si="0"/>
        <v>2157257</v>
      </c>
      <c r="D13" s="6">
        <v>30956</v>
      </c>
      <c r="E13" s="2">
        <v>9</v>
      </c>
      <c r="H13" s="8">
        <f t="shared" si="1"/>
        <v>899</v>
      </c>
      <c r="I13" s="6"/>
      <c r="J13" s="6"/>
      <c r="K13" s="6"/>
      <c r="L13" s="6"/>
      <c r="M13" s="7"/>
    </row>
    <row r="14" spans="1:13" x14ac:dyDescent="0.2">
      <c r="A14" s="5">
        <v>899.5</v>
      </c>
      <c r="B14" s="6">
        <v>137759</v>
      </c>
      <c r="C14" s="6">
        <f t="shared" si="0"/>
        <v>2172759</v>
      </c>
      <c r="D14" s="6">
        <v>31053.999999899999</v>
      </c>
      <c r="E14" s="2">
        <v>10</v>
      </c>
      <c r="H14" s="8">
        <f t="shared" si="1"/>
        <v>899.5</v>
      </c>
    </row>
    <row r="15" spans="1:13" x14ac:dyDescent="0.2">
      <c r="A15" s="5">
        <v>900</v>
      </c>
      <c r="B15" s="6">
        <v>153311</v>
      </c>
      <c r="C15" s="6">
        <f t="shared" si="0"/>
        <v>2188311</v>
      </c>
      <c r="D15" s="6">
        <v>31152.000000100001</v>
      </c>
      <c r="E15" s="2">
        <v>11</v>
      </c>
      <c r="H15" s="8">
        <f t="shared" si="1"/>
        <v>900</v>
      </c>
    </row>
    <row r="16" spans="1:13" x14ac:dyDescent="0.2">
      <c r="A16" s="5">
        <v>900.5</v>
      </c>
      <c r="B16" s="6">
        <v>168917</v>
      </c>
      <c r="C16" s="6">
        <f t="shared" si="0"/>
        <v>2203917</v>
      </c>
      <c r="D16" s="6">
        <v>31273.000000100001</v>
      </c>
      <c r="E16" s="2">
        <v>12</v>
      </c>
      <c r="H16" s="8">
        <f t="shared" si="1"/>
        <v>900.5</v>
      </c>
    </row>
    <row r="17" spans="1:8" x14ac:dyDescent="0.2">
      <c r="A17" s="5">
        <v>901</v>
      </c>
      <c r="B17" s="6">
        <v>184584</v>
      </c>
      <c r="C17" s="6">
        <f t="shared" si="0"/>
        <v>2219584</v>
      </c>
      <c r="D17" s="6">
        <v>31394</v>
      </c>
      <c r="E17" s="2">
        <v>13</v>
      </c>
      <c r="H17" s="8">
        <f t="shared" si="1"/>
        <v>901</v>
      </c>
    </row>
    <row r="18" spans="1:8" x14ac:dyDescent="0.2">
      <c r="A18" s="5">
        <v>901.5</v>
      </c>
      <c r="B18" s="6">
        <v>200311</v>
      </c>
      <c r="C18" s="6">
        <f t="shared" si="0"/>
        <v>2235311</v>
      </c>
      <c r="D18" s="6">
        <v>31514.000000100001</v>
      </c>
      <c r="E18" s="2">
        <v>14</v>
      </c>
      <c r="H18" s="8">
        <f t="shared" si="1"/>
        <v>901.5</v>
      </c>
    </row>
    <row r="19" spans="1:8" x14ac:dyDescent="0.2">
      <c r="A19" s="5">
        <v>902</v>
      </c>
      <c r="B19" s="6">
        <v>216098</v>
      </c>
      <c r="C19" s="6">
        <f t="shared" si="0"/>
        <v>2251098</v>
      </c>
      <c r="D19" s="6">
        <v>31635.000000100001</v>
      </c>
      <c r="E19" s="2">
        <v>15</v>
      </c>
      <c r="H19" s="8">
        <f t="shared" si="1"/>
        <v>902</v>
      </c>
    </row>
    <row r="20" spans="1:8" x14ac:dyDescent="0.2">
      <c r="A20" s="5">
        <v>902.5</v>
      </c>
      <c r="B20" s="6">
        <v>231946</v>
      </c>
      <c r="C20" s="6">
        <f t="shared" si="0"/>
        <v>2266946</v>
      </c>
      <c r="D20" s="6">
        <v>31754.999999899999</v>
      </c>
      <c r="E20" s="2">
        <v>16</v>
      </c>
      <c r="H20" s="8">
        <f t="shared" si="1"/>
        <v>902.5</v>
      </c>
    </row>
    <row r="21" spans="1:8" x14ac:dyDescent="0.2">
      <c r="A21" s="5">
        <v>903</v>
      </c>
      <c r="B21" s="6">
        <v>247854</v>
      </c>
      <c r="C21" s="6">
        <f t="shared" si="0"/>
        <v>2282854</v>
      </c>
      <c r="D21" s="6">
        <v>31875.999999899999</v>
      </c>
      <c r="E21" s="2">
        <v>17</v>
      </c>
      <c r="H21" s="8">
        <f t="shared" si="1"/>
        <v>903</v>
      </c>
    </row>
    <row r="22" spans="1:8" x14ac:dyDescent="0.2">
      <c r="A22" s="5">
        <v>903.5</v>
      </c>
      <c r="B22" s="6">
        <v>263822</v>
      </c>
      <c r="C22" s="6">
        <f t="shared" si="0"/>
        <v>2298822</v>
      </c>
      <c r="D22" s="6">
        <v>31997.000000100001</v>
      </c>
      <c r="E22" s="2">
        <v>18</v>
      </c>
      <c r="H22" s="8">
        <f t="shared" si="1"/>
        <v>903.5</v>
      </c>
    </row>
    <row r="23" spans="1:8" x14ac:dyDescent="0.2">
      <c r="A23" s="5">
        <v>904</v>
      </c>
      <c r="B23" s="6">
        <v>279851</v>
      </c>
      <c r="C23" s="6">
        <f t="shared" si="0"/>
        <v>2314851</v>
      </c>
      <c r="D23" s="6">
        <v>32116.999999899999</v>
      </c>
      <c r="E23" s="2">
        <v>19</v>
      </c>
      <c r="H23" s="8">
        <f t="shared" si="1"/>
        <v>904</v>
      </c>
    </row>
    <row r="24" spans="1:8" x14ac:dyDescent="0.2">
      <c r="A24" s="5">
        <v>904.5</v>
      </c>
      <c r="B24" s="6">
        <v>295939</v>
      </c>
      <c r="C24" s="6">
        <f t="shared" si="0"/>
        <v>2330939</v>
      </c>
      <c r="D24" s="6">
        <v>32237.999999899999</v>
      </c>
      <c r="E24" s="2">
        <v>20</v>
      </c>
      <c r="H24" s="8">
        <f t="shared" si="1"/>
        <v>904.5</v>
      </c>
    </row>
    <row r="25" spans="1:8" x14ac:dyDescent="0.2">
      <c r="A25" s="5">
        <v>905</v>
      </c>
      <c r="B25" s="6">
        <v>312088</v>
      </c>
      <c r="C25" s="6">
        <f t="shared" si="0"/>
        <v>2347088</v>
      </c>
      <c r="D25" s="6">
        <v>32358.999999899999</v>
      </c>
      <c r="E25" s="2">
        <v>21</v>
      </c>
      <c r="H25" s="8">
        <f t="shared" si="1"/>
        <v>905</v>
      </c>
    </row>
    <row r="26" spans="1:8" x14ac:dyDescent="0.2">
      <c r="A26" s="5">
        <v>905.5</v>
      </c>
      <c r="B26" s="6">
        <v>328298</v>
      </c>
      <c r="C26" s="6">
        <f t="shared" si="0"/>
        <v>2363298</v>
      </c>
      <c r="D26" s="6">
        <v>32479</v>
      </c>
      <c r="E26" s="2">
        <v>22</v>
      </c>
      <c r="H26" s="8">
        <f t="shared" si="1"/>
        <v>905.5</v>
      </c>
    </row>
    <row r="27" spans="1:8" x14ac:dyDescent="0.2">
      <c r="A27" s="5">
        <v>906</v>
      </c>
      <c r="B27" s="6">
        <v>344568</v>
      </c>
      <c r="C27" s="6">
        <f t="shared" si="0"/>
        <v>2379568</v>
      </c>
      <c r="D27" s="6">
        <v>32599.999999899999</v>
      </c>
      <c r="E27" s="2">
        <v>23</v>
      </c>
      <c r="H27" s="8">
        <f t="shared" si="1"/>
        <v>906</v>
      </c>
    </row>
    <row r="28" spans="1:8" x14ac:dyDescent="0.2">
      <c r="A28" s="5">
        <v>906.5</v>
      </c>
      <c r="B28" s="6">
        <v>360898</v>
      </c>
      <c r="C28" s="6">
        <f t="shared" si="0"/>
        <v>2395898</v>
      </c>
      <c r="D28" s="6">
        <v>32720</v>
      </c>
      <c r="E28" s="2">
        <v>24</v>
      </c>
      <c r="H28" s="8">
        <f t="shared" si="1"/>
        <v>906.5</v>
      </c>
    </row>
    <row r="29" spans="1:8" x14ac:dyDescent="0.2">
      <c r="A29" s="5">
        <v>907</v>
      </c>
      <c r="B29" s="6">
        <v>377288</v>
      </c>
      <c r="C29" s="6">
        <f t="shared" si="0"/>
        <v>2412288</v>
      </c>
      <c r="D29" s="6">
        <v>32841</v>
      </c>
      <c r="E29" s="2">
        <v>25</v>
      </c>
      <c r="H29" s="8">
        <f t="shared" si="1"/>
        <v>907</v>
      </c>
    </row>
    <row r="30" spans="1:8" x14ac:dyDescent="0.2">
      <c r="A30" s="5">
        <v>907.5</v>
      </c>
      <c r="B30" s="6">
        <v>393739</v>
      </c>
      <c r="C30" s="6">
        <f t="shared" si="0"/>
        <v>2428739</v>
      </c>
      <c r="D30" s="6">
        <v>32962</v>
      </c>
      <c r="E30" s="2">
        <v>26</v>
      </c>
      <c r="H30" s="8">
        <f t="shared" si="1"/>
        <v>907.5</v>
      </c>
    </row>
    <row r="31" spans="1:8" x14ac:dyDescent="0.2">
      <c r="A31" s="5">
        <v>908</v>
      </c>
      <c r="B31" s="6">
        <v>410250</v>
      </c>
      <c r="C31" s="6">
        <f t="shared" si="0"/>
        <v>2445250</v>
      </c>
      <c r="D31" s="6">
        <v>33082</v>
      </c>
      <c r="E31" s="2">
        <v>27</v>
      </c>
      <c r="H31" s="8">
        <f t="shared" si="1"/>
        <v>908</v>
      </c>
    </row>
    <row r="32" spans="1:8" x14ac:dyDescent="0.2">
      <c r="A32" s="5">
        <v>908.5</v>
      </c>
      <c r="B32" s="6">
        <v>426821</v>
      </c>
      <c r="C32" s="6">
        <f t="shared" si="0"/>
        <v>2461821</v>
      </c>
      <c r="D32" s="6">
        <v>33203</v>
      </c>
      <c r="E32" s="2">
        <v>28</v>
      </c>
      <c r="H32" s="8">
        <f t="shared" si="1"/>
        <v>908.5</v>
      </c>
    </row>
    <row r="33" spans="1:8" x14ac:dyDescent="0.2">
      <c r="A33" s="5">
        <v>909</v>
      </c>
      <c r="B33" s="6">
        <v>443452</v>
      </c>
      <c r="C33" s="6">
        <f t="shared" si="0"/>
        <v>2478452</v>
      </c>
      <c r="D33" s="6">
        <v>33323.000000100001</v>
      </c>
      <c r="E33" s="2">
        <v>29</v>
      </c>
      <c r="H33" s="8">
        <f t="shared" si="1"/>
        <v>909</v>
      </c>
    </row>
    <row r="34" spans="1:8" x14ac:dyDescent="0.2">
      <c r="A34" s="5">
        <v>909.5</v>
      </c>
      <c r="B34" s="6">
        <v>460144</v>
      </c>
      <c r="C34" s="6">
        <f t="shared" si="0"/>
        <v>2495144</v>
      </c>
      <c r="D34" s="6">
        <v>33444.000000100001</v>
      </c>
      <c r="E34" s="2">
        <v>30</v>
      </c>
      <c r="H34" s="8">
        <f t="shared" si="1"/>
        <v>909.5</v>
      </c>
    </row>
    <row r="35" spans="1:8" x14ac:dyDescent="0.2">
      <c r="A35" s="5">
        <v>910</v>
      </c>
      <c r="B35" s="6">
        <v>476896</v>
      </c>
      <c r="C35" s="6">
        <f t="shared" si="0"/>
        <v>2511896</v>
      </c>
      <c r="D35" s="6">
        <v>33565</v>
      </c>
      <c r="E35" s="2">
        <v>31</v>
      </c>
      <c r="H35" s="8">
        <f t="shared" si="1"/>
        <v>910</v>
      </c>
    </row>
    <row r="36" spans="1:8" x14ac:dyDescent="0.2">
      <c r="A36" s="5">
        <v>910.5</v>
      </c>
      <c r="B36" s="6">
        <v>493708</v>
      </c>
      <c r="C36" s="6">
        <f t="shared" si="0"/>
        <v>2528708</v>
      </c>
      <c r="D36" s="6">
        <v>33683.000000100001</v>
      </c>
      <c r="E36" s="2">
        <v>32</v>
      </c>
      <c r="H36" s="8">
        <f t="shared" si="1"/>
        <v>910.5</v>
      </c>
    </row>
    <row r="37" spans="1:8" x14ac:dyDescent="0.2">
      <c r="A37" s="5">
        <v>911</v>
      </c>
      <c r="B37" s="6">
        <v>510579</v>
      </c>
      <c r="C37" s="6">
        <f t="shared" si="0"/>
        <v>2545579</v>
      </c>
      <c r="D37" s="6">
        <v>33800</v>
      </c>
      <c r="E37" s="2">
        <v>33</v>
      </c>
      <c r="H37" s="8">
        <f t="shared" si="1"/>
        <v>911</v>
      </c>
    </row>
    <row r="38" spans="1:8" x14ac:dyDescent="0.2">
      <c r="A38" s="5">
        <v>911.5</v>
      </c>
      <c r="B38" s="6">
        <v>527509</v>
      </c>
      <c r="C38" s="6">
        <f t="shared" si="0"/>
        <v>2562509</v>
      </c>
      <c r="D38" s="6">
        <v>33918</v>
      </c>
      <c r="E38" s="2">
        <v>34</v>
      </c>
      <c r="H38" s="8">
        <f t="shared" si="1"/>
        <v>911.5</v>
      </c>
    </row>
    <row r="39" spans="1:8" x14ac:dyDescent="0.2">
      <c r="A39" s="5">
        <v>912</v>
      </c>
      <c r="B39" s="6">
        <v>544497</v>
      </c>
      <c r="C39" s="6">
        <f t="shared" si="0"/>
        <v>2579497</v>
      </c>
      <c r="D39" s="6">
        <v>34036</v>
      </c>
      <c r="E39" s="2">
        <v>35</v>
      </c>
      <c r="H39" s="8">
        <f t="shared" si="1"/>
        <v>912</v>
      </c>
    </row>
    <row r="40" spans="1:8" x14ac:dyDescent="0.2">
      <c r="A40" s="5">
        <v>912.5</v>
      </c>
      <c r="B40" s="6">
        <v>561545</v>
      </c>
      <c r="C40" s="6">
        <f t="shared" si="0"/>
        <v>2596545</v>
      </c>
      <c r="D40" s="6">
        <v>34154.000000100001</v>
      </c>
      <c r="E40" s="2">
        <v>36</v>
      </c>
      <c r="H40" s="8">
        <f t="shared" si="1"/>
        <v>912.5</v>
      </c>
    </row>
    <row r="41" spans="1:8" x14ac:dyDescent="0.2">
      <c r="A41" s="5">
        <v>913</v>
      </c>
      <c r="B41" s="6">
        <v>578651</v>
      </c>
      <c r="C41" s="6">
        <f t="shared" si="0"/>
        <v>2613651</v>
      </c>
      <c r="D41" s="6">
        <v>34271.999999899999</v>
      </c>
      <c r="E41" s="2">
        <v>37</v>
      </c>
      <c r="H41" s="8">
        <f t="shared" si="1"/>
        <v>913</v>
      </c>
    </row>
    <row r="42" spans="1:8" x14ac:dyDescent="0.2">
      <c r="A42" s="5">
        <v>913.5</v>
      </c>
      <c r="B42" s="6">
        <v>595817</v>
      </c>
      <c r="C42" s="6">
        <f t="shared" si="0"/>
        <v>2630817</v>
      </c>
      <c r="D42" s="6">
        <v>34389.999999899999</v>
      </c>
      <c r="E42" s="2">
        <v>38</v>
      </c>
      <c r="H42" s="8">
        <f t="shared" si="1"/>
        <v>913.5</v>
      </c>
    </row>
    <row r="43" spans="1:8" x14ac:dyDescent="0.2">
      <c r="A43" s="5">
        <v>914</v>
      </c>
      <c r="B43" s="6">
        <v>613041</v>
      </c>
      <c r="C43" s="6">
        <f t="shared" si="0"/>
        <v>2648041</v>
      </c>
      <c r="D43" s="6">
        <v>34508</v>
      </c>
      <c r="E43" s="2">
        <v>39</v>
      </c>
      <c r="H43" s="8">
        <f t="shared" si="1"/>
        <v>914</v>
      </c>
    </row>
    <row r="44" spans="1:8" x14ac:dyDescent="0.2">
      <c r="A44" s="5">
        <v>914.5</v>
      </c>
      <c r="B44" s="6">
        <v>630324</v>
      </c>
      <c r="C44" s="6">
        <f t="shared" si="0"/>
        <v>2665324</v>
      </c>
      <c r="D44" s="6">
        <v>34626</v>
      </c>
      <c r="E44" s="2">
        <v>40</v>
      </c>
      <c r="H44" s="8">
        <f t="shared" si="1"/>
        <v>914.5</v>
      </c>
    </row>
    <row r="45" spans="1:8" x14ac:dyDescent="0.2">
      <c r="A45" s="5">
        <v>915</v>
      </c>
      <c r="B45" s="6">
        <v>647667</v>
      </c>
      <c r="C45" s="6">
        <f t="shared" si="0"/>
        <v>2682667</v>
      </c>
      <c r="D45" s="6">
        <v>34742.999999899999</v>
      </c>
      <c r="E45" s="2">
        <v>41</v>
      </c>
      <c r="H45" s="8">
        <f t="shared" si="1"/>
        <v>915</v>
      </c>
    </row>
    <row r="46" spans="1:8" x14ac:dyDescent="0.2">
      <c r="A46" s="5">
        <v>915.5</v>
      </c>
      <c r="B46" s="6">
        <v>665068</v>
      </c>
      <c r="C46" s="6">
        <f t="shared" si="0"/>
        <v>2700068</v>
      </c>
      <c r="D46" s="6">
        <v>34860.999999899999</v>
      </c>
      <c r="E46" s="2">
        <v>42</v>
      </c>
      <c r="H46" s="8">
        <f t="shared" si="1"/>
        <v>915.5</v>
      </c>
    </row>
    <row r="47" spans="1:8" x14ac:dyDescent="0.2">
      <c r="A47" s="5">
        <v>916</v>
      </c>
      <c r="B47" s="6">
        <v>682528</v>
      </c>
      <c r="C47" s="6">
        <f t="shared" si="0"/>
        <v>2717528</v>
      </c>
      <c r="D47" s="6">
        <v>34979</v>
      </c>
      <c r="E47" s="2">
        <v>43</v>
      </c>
      <c r="H47" s="8">
        <f t="shared" si="1"/>
        <v>916</v>
      </c>
    </row>
    <row r="48" spans="1:8" x14ac:dyDescent="0.2">
      <c r="A48" s="5">
        <v>916.5</v>
      </c>
      <c r="B48" s="6">
        <v>700047</v>
      </c>
      <c r="C48" s="6">
        <f t="shared" si="0"/>
        <v>2735047</v>
      </c>
      <c r="D48" s="6">
        <v>35097</v>
      </c>
      <c r="E48" s="2">
        <v>44</v>
      </c>
      <c r="H48" s="8">
        <f t="shared" si="1"/>
        <v>916.5</v>
      </c>
    </row>
    <row r="49" spans="1:8" x14ac:dyDescent="0.2">
      <c r="A49" s="5">
        <v>917</v>
      </c>
      <c r="B49" s="6">
        <v>717625</v>
      </c>
      <c r="C49" s="6">
        <f t="shared" si="0"/>
        <v>2752625</v>
      </c>
      <c r="D49" s="6">
        <v>35215</v>
      </c>
      <c r="E49" s="2">
        <v>45</v>
      </c>
      <c r="H49" s="8">
        <f t="shared" si="1"/>
        <v>917</v>
      </c>
    </row>
    <row r="50" spans="1:8" x14ac:dyDescent="0.2">
      <c r="A50" s="5">
        <v>917.5</v>
      </c>
      <c r="B50" s="6">
        <v>735262</v>
      </c>
      <c r="C50" s="6">
        <f t="shared" si="0"/>
        <v>2770262</v>
      </c>
      <c r="D50" s="6">
        <v>35333.000000100001</v>
      </c>
      <c r="E50" s="2">
        <v>46</v>
      </c>
      <c r="H50" s="8">
        <f t="shared" si="1"/>
        <v>917.5</v>
      </c>
    </row>
    <row r="51" spans="1:8" x14ac:dyDescent="0.2">
      <c r="A51" s="5">
        <v>918</v>
      </c>
      <c r="B51" s="6">
        <v>752958</v>
      </c>
      <c r="C51" s="6">
        <f t="shared" si="0"/>
        <v>2787958</v>
      </c>
      <c r="D51" s="6">
        <v>35451.000000100001</v>
      </c>
      <c r="E51" s="2">
        <v>47</v>
      </c>
      <c r="H51" s="8">
        <f t="shared" si="1"/>
        <v>918</v>
      </c>
    </row>
    <row r="52" spans="1:8" x14ac:dyDescent="0.2">
      <c r="A52" s="5">
        <v>918.5</v>
      </c>
      <c r="B52" s="6">
        <v>770713</v>
      </c>
      <c r="C52" s="6">
        <f t="shared" si="0"/>
        <v>2805713</v>
      </c>
      <c r="D52" s="6">
        <v>35568.999999899999</v>
      </c>
      <c r="E52" s="2">
        <v>48</v>
      </c>
      <c r="H52" s="8">
        <f t="shared" si="1"/>
        <v>918.5</v>
      </c>
    </row>
    <row r="53" spans="1:8" x14ac:dyDescent="0.2">
      <c r="A53" s="5">
        <v>919</v>
      </c>
      <c r="B53" s="6">
        <v>788526</v>
      </c>
      <c r="C53" s="6">
        <f t="shared" si="0"/>
        <v>2823526</v>
      </c>
      <c r="D53" s="6">
        <v>35686.000000100001</v>
      </c>
      <c r="E53" s="2">
        <v>49</v>
      </c>
      <c r="H53" s="8">
        <f t="shared" si="1"/>
        <v>919</v>
      </c>
    </row>
    <row r="54" spans="1:8" x14ac:dyDescent="0.2">
      <c r="A54" s="5">
        <v>919.5</v>
      </c>
      <c r="B54" s="6">
        <v>806399</v>
      </c>
      <c r="C54" s="6">
        <f t="shared" si="0"/>
        <v>2841399</v>
      </c>
      <c r="D54" s="6">
        <v>35804.000000100001</v>
      </c>
      <c r="E54" s="2">
        <v>50</v>
      </c>
      <c r="H54" s="8">
        <f t="shared" si="1"/>
        <v>919.5</v>
      </c>
    </row>
    <row r="55" spans="1:8" x14ac:dyDescent="0.2">
      <c r="A55" s="5">
        <v>920</v>
      </c>
      <c r="B55" s="6">
        <v>824331.00000200002</v>
      </c>
      <c r="C55" s="6">
        <f t="shared" si="0"/>
        <v>2859331.000002</v>
      </c>
      <c r="D55" s="6">
        <v>35921.999999899999</v>
      </c>
      <c r="E55" s="2">
        <v>51</v>
      </c>
      <c r="H55" s="8">
        <f t="shared" si="1"/>
        <v>920</v>
      </c>
    </row>
    <row r="56" spans="1:8" x14ac:dyDescent="0.2">
      <c r="A56" s="5">
        <v>920.5</v>
      </c>
      <c r="B56" s="6">
        <v>842319.99999799998</v>
      </c>
      <c r="C56" s="6">
        <f t="shared" si="0"/>
        <v>2877319.999998</v>
      </c>
      <c r="D56" s="6">
        <v>36036.000000100001</v>
      </c>
      <c r="E56" s="2">
        <v>52</v>
      </c>
      <c r="H56" s="8">
        <f t="shared" si="1"/>
        <v>920.5</v>
      </c>
    </row>
    <row r="57" spans="1:8" x14ac:dyDescent="0.2">
      <c r="A57" s="5">
        <v>921</v>
      </c>
      <c r="B57" s="6">
        <v>860367.00000400003</v>
      </c>
      <c r="C57" s="6">
        <f t="shared" si="0"/>
        <v>2895367.000004</v>
      </c>
      <c r="D57" s="6">
        <v>36150.000000100001</v>
      </c>
      <c r="E57" s="2">
        <v>53</v>
      </c>
      <c r="H57" s="8">
        <f t="shared" si="1"/>
        <v>921</v>
      </c>
    </row>
    <row r="58" spans="1:8" x14ac:dyDescent="0.2">
      <c r="A58" s="5">
        <v>921.5</v>
      </c>
      <c r="B58" s="6">
        <v>878470.99999799998</v>
      </c>
      <c r="C58" s="6">
        <f t="shared" si="0"/>
        <v>2913470.999998</v>
      </c>
      <c r="D58" s="6">
        <v>36264</v>
      </c>
      <c r="E58" s="2">
        <v>54</v>
      </c>
      <c r="H58" s="8">
        <f t="shared" si="1"/>
        <v>921.5</v>
      </c>
    </row>
    <row r="59" spans="1:8" x14ac:dyDescent="0.2">
      <c r="A59" s="5">
        <v>922</v>
      </c>
      <c r="B59" s="6">
        <v>896630.99999799998</v>
      </c>
      <c r="C59" s="6">
        <f t="shared" si="0"/>
        <v>2931630.999998</v>
      </c>
      <c r="D59" s="6">
        <v>36378</v>
      </c>
      <c r="E59" s="2">
        <v>55</v>
      </c>
      <c r="H59" s="8">
        <f t="shared" si="1"/>
        <v>922</v>
      </c>
    </row>
    <row r="60" spans="1:8" x14ac:dyDescent="0.2">
      <c r="A60" s="5">
        <v>922.5</v>
      </c>
      <c r="B60" s="6">
        <v>914849.00000100001</v>
      </c>
      <c r="C60" s="6">
        <f t="shared" si="0"/>
        <v>2949849.0000010002</v>
      </c>
      <c r="D60" s="6">
        <v>36491.999999899999</v>
      </c>
      <c r="E60" s="2">
        <v>56</v>
      </c>
      <c r="H60" s="8">
        <f t="shared" si="1"/>
        <v>922.5</v>
      </c>
    </row>
    <row r="61" spans="1:8" x14ac:dyDescent="0.2">
      <c r="A61" s="5">
        <v>923</v>
      </c>
      <c r="B61" s="6">
        <v>933123.00000200002</v>
      </c>
      <c r="C61" s="6">
        <f t="shared" si="0"/>
        <v>2968123.000002</v>
      </c>
      <c r="D61" s="6">
        <v>36607.000000100001</v>
      </c>
      <c r="E61" s="2">
        <v>57</v>
      </c>
      <c r="H61" s="8">
        <f t="shared" si="1"/>
        <v>923</v>
      </c>
    </row>
    <row r="62" spans="1:8" x14ac:dyDescent="0.2">
      <c r="A62" s="5">
        <v>923.5</v>
      </c>
      <c r="B62" s="6">
        <v>951454.99999699998</v>
      </c>
      <c r="C62" s="6">
        <f t="shared" si="0"/>
        <v>2986454.9999970002</v>
      </c>
      <c r="D62" s="6">
        <v>36721</v>
      </c>
      <c r="E62" s="2">
        <v>58</v>
      </c>
      <c r="H62" s="8">
        <f t="shared" si="1"/>
        <v>923.5</v>
      </c>
    </row>
    <row r="63" spans="1:8" x14ac:dyDescent="0.2">
      <c r="A63" s="5">
        <v>924</v>
      </c>
      <c r="B63" s="6">
        <v>969843.99999599997</v>
      </c>
      <c r="C63" s="6">
        <f t="shared" si="0"/>
        <v>3004843.999996</v>
      </c>
      <c r="D63" s="6">
        <v>36835</v>
      </c>
      <c r="E63" s="2">
        <v>59</v>
      </c>
      <c r="H63" s="8">
        <f t="shared" si="1"/>
        <v>924</v>
      </c>
    </row>
    <row r="64" spans="1:8" x14ac:dyDescent="0.2">
      <c r="A64" s="5">
        <v>924.5</v>
      </c>
      <c r="B64" s="6">
        <v>988290</v>
      </c>
      <c r="C64" s="6">
        <f t="shared" si="0"/>
        <v>3023290</v>
      </c>
      <c r="D64" s="6">
        <v>36948.999999899999</v>
      </c>
      <c r="E64" s="2">
        <v>60</v>
      </c>
      <c r="H64" s="8">
        <f t="shared" si="1"/>
        <v>924.5</v>
      </c>
    </row>
    <row r="65" spans="1:8" x14ac:dyDescent="0.2">
      <c r="A65" s="5">
        <v>925</v>
      </c>
      <c r="B65" s="6">
        <v>1006793</v>
      </c>
      <c r="C65" s="6">
        <f t="shared" si="0"/>
        <v>3041793</v>
      </c>
      <c r="D65" s="6">
        <v>37062.999999899999</v>
      </c>
      <c r="E65" s="2">
        <v>61</v>
      </c>
      <c r="H65" s="8">
        <f t="shared" si="1"/>
        <v>925</v>
      </c>
    </row>
    <row r="66" spans="1:8" x14ac:dyDescent="0.2">
      <c r="A66" s="5">
        <v>925.5</v>
      </c>
      <c r="B66" s="6">
        <v>1025353</v>
      </c>
      <c r="C66" s="6">
        <f t="shared" si="0"/>
        <v>3060353</v>
      </c>
      <c r="D66" s="6">
        <v>37177.000000100001</v>
      </c>
      <c r="E66" s="2">
        <v>62</v>
      </c>
      <c r="H66" s="8">
        <f t="shared" si="1"/>
        <v>925.5</v>
      </c>
    </row>
    <row r="67" spans="1:8" x14ac:dyDescent="0.2">
      <c r="A67" s="5">
        <v>926</v>
      </c>
      <c r="B67" s="6">
        <v>1043970</v>
      </c>
      <c r="C67" s="6">
        <f t="shared" si="0"/>
        <v>3078970</v>
      </c>
      <c r="D67" s="6">
        <v>37291.000000100001</v>
      </c>
      <c r="E67" s="2">
        <v>63</v>
      </c>
      <c r="H67" s="8">
        <f t="shared" si="1"/>
        <v>926</v>
      </c>
    </row>
    <row r="68" spans="1:8" x14ac:dyDescent="0.2">
      <c r="A68" s="5">
        <v>926.5</v>
      </c>
      <c r="B68" s="6">
        <v>1062644</v>
      </c>
      <c r="C68" s="6">
        <f t="shared" si="0"/>
        <v>3097644</v>
      </c>
      <c r="D68" s="6">
        <v>37405</v>
      </c>
      <c r="E68" s="2">
        <v>64</v>
      </c>
      <c r="H68" s="8">
        <f t="shared" si="1"/>
        <v>926.5</v>
      </c>
    </row>
    <row r="69" spans="1:8" x14ac:dyDescent="0.2">
      <c r="A69" s="5">
        <v>927</v>
      </c>
      <c r="B69" s="6">
        <v>1081375</v>
      </c>
      <c r="C69" s="6">
        <f t="shared" si="0"/>
        <v>3116375</v>
      </c>
      <c r="D69" s="6">
        <v>37519</v>
      </c>
      <c r="E69" s="2">
        <v>65</v>
      </c>
      <c r="H69" s="8">
        <f t="shared" si="1"/>
        <v>927</v>
      </c>
    </row>
    <row r="70" spans="1:8" x14ac:dyDescent="0.2">
      <c r="A70" s="5">
        <v>927.5</v>
      </c>
      <c r="B70" s="6">
        <v>1100163</v>
      </c>
      <c r="C70" s="6">
        <f t="shared" ref="C70:C133" si="2">B70+$C$3</f>
        <v>3135163</v>
      </c>
      <c r="D70" s="6">
        <v>37633</v>
      </c>
      <c r="E70" s="2">
        <v>66</v>
      </c>
      <c r="H70" s="8">
        <f t="shared" ref="H70:H133" si="3">A70</f>
        <v>927.5</v>
      </c>
    </row>
    <row r="71" spans="1:8" x14ac:dyDescent="0.2">
      <c r="A71" s="5">
        <v>928</v>
      </c>
      <c r="B71" s="6">
        <v>1119008</v>
      </c>
      <c r="C71" s="6">
        <f t="shared" si="2"/>
        <v>3154008</v>
      </c>
      <c r="D71" s="6">
        <v>37746.999999899999</v>
      </c>
      <c r="E71" s="2">
        <v>67</v>
      </c>
      <c r="H71" s="8">
        <f t="shared" si="3"/>
        <v>928</v>
      </c>
    </row>
    <row r="72" spans="1:8" x14ac:dyDescent="0.2">
      <c r="A72" s="5">
        <v>928.5</v>
      </c>
      <c r="B72" s="6">
        <v>1137910</v>
      </c>
      <c r="C72" s="6">
        <f t="shared" si="2"/>
        <v>3172910</v>
      </c>
      <c r="D72" s="6">
        <v>37860.999999899999</v>
      </c>
      <c r="E72" s="2">
        <v>68</v>
      </c>
      <c r="H72" s="8">
        <f t="shared" si="3"/>
        <v>928.5</v>
      </c>
    </row>
    <row r="73" spans="1:8" x14ac:dyDescent="0.2">
      <c r="A73" s="5">
        <v>929</v>
      </c>
      <c r="B73" s="6">
        <v>1156869</v>
      </c>
      <c r="C73" s="6">
        <f t="shared" si="2"/>
        <v>3191869</v>
      </c>
      <c r="D73" s="6">
        <v>37975.000000100001</v>
      </c>
      <c r="E73" s="2">
        <v>69</v>
      </c>
      <c r="H73" s="8">
        <f t="shared" si="3"/>
        <v>929</v>
      </c>
    </row>
    <row r="74" spans="1:8" x14ac:dyDescent="0.2">
      <c r="A74" s="5">
        <v>929.5</v>
      </c>
      <c r="B74" s="6">
        <v>1175885</v>
      </c>
      <c r="C74" s="6">
        <f t="shared" si="2"/>
        <v>3210885</v>
      </c>
      <c r="D74" s="6">
        <v>38089.000000100001</v>
      </c>
      <c r="E74" s="2">
        <v>70</v>
      </c>
      <c r="H74" s="8">
        <f t="shared" si="3"/>
        <v>929.5</v>
      </c>
    </row>
    <row r="75" spans="1:8" x14ac:dyDescent="0.2">
      <c r="A75" s="5">
        <v>930</v>
      </c>
      <c r="B75" s="6">
        <v>1194958</v>
      </c>
      <c r="C75" s="6">
        <f t="shared" si="2"/>
        <v>3229958</v>
      </c>
      <c r="D75" s="6">
        <v>38203</v>
      </c>
      <c r="E75" s="2">
        <v>71</v>
      </c>
      <c r="H75" s="8">
        <f t="shared" si="3"/>
        <v>930</v>
      </c>
    </row>
    <row r="76" spans="1:8" x14ac:dyDescent="0.2">
      <c r="A76" s="5">
        <v>930.5</v>
      </c>
      <c r="B76" s="6">
        <v>1214089</v>
      </c>
      <c r="C76" s="6">
        <f t="shared" si="2"/>
        <v>3249089</v>
      </c>
      <c r="D76" s="6">
        <v>38319.999999899999</v>
      </c>
      <c r="E76" s="2">
        <v>72</v>
      </c>
      <c r="H76" s="8">
        <f t="shared" si="3"/>
        <v>930.5</v>
      </c>
    </row>
    <row r="77" spans="1:8" x14ac:dyDescent="0.2">
      <c r="A77" s="5">
        <v>931</v>
      </c>
      <c r="B77" s="6">
        <v>1233278</v>
      </c>
      <c r="C77" s="6">
        <f t="shared" si="2"/>
        <v>3268278</v>
      </c>
      <c r="D77" s="6">
        <v>38435.999999899999</v>
      </c>
      <c r="E77" s="2">
        <v>73</v>
      </c>
      <c r="H77" s="8">
        <f t="shared" si="3"/>
        <v>931</v>
      </c>
    </row>
    <row r="78" spans="1:8" x14ac:dyDescent="0.2">
      <c r="A78" s="5">
        <v>931.5</v>
      </c>
      <c r="B78" s="6">
        <v>1252525</v>
      </c>
      <c r="C78" s="6">
        <f t="shared" si="2"/>
        <v>3287525</v>
      </c>
      <c r="D78" s="6">
        <v>38551.999999899999</v>
      </c>
      <c r="E78" s="2">
        <v>74</v>
      </c>
      <c r="H78" s="8">
        <f t="shared" si="3"/>
        <v>931.5</v>
      </c>
    </row>
    <row r="79" spans="1:8" x14ac:dyDescent="0.2">
      <c r="A79" s="5">
        <v>932</v>
      </c>
      <c r="B79" s="6">
        <v>1271830</v>
      </c>
      <c r="C79" s="6">
        <f t="shared" si="2"/>
        <v>3306830</v>
      </c>
      <c r="D79" s="6">
        <v>38667.999999899999</v>
      </c>
      <c r="E79" s="2">
        <v>75</v>
      </c>
      <c r="H79" s="8">
        <f t="shared" si="3"/>
        <v>932</v>
      </c>
    </row>
    <row r="80" spans="1:8" x14ac:dyDescent="0.2">
      <c r="A80" s="5">
        <v>932.5</v>
      </c>
      <c r="B80" s="6">
        <v>1291193</v>
      </c>
      <c r="C80" s="6">
        <f t="shared" si="2"/>
        <v>3326193</v>
      </c>
      <c r="D80" s="6">
        <v>38783.999999899999</v>
      </c>
      <c r="E80" s="2">
        <v>76</v>
      </c>
      <c r="H80" s="8">
        <f t="shared" si="3"/>
        <v>932.5</v>
      </c>
    </row>
    <row r="81" spans="1:8" x14ac:dyDescent="0.2">
      <c r="A81" s="5">
        <v>933</v>
      </c>
      <c r="B81" s="6">
        <v>1310614</v>
      </c>
      <c r="C81" s="6">
        <f t="shared" si="2"/>
        <v>3345614</v>
      </c>
      <c r="D81" s="6">
        <v>38899.999999899999</v>
      </c>
      <c r="E81" s="2">
        <v>77</v>
      </c>
      <c r="H81" s="8">
        <f t="shared" si="3"/>
        <v>933</v>
      </c>
    </row>
    <row r="82" spans="1:8" x14ac:dyDescent="0.2">
      <c r="A82" s="5">
        <v>933.5</v>
      </c>
      <c r="B82" s="6">
        <v>1330093</v>
      </c>
      <c r="C82" s="6">
        <f t="shared" si="2"/>
        <v>3365093</v>
      </c>
      <c r="D82" s="6">
        <v>39015.999999899999</v>
      </c>
      <c r="E82" s="2">
        <v>78</v>
      </c>
      <c r="H82" s="8">
        <f t="shared" si="3"/>
        <v>933.5</v>
      </c>
    </row>
    <row r="83" spans="1:8" x14ac:dyDescent="0.2">
      <c r="A83" s="5">
        <v>934</v>
      </c>
      <c r="B83" s="6">
        <v>1349630</v>
      </c>
      <c r="C83" s="6">
        <f t="shared" si="2"/>
        <v>3384630</v>
      </c>
      <c r="D83" s="6">
        <v>39133.000000100001</v>
      </c>
      <c r="E83" s="2">
        <v>79</v>
      </c>
      <c r="H83" s="8">
        <f t="shared" si="3"/>
        <v>934</v>
      </c>
    </row>
    <row r="84" spans="1:8" x14ac:dyDescent="0.2">
      <c r="A84" s="5">
        <v>934.5</v>
      </c>
      <c r="B84" s="6">
        <v>1369226</v>
      </c>
      <c r="C84" s="6">
        <f t="shared" si="2"/>
        <v>3404226</v>
      </c>
      <c r="D84" s="6">
        <v>39249.000000100001</v>
      </c>
      <c r="E84" s="2">
        <v>80</v>
      </c>
      <c r="H84" s="8">
        <f t="shared" si="3"/>
        <v>934.5</v>
      </c>
    </row>
    <row r="85" spans="1:8" x14ac:dyDescent="0.2">
      <c r="A85" s="5">
        <v>935</v>
      </c>
      <c r="B85" s="6">
        <v>1388879</v>
      </c>
      <c r="C85" s="6">
        <f t="shared" si="2"/>
        <v>3423879</v>
      </c>
      <c r="D85" s="6">
        <v>39365.000000100001</v>
      </c>
      <c r="E85" s="2">
        <v>81</v>
      </c>
      <c r="H85" s="8">
        <f t="shared" si="3"/>
        <v>935</v>
      </c>
    </row>
    <row r="86" spans="1:8" x14ac:dyDescent="0.2">
      <c r="A86" s="5">
        <v>935.5</v>
      </c>
      <c r="B86" s="6">
        <v>1408591</v>
      </c>
      <c r="C86" s="6">
        <f t="shared" si="2"/>
        <v>3443591</v>
      </c>
      <c r="D86" s="6">
        <v>39481.000000100001</v>
      </c>
      <c r="E86" s="2">
        <v>82</v>
      </c>
      <c r="H86" s="8">
        <f t="shared" si="3"/>
        <v>935.5</v>
      </c>
    </row>
    <row r="87" spans="1:8" x14ac:dyDescent="0.2">
      <c r="A87" s="5">
        <v>936</v>
      </c>
      <c r="B87" s="6">
        <v>1428360</v>
      </c>
      <c r="C87" s="6">
        <f t="shared" si="2"/>
        <v>3463360</v>
      </c>
      <c r="D87" s="6">
        <v>39597.000000100001</v>
      </c>
      <c r="E87" s="2">
        <v>83</v>
      </c>
      <c r="H87" s="8">
        <f t="shared" si="3"/>
        <v>936</v>
      </c>
    </row>
    <row r="88" spans="1:8" x14ac:dyDescent="0.2">
      <c r="A88" s="5">
        <v>936.5</v>
      </c>
      <c r="B88" s="6">
        <v>1448188</v>
      </c>
      <c r="C88" s="6">
        <f t="shared" si="2"/>
        <v>3483188</v>
      </c>
      <c r="D88" s="6">
        <v>39713.000000100001</v>
      </c>
      <c r="E88" s="2">
        <v>84</v>
      </c>
      <c r="H88" s="8">
        <f t="shared" si="3"/>
        <v>936.5</v>
      </c>
    </row>
    <row r="89" spans="1:8" x14ac:dyDescent="0.2">
      <c r="A89" s="5">
        <v>937</v>
      </c>
      <c r="B89" s="6">
        <v>1468074</v>
      </c>
      <c r="C89" s="6">
        <f t="shared" si="2"/>
        <v>3503074</v>
      </c>
      <c r="D89" s="6">
        <v>39830</v>
      </c>
      <c r="E89" s="2">
        <v>85</v>
      </c>
      <c r="H89" s="8">
        <f t="shared" si="3"/>
        <v>937</v>
      </c>
    </row>
    <row r="90" spans="1:8" x14ac:dyDescent="0.2">
      <c r="A90" s="5">
        <v>937.5</v>
      </c>
      <c r="B90" s="6">
        <v>1488018</v>
      </c>
      <c r="C90" s="6">
        <f t="shared" si="2"/>
        <v>3523018</v>
      </c>
      <c r="D90" s="6">
        <v>39946</v>
      </c>
      <c r="E90" s="2">
        <v>86</v>
      </c>
      <c r="H90" s="8">
        <f t="shared" si="3"/>
        <v>937.5</v>
      </c>
    </row>
    <row r="91" spans="1:8" x14ac:dyDescent="0.2">
      <c r="A91" s="5">
        <v>938</v>
      </c>
      <c r="B91" s="6">
        <v>1508019</v>
      </c>
      <c r="C91" s="6">
        <f t="shared" si="2"/>
        <v>3543019</v>
      </c>
      <c r="D91" s="6">
        <v>40062</v>
      </c>
      <c r="E91" s="2">
        <v>87</v>
      </c>
      <c r="H91" s="8">
        <f t="shared" si="3"/>
        <v>938</v>
      </c>
    </row>
    <row r="92" spans="1:8" x14ac:dyDescent="0.2">
      <c r="A92" s="5">
        <v>938.5</v>
      </c>
      <c r="B92" s="6">
        <v>1528079</v>
      </c>
      <c r="C92" s="6">
        <f t="shared" si="2"/>
        <v>3563079</v>
      </c>
      <c r="D92" s="6">
        <v>40178</v>
      </c>
      <c r="E92" s="2">
        <v>88</v>
      </c>
      <c r="H92" s="8">
        <f t="shared" si="3"/>
        <v>938.5</v>
      </c>
    </row>
    <row r="93" spans="1:8" x14ac:dyDescent="0.2">
      <c r="A93" s="5">
        <v>939</v>
      </c>
      <c r="B93" s="6">
        <v>1548198</v>
      </c>
      <c r="C93" s="6">
        <f t="shared" si="2"/>
        <v>3583198</v>
      </c>
      <c r="D93" s="6">
        <v>40294</v>
      </c>
      <c r="E93" s="2">
        <v>89</v>
      </c>
      <c r="H93" s="8">
        <f t="shared" si="3"/>
        <v>939</v>
      </c>
    </row>
    <row r="94" spans="1:8" x14ac:dyDescent="0.2">
      <c r="A94" s="5">
        <v>939.5</v>
      </c>
      <c r="B94" s="6">
        <v>1568374</v>
      </c>
      <c r="C94" s="6">
        <f t="shared" si="2"/>
        <v>3603374</v>
      </c>
      <c r="D94" s="6">
        <v>40410</v>
      </c>
      <c r="E94" s="2">
        <v>90</v>
      </c>
      <c r="H94" s="8">
        <f t="shared" si="3"/>
        <v>939.5</v>
      </c>
    </row>
    <row r="95" spans="1:8" x14ac:dyDescent="0.2">
      <c r="A95" s="5">
        <v>940</v>
      </c>
      <c r="B95" s="6">
        <v>1588608</v>
      </c>
      <c r="C95" s="6">
        <f t="shared" si="2"/>
        <v>3623608</v>
      </c>
      <c r="D95" s="6">
        <v>40527.000000100001</v>
      </c>
      <c r="E95" s="2">
        <v>91</v>
      </c>
      <c r="H95" s="8">
        <f t="shared" si="3"/>
        <v>940</v>
      </c>
    </row>
    <row r="96" spans="1:8" x14ac:dyDescent="0.2">
      <c r="A96" s="5">
        <v>940.5</v>
      </c>
      <c r="B96" s="6">
        <v>1608900</v>
      </c>
      <c r="C96" s="6">
        <f t="shared" si="2"/>
        <v>3643900</v>
      </c>
      <c r="D96" s="6">
        <v>40644</v>
      </c>
      <c r="E96" s="2">
        <v>92</v>
      </c>
      <c r="H96" s="8">
        <f t="shared" si="3"/>
        <v>940.5</v>
      </c>
    </row>
    <row r="97" spans="1:8" x14ac:dyDescent="0.2">
      <c r="A97" s="5">
        <v>941</v>
      </c>
      <c r="B97" s="6">
        <v>1629251</v>
      </c>
      <c r="C97" s="6">
        <f t="shared" si="2"/>
        <v>3664251</v>
      </c>
      <c r="D97" s="6">
        <v>40760.999999899999</v>
      </c>
      <c r="E97" s="2">
        <v>93</v>
      </c>
      <c r="H97" s="8">
        <f t="shared" si="3"/>
        <v>941</v>
      </c>
    </row>
    <row r="98" spans="1:8" x14ac:dyDescent="0.2">
      <c r="A98" s="5">
        <v>941.5</v>
      </c>
      <c r="B98" s="6">
        <v>1649661</v>
      </c>
      <c r="C98" s="6">
        <f t="shared" si="2"/>
        <v>3684661</v>
      </c>
      <c r="D98" s="6">
        <v>40878</v>
      </c>
      <c r="E98" s="2">
        <v>94</v>
      </c>
      <c r="H98" s="8">
        <f t="shared" si="3"/>
        <v>941.5</v>
      </c>
    </row>
    <row r="99" spans="1:8" x14ac:dyDescent="0.2">
      <c r="A99" s="5">
        <v>942</v>
      </c>
      <c r="B99" s="6">
        <v>1670130</v>
      </c>
      <c r="C99" s="6">
        <f t="shared" si="2"/>
        <v>3705130</v>
      </c>
      <c r="D99" s="6">
        <v>40994.999999899999</v>
      </c>
      <c r="E99" s="2">
        <v>95</v>
      </c>
      <c r="H99" s="8">
        <f t="shared" si="3"/>
        <v>942</v>
      </c>
    </row>
    <row r="100" spans="1:8" x14ac:dyDescent="0.2">
      <c r="A100" s="5">
        <v>942.5</v>
      </c>
      <c r="B100" s="6">
        <v>1690656</v>
      </c>
      <c r="C100" s="6">
        <f t="shared" si="2"/>
        <v>3725656</v>
      </c>
      <c r="D100" s="6">
        <v>41112.000000100001</v>
      </c>
      <c r="E100" s="2">
        <v>96</v>
      </c>
      <c r="H100" s="8">
        <f t="shared" si="3"/>
        <v>942.5</v>
      </c>
    </row>
    <row r="101" spans="1:8" x14ac:dyDescent="0.2">
      <c r="A101" s="5">
        <v>943</v>
      </c>
      <c r="B101" s="6">
        <v>1711242</v>
      </c>
      <c r="C101" s="6">
        <f t="shared" si="2"/>
        <v>3746242</v>
      </c>
      <c r="D101" s="6">
        <v>41229</v>
      </c>
      <c r="E101" s="2">
        <v>97</v>
      </c>
      <c r="H101" s="8">
        <f t="shared" si="3"/>
        <v>943</v>
      </c>
    </row>
    <row r="102" spans="1:8" x14ac:dyDescent="0.2">
      <c r="A102" s="5">
        <v>943.5</v>
      </c>
      <c r="B102" s="6">
        <v>1731886</v>
      </c>
      <c r="C102" s="6">
        <f t="shared" si="2"/>
        <v>3766886</v>
      </c>
      <c r="D102" s="6">
        <v>41346.000000100001</v>
      </c>
      <c r="E102" s="2">
        <v>98</v>
      </c>
      <c r="H102" s="8">
        <f t="shared" si="3"/>
        <v>943.5</v>
      </c>
    </row>
    <row r="103" spans="1:8" x14ac:dyDescent="0.2">
      <c r="A103" s="5">
        <v>944</v>
      </c>
      <c r="B103" s="6">
        <v>1752588</v>
      </c>
      <c r="C103" s="6">
        <f t="shared" si="2"/>
        <v>3787588</v>
      </c>
      <c r="D103" s="6">
        <v>41463</v>
      </c>
      <c r="E103" s="2">
        <v>99</v>
      </c>
      <c r="H103" s="8">
        <f t="shared" si="3"/>
        <v>944</v>
      </c>
    </row>
    <row r="104" spans="1:8" x14ac:dyDescent="0.2">
      <c r="A104" s="5">
        <v>944.5</v>
      </c>
      <c r="B104" s="6">
        <v>1773349</v>
      </c>
      <c r="C104" s="6">
        <f t="shared" si="2"/>
        <v>3808349</v>
      </c>
      <c r="D104" s="6">
        <v>41581</v>
      </c>
      <c r="E104" s="2">
        <v>100</v>
      </c>
      <c r="H104" s="8">
        <f t="shared" si="3"/>
        <v>944.5</v>
      </c>
    </row>
    <row r="105" spans="1:8" x14ac:dyDescent="0.2">
      <c r="A105" s="5">
        <v>945</v>
      </c>
      <c r="B105" s="6">
        <v>1794169</v>
      </c>
      <c r="C105" s="6">
        <f t="shared" si="2"/>
        <v>3829169</v>
      </c>
      <c r="D105" s="6">
        <v>41697.999999899999</v>
      </c>
      <c r="E105" s="2">
        <v>101</v>
      </c>
      <c r="H105" s="8">
        <f t="shared" si="3"/>
        <v>945</v>
      </c>
    </row>
    <row r="106" spans="1:8" x14ac:dyDescent="0.2">
      <c r="A106" s="5">
        <v>945.5</v>
      </c>
      <c r="B106" s="6">
        <v>1815047</v>
      </c>
      <c r="C106" s="6">
        <f t="shared" si="2"/>
        <v>3850047</v>
      </c>
      <c r="D106" s="6">
        <v>41815.000000100001</v>
      </c>
      <c r="E106" s="2">
        <v>102</v>
      </c>
      <c r="H106" s="8">
        <f t="shared" si="3"/>
        <v>945.5</v>
      </c>
    </row>
    <row r="107" spans="1:8" x14ac:dyDescent="0.2">
      <c r="A107" s="5">
        <v>946</v>
      </c>
      <c r="B107" s="6">
        <v>1835984</v>
      </c>
      <c r="C107" s="6">
        <f t="shared" si="2"/>
        <v>3870984</v>
      </c>
      <c r="D107" s="6">
        <v>41932</v>
      </c>
      <c r="E107" s="2">
        <v>103</v>
      </c>
      <c r="H107" s="8">
        <f t="shared" si="3"/>
        <v>946</v>
      </c>
    </row>
    <row r="108" spans="1:8" x14ac:dyDescent="0.2">
      <c r="A108" s="5">
        <v>946.5</v>
      </c>
      <c r="B108" s="6">
        <v>1856979</v>
      </c>
      <c r="C108" s="6">
        <f t="shared" si="2"/>
        <v>3891979</v>
      </c>
      <c r="D108" s="6">
        <v>42048.999999899999</v>
      </c>
      <c r="E108" s="2">
        <v>104</v>
      </c>
      <c r="H108" s="8">
        <f t="shared" si="3"/>
        <v>946.5</v>
      </c>
    </row>
    <row r="109" spans="1:8" x14ac:dyDescent="0.2">
      <c r="A109" s="5">
        <v>947</v>
      </c>
      <c r="B109" s="6">
        <v>1878033</v>
      </c>
      <c r="C109" s="6">
        <f t="shared" si="2"/>
        <v>3913033</v>
      </c>
      <c r="D109" s="6">
        <v>42166</v>
      </c>
      <c r="E109" s="2">
        <v>105</v>
      </c>
      <c r="H109" s="8">
        <f t="shared" si="3"/>
        <v>947</v>
      </c>
    </row>
    <row r="110" spans="1:8" x14ac:dyDescent="0.2">
      <c r="A110" s="5">
        <v>947.5</v>
      </c>
      <c r="B110" s="6">
        <v>1899145</v>
      </c>
      <c r="C110" s="6">
        <f t="shared" si="2"/>
        <v>3934145</v>
      </c>
      <c r="D110" s="6">
        <v>42282.999999899999</v>
      </c>
      <c r="E110" s="2">
        <v>106</v>
      </c>
      <c r="H110" s="8">
        <f t="shared" si="3"/>
        <v>947.5</v>
      </c>
    </row>
    <row r="111" spans="1:8" x14ac:dyDescent="0.2">
      <c r="A111" s="5">
        <v>948</v>
      </c>
      <c r="B111" s="6">
        <v>1920316</v>
      </c>
      <c r="C111" s="6">
        <f t="shared" si="2"/>
        <v>3955316</v>
      </c>
      <c r="D111" s="6">
        <v>42400.000000100001</v>
      </c>
      <c r="E111" s="2">
        <v>107</v>
      </c>
      <c r="H111" s="8">
        <f t="shared" si="3"/>
        <v>948</v>
      </c>
    </row>
    <row r="112" spans="1:8" x14ac:dyDescent="0.2">
      <c r="A112" s="5">
        <v>948.5</v>
      </c>
      <c r="B112" s="6">
        <v>1941545</v>
      </c>
      <c r="C112" s="6">
        <f t="shared" si="2"/>
        <v>3976545</v>
      </c>
      <c r="D112" s="6">
        <v>42518.000000100001</v>
      </c>
      <c r="E112" s="2">
        <v>108</v>
      </c>
      <c r="H112" s="8">
        <f t="shared" si="3"/>
        <v>948.5</v>
      </c>
    </row>
    <row r="113" spans="1:8" x14ac:dyDescent="0.2">
      <c r="A113" s="5">
        <v>949</v>
      </c>
      <c r="B113" s="6">
        <v>1962834</v>
      </c>
      <c r="C113" s="6">
        <f t="shared" si="2"/>
        <v>3997834</v>
      </c>
      <c r="D113" s="6">
        <v>42635</v>
      </c>
      <c r="E113" s="2">
        <v>109</v>
      </c>
      <c r="H113" s="8">
        <f t="shared" si="3"/>
        <v>949</v>
      </c>
    </row>
    <row r="114" spans="1:8" x14ac:dyDescent="0.2">
      <c r="A114" s="5">
        <v>949.5</v>
      </c>
      <c r="B114" s="6">
        <v>1984180</v>
      </c>
      <c r="C114" s="6">
        <f t="shared" si="2"/>
        <v>4019180</v>
      </c>
      <c r="D114" s="6">
        <v>42751.999999899999</v>
      </c>
      <c r="E114" s="2">
        <v>110</v>
      </c>
      <c r="H114" s="8">
        <f t="shared" si="3"/>
        <v>949.5</v>
      </c>
    </row>
    <row r="115" spans="1:8" x14ac:dyDescent="0.2">
      <c r="A115" s="5">
        <v>950</v>
      </c>
      <c r="B115" s="6">
        <v>2005585</v>
      </c>
      <c r="C115" s="6">
        <f t="shared" si="2"/>
        <v>4040585</v>
      </c>
      <c r="D115" s="6">
        <v>42869</v>
      </c>
      <c r="E115" s="2">
        <v>111</v>
      </c>
      <c r="H115" s="8">
        <f t="shared" si="3"/>
        <v>950</v>
      </c>
    </row>
    <row r="116" spans="1:8" x14ac:dyDescent="0.2">
      <c r="A116" s="5">
        <v>950.5</v>
      </c>
      <c r="B116" s="6">
        <v>2027052</v>
      </c>
      <c r="C116" s="6">
        <f t="shared" si="2"/>
        <v>4062052</v>
      </c>
      <c r="D116" s="6">
        <v>42999.000000100001</v>
      </c>
      <c r="E116" s="2">
        <v>112</v>
      </c>
      <c r="H116" s="8">
        <f t="shared" si="3"/>
        <v>950.5</v>
      </c>
    </row>
    <row r="117" spans="1:8" x14ac:dyDescent="0.2">
      <c r="A117" s="5">
        <v>951</v>
      </c>
      <c r="B117" s="6">
        <v>2048584</v>
      </c>
      <c r="C117" s="6">
        <f t="shared" si="2"/>
        <v>4083584</v>
      </c>
      <c r="D117" s="6">
        <v>43127.999999899999</v>
      </c>
      <c r="E117" s="2">
        <v>113</v>
      </c>
      <c r="H117" s="8">
        <f t="shared" si="3"/>
        <v>951</v>
      </c>
    </row>
    <row r="118" spans="1:8" x14ac:dyDescent="0.2">
      <c r="A118" s="5">
        <v>951.5</v>
      </c>
      <c r="B118" s="6">
        <v>2070180</v>
      </c>
      <c r="C118" s="6">
        <f t="shared" si="2"/>
        <v>4105180</v>
      </c>
      <c r="D118" s="6">
        <v>43258</v>
      </c>
      <c r="E118" s="2">
        <v>114</v>
      </c>
      <c r="H118" s="8">
        <f t="shared" si="3"/>
        <v>951.5</v>
      </c>
    </row>
    <row r="119" spans="1:8" x14ac:dyDescent="0.2">
      <c r="A119" s="5">
        <v>952</v>
      </c>
      <c r="B119" s="6">
        <v>2091842</v>
      </c>
      <c r="C119" s="6">
        <f t="shared" si="2"/>
        <v>4126842</v>
      </c>
      <c r="D119" s="6">
        <v>43387.000000100001</v>
      </c>
      <c r="E119" s="2">
        <v>115</v>
      </c>
      <c r="H119" s="8">
        <f t="shared" si="3"/>
        <v>952</v>
      </c>
    </row>
    <row r="120" spans="1:8" x14ac:dyDescent="0.2">
      <c r="A120" s="5">
        <v>952.5</v>
      </c>
      <c r="B120" s="6">
        <v>2113568</v>
      </c>
      <c r="C120" s="6">
        <f t="shared" si="2"/>
        <v>4148568</v>
      </c>
      <c r="D120" s="6">
        <v>43517.000000100001</v>
      </c>
      <c r="E120" s="2">
        <v>116</v>
      </c>
      <c r="H120" s="8">
        <f t="shared" si="3"/>
        <v>952.5</v>
      </c>
    </row>
    <row r="121" spans="1:8" x14ac:dyDescent="0.2">
      <c r="A121" s="5">
        <v>953</v>
      </c>
      <c r="B121" s="6">
        <v>2135358</v>
      </c>
      <c r="C121" s="6">
        <f t="shared" si="2"/>
        <v>4170358</v>
      </c>
      <c r="D121" s="6">
        <v>43646.999999899999</v>
      </c>
      <c r="E121" s="2">
        <v>117</v>
      </c>
      <c r="H121" s="8">
        <f t="shared" si="3"/>
        <v>953</v>
      </c>
    </row>
    <row r="122" spans="1:8" x14ac:dyDescent="0.2">
      <c r="A122" s="5">
        <v>953.5</v>
      </c>
      <c r="B122" s="6">
        <v>2157214</v>
      </c>
      <c r="C122" s="6">
        <f t="shared" si="2"/>
        <v>4192214</v>
      </c>
      <c r="D122" s="6">
        <v>43776</v>
      </c>
      <c r="E122" s="2">
        <v>118</v>
      </c>
      <c r="H122" s="8">
        <f t="shared" si="3"/>
        <v>953.5</v>
      </c>
    </row>
    <row r="123" spans="1:8" x14ac:dyDescent="0.2">
      <c r="A123" s="5">
        <v>954</v>
      </c>
      <c r="B123" s="6">
        <v>2179135</v>
      </c>
      <c r="C123" s="6">
        <f t="shared" si="2"/>
        <v>4214135</v>
      </c>
      <c r="D123" s="6">
        <v>43906</v>
      </c>
      <c r="E123" s="2">
        <v>119</v>
      </c>
      <c r="H123" s="8">
        <f t="shared" si="3"/>
        <v>954</v>
      </c>
    </row>
    <row r="124" spans="1:8" x14ac:dyDescent="0.2">
      <c r="A124" s="5">
        <v>954.5</v>
      </c>
      <c r="B124" s="6">
        <v>2201120</v>
      </c>
      <c r="C124" s="6">
        <f t="shared" si="2"/>
        <v>4236120</v>
      </c>
      <c r="D124" s="6">
        <v>44034.999999899999</v>
      </c>
      <c r="E124" s="2">
        <v>120</v>
      </c>
      <c r="H124" s="8">
        <f t="shared" si="3"/>
        <v>954.5</v>
      </c>
    </row>
    <row r="125" spans="1:8" x14ac:dyDescent="0.2">
      <c r="A125" s="5">
        <v>955</v>
      </c>
      <c r="B125" s="6">
        <v>2223170</v>
      </c>
      <c r="C125" s="6">
        <f t="shared" si="2"/>
        <v>4258170</v>
      </c>
      <c r="D125" s="6">
        <v>44164.999999899999</v>
      </c>
      <c r="E125" s="2">
        <v>121</v>
      </c>
      <c r="H125" s="8">
        <f t="shared" si="3"/>
        <v>955</v>
      </c>
    </row>
    <row r="126" spans="1:8" x14ac:dyDescent="0.2">
      <c r="A126" s="5">
        <v>955.5</v>
      </c>
      <c r="B126" s="6">
        <v>2245285</v>
      </c>
      <c r="C126" s="6">
        <f t="shared" si="2"/>
        <v>4280285</v>
      </c>
      <c r="D126" s="6">
        <v>44294.999999899999</v>
      </c>
      <c r="E126" s="2">
        <v>122</v>
      </c>
      <c r="H126" s="8">
        <f t="shared" si="3"/>
        <v>955.5</v>
      </c>
    </row>
    <row r="127" spans="1:8" x14ac:dyDescent="0.2">
      <c r="A127" s="5">
        <v>956</v>
      </c>
      <c r="B127" s="6">
        <v>2267464</v>
      </c>
      <c r="C127" s="6">
        <f t="shared" si="2"/>
        <v>4302464</v>
      </c>
      <c r="D127" s="6">
        <v>44424.000000100001</v>
      </c>
      <c r="E127" s="2">
        <v>123</v>
      </c>
      <c r="H127" s="8">
        <f t="shared" si="3"/>
        <v>956</v>
      </c>
    </row>
    <row r="128" spans="1:8" x14ac:dyDescent="0.2">
      <c r="A128" s="5">
        <v>956.5</v>
      </c>
      <c r="B128" s="6">
        <v>2289709</v>
      </c>
      <c r="C128" s="6">
        <f t="shared" si="2"/>
        <v>4324709</v>
      </c>
      <c r="D128" s="6">
        <v>44554.000000100001</v>
      </c>
      <c r="E128" s="2">
        <v>124</v>
      </c>
      <c r="H128" s="8">
        <f t="shared" si="3"/>
        <v>956.5</v>
      </c>
    </row>
    <row r="129" spans="1:8" x14ac:dyDescent="0.2">
      <c r="A129" s="5">
        <v>957</v>
      </c>
      <c r="B129" s="6">
        <v>2312018</v>
      </c>
      <c r="C129" s="6">
        <f t="shared" si="2"/>
        <v>4347018</v>
      </c>
      <c r="D129" s="6">
        <v>44683</v>
      </c>
      <c r="E129" s="2">
        <v>125</v>
      </c>
      <c r="H129" s="8">
        <f t="shared" si="3"/>
        <v>957</v>
      </c>
    </row>
    <row r="130" spans="1:8" x14ac:dyDescent="0.2">
      <c r="A130" s="5">
        <v>957.5</v>
      </c>
      <c r="B130" s="6">
        <v>2334392</v>
      </c>
      <c r="C130" s="6">
        <f t="shared" si="2"/>
        <v>4369392</v>
      </c>
      <c r="D130" s="6">
        <v>44813</v>
      </c>
      <c r="E130" s="2">
        <v>126</v>
      </c>
      <c r="H130" s="8">
        <f t="shared" si="3"/>
        <v>957.5</v>
      </c>
    </row>
    <row r="131" spans="1:8" x14ac:dyDescent="0.2">
      <c r="A131" s="5">
        <v>958</v>
      </c>
      <c r="B131" s="6">
        <v>2356831</v>
      </c>
      <c r="C131" s="6">
        <f t="shared" si="2"/>
        <v>4391831</v>
      </c>
      <c r="D131" s="6">
        <v>44943</v>
      </c>
      <c r="E131" s="2">
        <v>127</v>
      </c>
      <c r="H131" s="8">
        <f t="shared" si="3"/>
        <v>958</v>
      </c>
    </row>
    <row r="132" spans="1:8" x14ac:dyDescent="0.2">
      <c r="A132" s="5">
        <v>958.5</v>
      </c>
      <c r="B132" s="6">
        <v>2379335</v>
      </c>
      <c r="C132" s="6">
        <f t="shared" si="2"/>
        <v>4414335</v>
      </c>
      <c r="D132" s="6">
        <v>45071.999999899999</v>
      </c>
      <c r="E132" s="2">
        <v>128</v>
      </c>
      <c r="H132" s="8">
        <f t="shared" si="3"/>
        <v>958.5</v>
      </c>
    </row>
    <row r="133" spans="1:8" x14ac:dyDescent="0.2">
      <c r="A133" s="5">
        <v>959</v>
      </c>
      <c r="B133" s="6">
        <v>2401903</v>
      </c>
      <c r="C133" s="6">
        <f t="shared" si="2"/>
        <v>4436903</v>
      </c>
      <c r="D133" s="6">
        <v>45201.999999899999</v>
      </c>
      <c r="E133" s="2">
        <v>129</v>
      </c>
      <c r="H133" s="8">
        <f t="shared" si="3"/>
        <v>959</v>
      </c>
    </row>
    <row r="134" spans="1:8" x14ac:dyDescent="0.2">
      <c r="A134" s="5">
        <v>959.5</v>
      </c>
      <c r="B134" s="6">
        <v>2424536</v>
      </c>
      <c r="C134" s="6">
        <f t="shared" ref="C134:C197" si="4">B134+$C$3</f>
        <v>4459536</v>
      </c>
      <c r="D134" s="6">
        <v>45331</v>
      </c>
      <c r="E134" s="2">
        <v>130</v>
      </c>
      <c r="H134" s="8">
        <f t="shared" ref="H134:H197" si="5">A134</f>
        <v>959.5</v>
      </c>
    </row>
    <row r="135" spans="1:8" x14ac:dyDescent="0.2">
      <c r="A135" s="5">
        <v>960</v>
      </c>
      <c r="B135" s="6">
        <v>2447235</v>
      </c>
      <c r="C135" s="6">
        <f t="shared" si="4"/>
        <v>4482235</v>
      </c>
      <c r="D135" s="6">
        <v>45461.000000100001</v>
      </c>
      <c r="E135" s="2">
        <v>131</v>
      </c>
      <c r="H135" s="8">
        <f t="shared" si="5"/>
        <v>960</v>
      </c>
    </row>
    <row r="136" spans="1:8" x14ac:dyDescent="0.2">
      <c r="A136" s="5">
        <v>960.5</v>
      </c>
      <c r="B136" s="6">
        <v>2469995</v>
      </c>
      <c r="C136" s="6">
        <f t="shared" si="4"/>
        <v>4504995</v>
      </c>
      <c r="D136" s="6">
        <v>45580</v>
      </c>
      <c r="E136" s="2">
        <v>132</v>
      </c>
      <c r="H136" s="8">
        <f t="shared" si="5"/>
        <v>960.5</v>
      </c>
    </row>
    <row r="137" spans="1:8" x14ac:dyDescent="0.2">
      <c r="A137" s="5">
        <v>961</v>
      </c>
      <c r="B137" s="6">
        <v>2492815</v>
      </c>
      <c r="C137" s="6">
        <f t="shared" si="4"/>
        <v>4527815</v>
      </c>
      <c r="D137" s="6">
        <v>45700.000000100001</v>
      </c>
      <c r="E137" s="2">
        <v>133</v>
      </c>
      <c r="H137" s="8">
        <f t="shared" si="5"/>
        <v>961</v>
      </c>
    </row>
    <row r="138" spans="1:8" x14ac:dyDescent="0.2">
      <c r="A138" s="5">
        <v>961.5</v>
      </c>
      <c r="B138" s="6">
        <v>2515695</v>
      </c>
      <c r="C138" s="6">
        <f t="shared" si="4"/>
        <v>4550695</v>
      </c>
      <c r="D138" s="6">
        <v>45819</v>
      </c>
      <c r="E138" s="2">
        <v>134</v>
      </c>
      <c r="H138" s="8">
        <f t="shared" si="5"/>
        <v>961.5</v>
      </c>
    </row>
    <row r="139" spans="1:8" x14ac:dyDescent="0.2">
      <c r="A139" s="5">
        <v>962</v>
      </c>
      <c r="B139" s="6">
        <v>2538634</v>
      </c>
      <c r="C139" s="6">
        <f t="shared" si="4"/>
        <v>4573634</v>
      </c>
      <c r="D139" s="6">
        <v>45937.999999899999</v>
      </c>
      <c r="E139" s="2">
        <v>135</v>
      </c>
      <c r="H139" s="8">
        <f t="shared" si="5"/>
        <v>962</v>
      </c>
    </row>
    <row r="140" spans="1:8" x14ac:dyDescent="0.2">
      <c r="A140" s="5">
        <v>962.5</v>
      </c>
      <c r="B140" s="6">
        <v>2561633</v>
      </c>
      <c r="C140" s="6">
        <f t="shared" si="4"/>
        <v>4596633</v>
      </c>
      <c r="D140" s="6">
        <v>46056.999999899999</v>
      </c>
      <c r="E140" s="2">
        <v>136</v>
      </c>
      <c r="H140" s="8">
        <f t="shared" si="5"/>
        <v>962.5</v>
      </c>
    </row>
    <row r="141" spans="1:8" x14ac:dyDescent="0.2">
      <c r="A141" s="5">
        <v>963</v>
      </c>
      <c r="B141" s="6">
        <v>2584691</v>
      </c>
      <c r="C141" s="6">
        <f t="shared" si="4"/>
        <v>4619691</v>
      </c>
      <c r="D141" s="6">
        <v>46177</v>
      </c>
      <c r="E141" s="2">
        <v>137</v>
      </c>
      <c r="H141" s="8">
        <f t="shared" si="5"/>
        <v>963</v>
      </c>
    </row>
    <row r="142" spans="1:8" x14ac:dyDescent="0.2">
      <c r="A142" s="5">
        <v>963.5</v>
      </c>
      <c r="B142" s="6">
        <v>2607809</v>
      </c>
      <c r="C142" s="6">
        <f t="shared" si="4"/>
        <v>4642809</v>
      </c>
      <c r="D142" s="6">
        <v>46295.999999899999</v>
      </c>
      <c r="E142" s="2">
        <v>138</v>
      </c>
      <c r="H142" s="8">
        <f t="shared" si="5"/>
        <v>963.5</v>
      </c>
    </row>
    <row r="143" spans="1:8" x14ac:dyDescent="0.2">
      <c r="A143" s="5">
        <v>964</v>
      </c>
      <c r="B143" s="6">
        <v>2630987</v>
      </c>
      <c r="C143" s="6">
        <f t="shared" si="4"/>
        <v>4665987</v>
      </c>
      <c r="D143" s="6">
        <v>46415.000000100001</v>
      </c>
      <c r="E143" s="2">
        <v>139</v>
      </c>
      <c r="H143" s="8">
        <f t="shared" si="5"/>
        <v>964</v>
      </c>
    </row>
    <row r="144" spans="1:8" x14ac:dyDescent="0.2">
      <c r="A144" s="5">
        <v>964.5</v>
      </c>
      <c r="B144" s="6">
        <v>2654225</v>
      </c>
      <c r="C144" s="6">
        <f t="shared" si="4"/>
        <v>4689225</v>
      </c>
      <c r="D144" s="6">
        <v>46534</v>
      </c>
      <c r="E144" s="2">
        <v>140</v>
      </c>
      <c r="H144" s="8">
        <f t="shared" si="5"/>
        <v>964.5</v>
      </c>
    </row>
    <row r="145" spans="1:8" x14ac:dyDescent="0.2">
      <c r="A145" s="5">
        <v>965</v>
      </c>
      <c r="B145" s="6">
        <v>2677522</v>
      </c>
      <c r="C145" s="6">
        <f t="shared" si="4"/>
        <v>4712522</v>
      </c>
      <c r="D145" s="6">
        <v>46654.000000100001</v>
      </c>
      <c r="E145" s="2">
        <v>141</v>
      </c>
      <c r="H145" s="8">
        <f t="shared" si="5"/>
        <v>965</v>
      </c>
    </row>
    <row r="146" spans="1:8" x14ac:dyDescent="0.2">
      <c r="A146" s="5">
        <v>965.5</v>
      </c>
      <c r="B146" s="6">
        <v>2700878</v>
      </c>
      <c r="C146" s="6">
        <f t="shared" si="4"/>
        <v>4735878</v>
      </c>
      <c r="D146" s="6">
        <v>46773</v>
      </c>
      <c r="E146" s="2">
        <v>142</v>
      </c>
      <c r="H146" s="8">
        <f t="shared" si="5"/>
        <v>965.5</v>
      </c>
    </row>
    <row r="147" spans="1:8" x14ac:dyDescent="0.2">
      <c r="A147" s="5">
        <v>966</v>
      </c>
      <c r="B147" s="6">
        <v>2724295</v>
      </c>
      <c r="C147" s="6">
        <f t="shared" si="4"/>
        <v>4759295</v>
      </c>
      <c r="D147" s="6">
        <v>46892</v>
      </c>
      <c r="E147" s="2">
        <v>143</v>
      </c>
      <c r="H147" s="8">
        <f t="shared" si="5"/>
        <v>966</v>
      </c>
    </row>
    <row r="148" spans="1:8" x14ac:dyDescent="0.2">
      <c r="A148" s="5">
        <v>966.5</v>
      </c>
      <c r="B148" s="6">
        <v>2747771</v>
      </c>
      <c r="C148" s="6">
        <f t="shared" si="4"/>
        <v>4782771</v>
      </c>
      <c r="D148" s="6">
        <v>47012</v>
      </c>
      <c r="E148" s="2">
        <v>144</v>
      </c>
      <c r="H148" s="8">
        <f t="shared" si="5"/>
        <v>966.5</v>
      </c>
    </row>
    <row r="149" spans="1:8" x14ac:dyDescent="0.2">
      <c r="A149" s="5">
        <v>967</v>
      </c>
      <c r="B149" s="6">
        <v>2771306</v>
      </c>
      <c r="C149" s="6">
        <f t="shared" si="4"/>
        <v>4806306</v>
      </c>
      <c r="D149" s="6">
        <v>47131</v>
      </c>
      <c r="E149" s="2">
        <v>145</v>
      </c>
      <c r="H149" s="8">
        <f t="shared" si="5"/>
        <v>967</v>
      </c>
    </row>
    <row r="150" spans="1:8" x14ac:dyDescent="0.2">
      <c r="A150" s="5">
        <v>967.5</v>
      </c>
      <c r="B150" s="6">
        <v>2794901</v>
      </c>
      <c r="C150" s="6">
        <f t="shared" si="4"/>
        <v>4829901</v>
      </c>
      <c r="D150" s="6">
        <v>47249.999999899999</v>
      </c>
      <c r="E150" s="2">
        <v>146</v>
      </c>
      <c r="H150" s="8">
        <f t="shared" si="5"/>
        <v>967.5</v>
      </c>
    </row>
    <row r="151" spans="1:8" x14ac:dyDescent="0.2">
      <c r="A151" s="5">
        <v>968</v>
      </c>
      <c r="B151" s="6">
        <v>2818556</v>
      </c>
      <c r="C151" s="6">
        <f t="shared" si="4"/>
        <v>4853556</v>
      </c>
      <c r="D151" s="6">
        <v>47369.000000100001</v>
      </c>
      <c r="E151" s="2">
        <v>147</v>
      </c>
      <c r="H151" s="8">
        <f t="shared" si="5"/>
        <v>968</v>
      </c>
    </row>
    <row r="152" spans="1:8" x14ac:dyDescent="0.2">
      <c r="A152" s="5">
        <v>968.5</v>
      </c>
      <c r="B152" s="6">
        <v>2842271</v>
      </c>
      <c r="C152" s="6">
        <f t="shared" si="4"/>
        <v>4877271</v>
      </c>
      <c r="D152" s="6">
        <v>47488.999999899999</v>
      </c>
      <c r="E152" s="2">
        <v>148</v>
      </c>
      <c r="H152" s="8">
        <f t="shared" si="5"/>
        <v>968.5</v>
      </c>
    </row>
    <row r="153" spans="1:8" x14ac:dyDescent="0.2">
      <c r="A153" s="5">
        <v>969</v>
      </c>
      <c r="B153" s="6">
        <v>2866046</v>
      </c>
      <c r="C153" s="6">
        <f t="shared" si="4"/>
        <v>4901046</v>
      </c>
      <c r="D153" s="6">
        <v>47608.000000100001</v>
      </c>
      <c r="E153" s="2">
        <v>149</v>
      </c>
      <c r="H153" s="8">
        <f t="shared" si="5"/>
        <v>969</v>
      </c>
    </row>
    <row r="154" spans="1:8" x14ac:dyDescent="0.2">
      <c r="A154" s="5">
        <v>969.5</v>
      </c>
      <c r="B154" s="6">
        <v>2889878</v>
      </c>
      <c r="C154" s="6">
        <f t="shared" si="4"/>
        <v>4924878</v>
      </c>
      <c r="D154" s="6">
        <v>47727</v>
      </c>
      <c r="E154" s="2">
        <v>150</v>
      </c>
      <c r="H154" s="8">
        <f t="shared" si="5"/>
        <v>969.5</v>
      </c>
    </row>
    <row r="155" spans="1:8" x14ac:dyDescent="0.2">
      <c r="A155" s="5">
        <v>970</v>
      </c>
      <c r="B155" s="6">
        <v>2913772</v>
      </c>
      <c r="C155" s="6">
        <f t="shared" si="4"/>
        <v>4948772</v>
      </c>
      <c r="D155" s="6">
        <v>47847.000000100001</v>
      </c>
      <c r="E155" s="2">
        <v>151</v>
      </c>
      <c r="H155" s="8">
        <f t="shared" si="5"/>
        <v>970</v>
      </c>
    </row>
    <row r="156" spans="1:8" x14ac:dyDescent="0.2">
      <c r="A156" s="5">
        <v>970.5</v>
      </c>
      <c r="B156" s="6">
        <v>2937729</v>
      </c>
      <c r="C156" s="6">
        <f t="shared" si="4"/>
        <v>4972729</v>
      </c>
      <c r="D156" s="6">
        <v>47981</v>
      </c>
      <c r="E156" s="2">
        <v>152</v>
      </c>
      <c r="H156" s="8">
        <f t="shared" si="5"/>
        <v>970.5</v>
      </c>
    </row>
    <row r="157" spans="1:8" x14ac:dyDescent="0.2">
      <c r="A157" s="5">
        <v>971</v>
      </c>
      <c r="B157" s="6">
        <v>2961753</v>
      </c>
      <c r="C157" s="6">
        <f t="shared" si="4"/>
        <v>4996753</v>
      </c>
      <c r="D157" s="6">
        <v>48113.999999899999</v>
      </c>
      <c r="E157" s="2">
        <v>153</v>
      </c>
      <c r="H157" s="8">
        <f t="shared" si="5"/>
        <v>971</v>
      </c>
    </row>
    <row r="158" spans="1:8" x14ac:dyDescent="0.2">
      <c r="A158" s="5">
        <v>971.5</v>
      </c>
      <c r="B158" s="6">
        <v>2985843</v>
      </c>
      <c r="C158" s="6">
        <f t="shared" si="4"/>
        <v>5020843</v>
      </c>
      <c r="D158" s="6">
        <v>48248</v>
      </c>
      <c r="E158" s="2">
        <v>154</v>
      </c>
      <c r="H158" s="8">
        <f t="shared" si="5"/>
        <v>971.5</v>
      </c>
    </row>
    <row r="159" spans="1:8" x14ac:dyDescent="0.2">
      <c r="A159" s="5">
        <v>972</v>
      </c>
      <c r="B159" s="6">
        <v>3010001</v>
      </c>
      <c r="C159" s="6">
        <f t="shared" si="4"/>
        <v>5045001</v>
      </c>
      <c r="D159" s="6">
        <v>48382.000000100001</v>
      </c>
      <c r="E159" s="2">
        <v>155</v>
      </c>
      <c r="H159" s="8">
        <f t="shared" si="5"/>
        <v>972</v>
      </c>
    </row>
    <row r="160" spans="1:8" x14ac:dyDescent="0.2">
      <c r="A160" s="5">
        <v>972.5</v>
      </c>
      <c r="B160" s="6">
        <v>3034226</v>
      </c>
      <c r="C160" s="6">
        <f t="shared" si="4"/>
        <v>5069226</v>
      </c>
      <c r="D160" s="6">
        <v>48516</v>
      </c>
      <c r="E160" s="2">
        <v>156</v>
      </c>
      <c r="H160" s="8">
        <f t="shared" si="5"/>
        <v>972.5</v>
      </c>
    </row>
    <row r="161" spans="1:8" x14ac:dyDescent="0.2">
      <c r="A161" s="5">
        <v>973</v>
      </c>
      <c r="B161" s="6">
        <v>3058517</v>
      </c>
      <c r="C161" s="6">
        <f t="shared" si="4"/>
        <v>5093517</v>
      </c>
      <c r="D161" s="6">
        <v>48650.000000100001</v>
      </c>
      <c r="E161" s="2">
        <v>157</v>
      </c>
      <c r="H161" s="8">
        <f t="shared" si="5"/>
        <v>973</v>
      </c>
    </row>
    <row r="162" spans="1:8" x14ac:dyDescent="0.2">
      <c r="A162" s="5">
        <v>973.5</v>
      </c>
      <c r="B162" s="6">
        <v>3082876</v>
      </c>
      <c r="C162" s="6">
        <f t="shared" si="4"/>
        <v>5117876</v>
      </c>
      <c r="D162" s="6">
        <v>48783.999999899999</v>
      </c>
      <c r="E162" s="2">
        <v>158</v>
      </c>
      <c r="H162" s="8">
        <f t="shared" si="5"/>
        <v>973.5</v>
      </c>
    </row>
    <row r="163" spans="1:8" x14ac:dyDescent="0.2">
      <c r="A163" s="5">
        <v>974</v>
      </c>
      <c r="B163" s="6">
        <v>3107301</v>
      </c>
      <c r="C163" s="6">
        <f t="shared" si="4"/>
        <v>5142301</v>
      </c>
      <c r="D163" s="6">
        <v>48918</v>
      </c>
      <c r="E163" s="2">
        <v>159</v>
      </c>
      <c r="H163" s="8">
        <f t="shared" si="5"/>
        <v>974</v>
      </c>
    </row>
    <row r="164" spans="1:8" x14ac:dyDescent="0.2">
      <c r="A164" s="5">
        <v>974.5</v>
      </c>
      <c r="B164" s="6">
        <v>3131794</v>
      </c>
      <c r="C164" s="6">
        <f t="shared" si="4"/>
        <v>5166794</v>
      </c>
      <c r="D164" s="6">
        <v>49052.000000100001</v>
      </c>
      <c r="E164" s="2">
        <v>160</v>
      </c>
      <c r="H164" s="8">
        <f t="shared" si="5"/>
        <v>974.5</v>
      </c>
    </row>
    <row r="165" spans="1:8" x14ac:dyDescent="0.2">
      <c r="A165" s="5">
        <v>975</v>
      </c>
      <c r="B165" s="6">
        <v>3156353</v>
      </c>
      <c r="C165" s="6">
        <f t="shared" si="4"/>
        <v>5191353</v>
      </c>
      <c r="D165" s="6">
        <v>49186</v>
      </c>
      <c r="E165" s="2">
        <v>161</v>
      </c>
      <c r="H165" s="8">
        <f t="shared" si="5"/>
        <v>975</v>
      </c>
    </row>
    <row r="166" spans="1:8" x14ac:dyDescent="0.2">
      <c r="A166" s="5">
        <v>975.5</v>
      </c>
      <c r="B166" s="6">
        <v>3180979</v>
      </c>
      <c r="C166" s="6">
        <f t="shared" si="4"/>
        <v>5215979</v>
      </c>
      <c r="D166" s="6">
        <v>49320.000000100001</v>
      </c>
      <c r="E166" s="2">
        <v>162</v>
      </c>
      <c r="H166" s="8">
        <f t="shared" si="5"/>
        <v>975.5</v>
      </c>
    </row>
    <row r="167" spans="1:8" x14ac:dyDescent="0.2">
      <c r="A167" s="5">
        <v>976</v>
      </c>
      <c r="B167" s="6">
        <v>3205673</v>
      </c>
      <c r="C167" s="6">
        <f t="shared" si="4"/>
        <v>5240673</v>
      </c>
      <c r="D167" s="6">
        <v>49453.999999899999</v>
      </c>
      <c r="E167" s="2">
        <v>163</v>
      </c>
      <c r="H167" s="8">
        <f t="shared" si="5"/>
        <v>976</v>
      </c>
    </row>
    <row r="168" spans="1:8" x14ac:dyDescent="0.2">
      <c r="A168" s="5">
        <v>976.5</v>
      </c>
      <c r="B168" s="6">
        <v>3230433</v>
      </c>
      <c r="C168" s="6">
        <f t="shared" si="4"/>
        <v>5265433</v>
      </c>
      <c r="D168" s="6">
        <v>49587.000000100001</v>
      </c>
      <c r="E168" s="2">
        <v>164</v>
      </c>
      <c r="H168" s="8">
        <f t="shared" si="5"/>
        <v>976.5</v>
      </c>
    </row>
    <row r="169" spans="1:8" x14ac:dyDescent="0.2">
      <c r="A169" s="5">
        <v>977</v>
      </c>
      <c r="B169" s="6">
        <v>3255260</v>
      </c>
      <c r="C169" s="6">
        <f t="shared" si="4"/>
        <v>5290260</v>
      </c>
      <c r="D169" s="6">
        <v>49721</v>
      </c>
      <c r="E169" s="2">
        <v>165</v>
      </c>
      <c r="H169" s="8">
        <f t="shared" si="5"/>
        <v>977</v>
      </c>
    </row>
    <row r="170" spans="1:8" x14ac:dyDescent="0.2">
      <c r="A170" s="5">
        <v>977.5</v>
      </c>
      <c r="B170" s="6">
        <v>3280154</v>
      </c>
      <c r="C170" s="6">
        <f t="shared" si="4"/>
        <v>5315154</v>
      </c>
      <c r="D170" s="6">
        <v>49855.000000100001</v>
      </c>
      <c r="E170" s="2">
        <v>166</v>
      </c>
      <c r="H170" s="8">
        <f t="shared" si="5"/>
        <v>977.5</v>
      </c>
    </row>
    <row r="171" spans="1:8" x14ac:dyDescent="0.2">
      <c r="A171" s="5">
        <v>978</v>
      </c>
      <c r="B171" s="6">
        <v>3305115</v>
      </c>
      <c r="C171" s="6">
        <f t="shared" si="4"/>
        <v>5340115</v>
      </c>
      <c r="D171" s="6">
        <v>49988.999999899999</v>
      </c>
      <c r="E171" s="2">
        <v>167</v>
      </c>
      <c r="H171" s="8">
        <f t="shared" si="5"/>
        <v>978</v>
      </c>
    </row>
    <row r="172" spans="1:8" x14ac:dyDescent="0.2">
      <c r="A172" s="5">
        <v>978.5</v>
      </c>
      <c r="B172" s="6">
        <v>3330143</v>
      </c>
      <c r="C172" s="6">
        <f t="shared" si="4"/>
        <v>5365143</v>
      </c>
      <c r="D172" s="6">
        <v>50123</v>
      </c>
      <c r="E172" s="2">
        <v>168</v>
      </c>
      <c r="H172" s="8">
        <f t="shared" si="5"/>
        <v>978.5</v>
      </c>
    </row>
    <row r="173" spans="1:8" x14ac:dyDescent="0.2">
      <c r="A173" s="5">
        <v>979</v>
      </c>
      <c r="B173" s="6">
        <v>3355238</v>
      </c>
      <c r="C173" s="6">
        <f t="shared" si="4"/>
        <v>5390238</v>
      </c>
      <c r="D173" s="6">
        <v>50257.000000100001</v>
      </c>
      <c r="E173" s="2">
        <v>169</v>
      </c>
      <c r="H173" s="8">
        <f t="shared" si="5"/>
        <v>979</v>
      </c>
    </row>
    <row r="174" spans="1:8" x14ac:dyDescent="0.2">
      <c r="A174" s="5">
        <v>979.5</v>
      </c>
      <c r="B174" s="6">
        <v>3380401</v>
      </c>
      <c r="C174" s="6">
        <f t="shared" si="4"/>
        <v>5415401</v>
      </c>
      <c r="D174" s="6">
        <v>50391</v>
      </c>
      <c r="E174" s="2">
        <v>170</v>
      </c>
      <c r="H174" s="8">
        <f t="shared" si="5"/>
        <v>979.5</v>
      </c>
    </row>
    <row r="175" spans="1:8" x14ac:dyDescent="0.2">
      <c r="A175" s="5">
        <v>980</v>
      </c>
      <c r="B175" s="6">
        <v>3405630</v>
      </c>
      <c r="C175" s="6">
        <f t="shared" si="4"/>
        <v>5440630</v>
      </c>
      <c r="D175" s="6">
        <v>50525.000000100001</v>
      </c>
      <c r="E175" s="2">
        <v>171</v>
      </c>
      <c r="H175" s="8">
        <f t="shared" si="5"/>
        <v>980</v>
      </c>
    </row>
    <row r="176" spans="1:8" x14ac:dyDescent="0.2">
      <c r="A176" s="5">
        <v>980.5</v>
      </c>
      <c r="B176" s="6">
        <v>3430929</v>
      </c>
      <c r="C176" s="6">
        <f t="shared" si="4"/>
        <v>5465929</v>
      </c>
      <c r="D176" s="6">
        <v>50674.000000100001</v>
      </c>
      <c r="E176" s="2">
        <v>172</v>
      </c>
      <c r="H176" s="8">
        <f t="shared" si="5"/>
        <v>980.5</v>
      </c>
    </row>
    <row r="177" spans="1:8" x14ac:dyDescent="0.2">
      <c r="A177" s="5">
        <v>981</v>
      </c>
      <c r="B177" s="6">
        <v>3456303</v>
      </c>
      <c r="C177" s="6">
        <f t="shared" si="4"/>
        <v>5491303</v>
      </c>
      <c r="D177" s="6">
        <v>50824</v>
      </c>
      <c r="E177" s="2">
        <v>173</v>
      </c>
      <c r="H177" s="8">
        <f t="shared" si="5"/>
        <v>981</v>
      </c>
    </row>
    <row r="178" spans="1:8" x14ac:dyDescent="0.2">
      <c r="A178" s="5">
        <v>981.5</v>
      </c>
      <c r="B178" s="6">
        <v>3481753</v>
      </c>
      <c r="C178" s="6">
        <f t="shared" si="4"/>
        <v>5516753</v>
      </c>
      <c r="D178" s="6">
        <v>50973.999999899999</v>
      </c>
      <c r="E178" s="2">
        <v>174</v>
      </c>
      <c r="H178" s="8">
        <f t="shared" si="5"/>
        <v>981.5</v>
      </c>
    </row>
    <row r="179" spans="1:8" x14ac:dyDescent="0.2">
      <c r="A179" s="5">
        <v>982</v>
      </c>
      <c r="B179" s="6">
        <v>3507278</v>
      </c>
      <c r="C179" s="6">
        <f t="shared" si="4"/>
        <v>5542278</v>
      </c>
      <c r="D179" s="6">
        <v>51122.999999899999</v>
      </c>
      <c r="E179" s="2">
        <v>175</v>
      </c>
      <c r="H179" s="8">
        <f t="shared" si="5"/>
        <v>982</v>
      </c>
    </row>
    <row r="180" spans="1:8" x14ac:dyDescent="0.2">
      <c r="A180" s="5">
        <v>982.5</v>
      </c>
      <c r="B180" s="6">
        <v>3532877</v>
      </c>
      <c r="C180" s="6">
        <f t="shared" si="4"/>
        <v>5567877</v>
      </c>
      <c r="D180" s="6">
        <v>51273.000000100001</v>
      </c>
      <c r="E180" s="2">
        <v>176</v>
      </c>
      <c r="H180" s="8">
        <f t="shared" si="5"/>
        <v>982.5</v>
      </c>
    </row>
    <row r="181" spans="1:8" x14ac:dyDescent="0.2">
      <c r="A181" s="5">
        <v>983</v>
      </c>
      <c r="B181" s="6">
        <v>3558550</v>
      </c>
      <c r="C181" s="6">
        <f t="shared" si="4"/>
        <v>5593550</v>
      </c>
      <c r="D181" s="6">
        <v>51423</v>
      </c>
      <c r="E181" s="2">
        <v>177</v>
      </c>
      <c r="H181" s="8">
        <f t="shared" si="5"/>
        <v>983</v>
      </c>
    </row>
    <row r="182" spans="1:8" x14ac:dyDescent="0.2">
      <c r="A182" s="5">
        <v>983.5</v>
      </c>
      <c r="B182" s="6">
        <v>3584299</v>
      </c>
      <c r="C182" s="6">
        <f t="shared" si="4"/>
        <v>5619299</v>
      </c>
      <c r="D182" s="6">
        <v>51572</v>
      </c>
      <c r="E182" s="2">
        <v>178</v>
      </c>
      <c r="H182" s="8">
        <f t="shared" si="5"/>
        <v>983.5</v>
      </c>
    </row>
    <row r="183" spans="1:8" x14ac:dyDescent="0.2">
      <c r="A183" s="5">
        <v>984</v>
      </c>
      <c r="B183" s="6">
        <v>3610123</v>
      </c>
      <c r="C183" s="6">
        <f t="shared" si="4"/>
        <v>5645123</v>
      </c>
      <c r="D183" s="6">
        <v>51721.999999899999</v>
      </c>
      <c r="E183" s="2">
        <v>179</v>
      </c>
      <c r="H183" s="8">
        <f t="shared" si="5"/>
        <v>984</v>
      </c>
    </row>
    <row r="184" spans="1:8" x14ac:dyDescent="0.2">
      <c r="A184" s="5">
        <v>984.5</v>
      </c>
      <c r="B184" s="6">
        <v>3636021</v>
      </c>
      <c r="C184" s="6">
        <f t="shared" si="4"/>
        <v>5671021</v>
      </c>
      <c r="D184" s="6">
        <v>51872.000000100001</v>
      </c>
      <c r="E184" s="2">
        <v>180</v>
      </c>
      <c r="H184" s="8">
        <f t="shared" si="5"/>
        <v>984.5</v>
      </c>
    </row>
    <row r="185" spans="1:8" x14ac:dyDescent="0.2">
      <c r="A185" s="5">
        <v>985</v>
      </c>
      <c r="B185" s="6">
        <v>3661994</v>
      </c>
      <c r="C185" s="6">
        <f t="shared" si="4"/>
        <v>5696994</v>
      </c>
      <c r="D185" s="6">
        <v>52021.000000100001</v>
      </c>
      <c r="E185" s="2">
        <v>181</v>
      </c>
      <c r="H185" s="8">
        <f t="shared" si="5"/>
        <v>985</v>
      </c>
    </row>
    <row r="186" spans="1:8" x14ac:dyDescent="0.2">
      <c r="A186" s="5">
        <v>985.5</v>
      </c>
      <c r="B186" s="6">
        <v>3688042</v>
      </c>
      <c r="C186" s="6">
        <f t="shared" si="4"/>
        <v>5723042</v>
      </c>
      <c r="D186" s="6">
        <v>52171</v>
      </c>
      <c r="E186" s="2">
        <v>182</v>
      </c>
      <c r="H186" s="8">
        <f t="shared" si="5"/>
        <v>985.5</v>
      </c>
    </row>
    <row r="187" spans="1:8" x14ac:dyDescent="0.2">
      <c r="A187" s="5">
        <v>986</v>
      </c>
      <c r="B187" s="6">
        <v>3714165</v>
      </c>
      <c r="C187" s="6">
        <f t="shared" si="4"/>
        <v>5749165</v>
      </c>
      <c r="D187" s="6">
        <v>52320.999999899999</v>
      </c>
      <c r="E187" s="2">
        <v>183</v>
      </c>
      <c r="H187" s="8">
        <f t="shared" si="5"/>
        <v>986</v>
      </c>
    </row>
    <row r="188" spans="1:8" x14ac:dyDescent="0.2">
      <c r="A188" s="5">
        <v>986.5</v>
      </c>
      <c r="B188" s="6">
        <v>3740363</v>
      </c>
      <c r="C188" s="6">
        <f t="shared" si="4"/>
        <v>5775363</v>
      </c>
      <c r="D188" s="6">
        <v>52469.999999899999</v>
      </c>
      <c r="E188" s="2">
        <v>184</v>
      </c>
      <c r="H188" s="8">
        <f t="shared" si="5"/>
        <v>986.5</v>
      </c>
    </row>
    <row r="189" spans="1:8" x14ac:dyDescent="0.2">
      <c r="A189" s="5">
        <v>987</v>
      </c>
      <c r="B189" s="6">
        <v>3766635</v>
      </c>
      <c r="C189" s="6">
        <f t="shared" si="4"/>
        <v>5801635</v>
      </c>
      <c r="D189" s="6">
        <v>52620.000000100001</v>
      </c>
      <c r="E189" s="2">
        <v>185</v>
      </c>
      <c r="H189" s="8">
        <f t="shared" si="5"/>
        <v>987</v>
      </c>
    </row>
    <row r="190" spans="1:8" x14ac:dyDescent="0.2">
      <c r="A190" s="5">
        <v>987.5</v>
      </c>
      <c r="B190" s="6">
        <v>3792982</v>
      </c>
      <c r="C190" s="6">
        <f t="shared" si="4"/>
        <v>5827982</v>
      </c>
      <c r="D190" s="6">
        <v>52769.000000100001</v>
      </c>
      <c r="E190" s="2">
        <v>186</v>
      </c>
      <c r="H190" s="8">
        <f t="shared" si="5"/>
        <v>987.5</v>
      </c>
    </row>
    <row r="191" spans="1:8" x14ac:dyDescent="0.2">
      <c r="A191" s="5">
        <v>988</v>
      </c>
      <c r="B191" s="6">
        <v>3819405</v>
      </c>
      <c r="C191" s="6">
        <f t="shared" si="4"/>
        <v>5854405</v>
      </c>
      <c r="D191" s="6">
        <v>52919</v>
      </c>
      <c r="E191" s="2">
        <v>187</v>
      </c>
      <c r="H191" s="8">
        <f t="shared" si="5"/>
        <v>988</v>
      </c>
    </row>
    <row r="192" spans="1:8" x14ac:dyDescent="0.2">
      <c r="A192" s="5">
        <v>988.5</v>
      </c>
      <c r="B192" s="6">
        <v>3845902</v>
      </c>
      <c r="C192" s="6">
        <f t="shared" si="4"/>
        <v>5880902</v>
      </c>
      <c r="D192" s="6">
        <v>53068.999999899999</v>
      </c>
      <c r="E192" s="2">
        <v>188</v>
      </c>
      <c r="H192" s="8">
        <f t="shared" si="5"/>
        <v>988.5</v>
      </c>
    </row>
    <row r="193" spans="1:8" x14ac:dyDescent="0.2">
      <c r="A193" s="5">
        <v>989</v>
      </c>
      <c r="B193" s="6">
        <v>3872474</v>
      </c>
      <c r="C193" s="6">
        <f t="shared" si="4"/>
        <v>5907474</v>
      </c>
      <c r="D193" s="6">
        <v>53217.999999899999</v>
      </c>
      <c r="E193" s="2">
        <v>189</v>
      </c>
      <c r="H193" s="8">
        <f t="shared" si="5"/>
        <v>989</v>
      </c>
    </row>
    <row r="194" spans="1:8" x14ac:dyDescent="0.2">
      <c r="A194" s="5">
        <v>989.5</v>
      </c>
      <c r="B194" s="6">
        <v>3899120</v>
      </c>
      <c r="C194" s="6">
        <f t="shared" si="4"/>
        <v>5934120</v>
      </c>
      <c r="D194" s="6">
        <v>53368.000000100001</v>
      </c>
      <c r="E194" s="2">
        <v>190</v>
      </c>
      <c r="H194" s="8">
        <f t="shared" si="5"/>
        <v>989.5</v>
      </c>
    </row>
    <row r="195" spans="1:8" x14ac:dyDescent="0.2">
      <c r="A195" s="5">
        <v>990</v>
      </c>
      <c r="B195" s="6">
        <v>3925842</v>
      </c>
      <c r="C195" s="6">
        <f t="shared" si="4"/>
        <v>5960842</v>
      </c>
      <c r="D195" s="6">
        <v>53518</v>
      </c>
      <c r="E195" s="2">
        <v>191</v>
      </c>
      <c r="H195" s="8">
        <f t="shared" si="5"/>
        <v>990</v>
      </c>
    </row>
    <row r="196" spans="1:8" x14ac:dyDescent="0.2">
      <c r="A196" s="5">
        <v>990.5</v>
      </c>
      <c r="B196" s="6">
        <v>3952636</v>
      </c>
      <c r="C196" s="6">
        <f t="shared" si="4"/>
        <v>5987636</v>
      </c>
      <c r="D196" s="6">
        <v>53660</v>
      </c>
      <c r="E196" s="2">
        <v>192</v>
      </c>
      <c r="H196" s="8">
        <f t="shared" si="5"/>
        <v>990.5</v>
      </c>
    </row>
    <row r="197" spans="1:8" x14ac:dyDescent="0.2">
      <c r="A197" s="5">
        <v>991</v>
      </c>
      <c r="B197" s="6">
        <v>3979502</v>
      </c>
      <c r="C197" s="6">
        <f t="shared" si="4"/>
        <v>6014502</v>
      </c>
      <c r="D197" s="6">
        <v>53802.999999899999</v>
      </c>
      <c r="E197" s="2">
        <v>193</v>
      </c>
      <c r="H197" s="8">
        <f t="shared" si="5"/>
        <v>991</v>
      </c>
    </row>
    <row r="198" spans="1:8" x14ac:dyDescent="0.2">
      <c r="A198" s="5">
        <v>991.5</v>
      </c>
      <c r="B198" s="6">
        <v>4006440</v>
      </c>
      <c r="C198" s="6">
        <f t="shared" ref="C198:C261" si="6">B198+$C$3</f>
        <v>6041440</v>
      </c>
      <c r="D198" s="6">
        <v>53946.000000100001</v>
      </c>
      <c r="E198" s="2">
        <v>194</v>
      </c>
      <c r="H198" s="8">
        <f t="shared" ref="H198:H261" si="7">A198</f>
        <v>991.5</v>
      </c>
    </row>
    <row r="199" spans="1:8" x14ac:dyDescent="0.2">
      <c r="A199" s="5">
        <v>992</v>
      </c>
      <c r="B199" s="6">
        <v>4033448</v>
      </c>
      <c r="C199" s="6">
        <f t="shared" si="6"/>
        <v>6068448</v>
      </c>
      <c r="D199" s="6">
        <v>54089</v>
      </c>
      <c r="E199" s="2">
        <v>195</v>
      </c>
      <c r="H199" s="8">
        <f t="shared" si="7"/>
        <v>992</v>
      </c>
    </row>
    <row r="200" spans="1:8" x14ac:dyDescent="0.2">
      <c r="A200" s="5">
        <v>992.5</v>
      </c>
      <c r="B200" s="6">
        <v>4060528</v>
      </c>
      <c r="C200" s="6">
        <f t="shared" si="6"/>
        <v>6095528</v>
      </c>
      <c r="D200" s="6">
        <v>54232.000000100001</v>
      </c>
      <c r="E200" s="2">
        <v>196</v>
      </c>
      <c r="H200" s="8">
        <f t="shared" si="7"/>
        <v>992.5</v>
      </c>
    </row>
    <row r="201" spans="1:8" x14ac:dyDescent="0.2">
      <c r="A201" s="5">
        <v>993</v>
      </c>
      <c r="B201" s="6">
        <v>4087680</v>
      </c>
      <c r="C201" s="6">
        <f t="shared" si="6"/>
        <v>6122680</v>
      </c>
      <c r="D201" s="6">
        <v>54375</v>
      </c>
      <c r="E201" s="2">
        <v>197</v>
      </c>
      <c r="H201" s="8">
        <f t="shared" si="7"/>
        <v>993</v>
      </c>
    </row>
    <row r="202" spans="1:8" x14ac:dyDescent="0.2">
      <c r="A202" s="5">
        <v>993.5</v>
      </c>
      <c r="B202" s="6">
        <v>4114903</v>
      </c>
      <c r="C202" s="6">
        <f t="shared" si="6"/>
        <v>6149903</v>
      </c>
      <c r="D202" s="6">
        <v>54517</v>
      </c>
      <c r="E202" s="2">
        <v>198</v>
      </c>
      <c r="H202" s="8">
        <f t="shared" si="7"/>
        <v>993.5</v>
      </c>
    </row>
    <row r="203" spans="1:8" x14ac:dyDescent="0.2">
      <c r="A203" s="5">
        <v>994</v>
      </c>
      <c r="B203" s="6">
        <v>4142198</v>
      </c>
      <c r="C203" s="6">
        <f t="shared" si="6"/>
        <v>6177198</v>
      </c>
      <c r="D203" s="6">
        <v>54659.999999899999</v>
      </c>
      <c r="E203" s="2">
        <v>199</v>
      </c>
      <c r="H203" s="8">
        <f t="shared" si="7"/>
        <v>994</v>
      </c>
    </row>
    <row r="204" spans="1:8" x14ac:dyDescent="0.2">
      <c r="A204" s="5">
        <v>994.5</v>
      </c>
      <c r="B204" s="6">
        <v>4169563</v>
      </c>
      <c r="C204" s="6">
        <f t="shared" si="6"/>
        <v>6204563</v>
      </c>
      <c r="D204" s="6">
        <v>54803.000000100001</v>
      </c>
      <c r="E204" s="2">
        <v>200</v>
      </c>
      <c r="H204" s="8">
        <f t="shared" si="7"/>
        <v>994.5</v>
      </c>
    </row>
    <row r="205" spans="1:8" x14ac:dyDescent="0.2">
      <c r="A205" s="5">
        <v>995</v>
      </c>
      <c r="B205" s="6">
        <v>4197001</v>
      </c>
      <c r="C205" s="6">
        <f t="shared" si="6"/>
        <v>6232001</v>
      </c>
      <c r="D205" s="6">
        <v>54946</v>
      </c>
      <c r="E205" s="2">
        <v>201</v>
      </c>
      <c r="H205" s="8">
        <f t="shared" si="7"/>
        <v>995</v>
      </c>
    </row>
    <row r="206" spans="1:8" x14ac:dyDescent="0.2">
      <c r="A206" s="5">
        <v>995.5</v>
      </c>
      <c r="B206" s="6">
        <v>4224510</v>
      </c>
      <c r="C206" s="6">
        <f t="shared" si="6"/>
        <v>6259510</v>
      </c>
      <c r="D206" s="6">
        <v>55089.000000100001</v>
      </c>
      <c r="E206" s="2">
        <v>202</v>
      </c>
      <c r="H206" s="8">
        <f t="shared" si="7"/>
        <v>995.5</v>
      </c>
    </row>
    <row r="207" spans="1:8" x14ac:dyDescent="0.2">
      <c r="A207" s="5">
        <v>996</v>
      </c>
      <c r="B207" s="6">
        <v>4252089</v>
      </c>
      <c r="C207" s="6">
        <f t="shared" si="6"/>
        <v>6287089</v>
      </c>
      <c r="D207" s="6">
        <v>55232</v>
      </c>
      <c r="E207" s="2">
        <v>203</v>
      </c>
      <c r="H207" s="8">
        <f t="shared" si="7"/>
        <v>996</v>
      </c>
    </row>
    <row r="208" spans="1:8" x14ac:dyDescent="0.2">
      <c r="A208" s="5">
        <v>996.5</v>
      </c>
      <c r="B208" s="6">
        <v>4279741</v>
      </c>
      <c r="C208" s="6">
        <f t="shared" si="6"/>
        <v>6314741</v>
      </c>
      <c r="D208" s="6">
        <v>55374</v>
      </c>
      <c r="E208" s="2">
        <v>204</v>
      </c>
      <c r="H208" s="8">
        <f t="shared" si="7"/>
        <v>996.5</v>
      </c>
    </row>
    <row r="209" spans="1:8" x14ac:dyDescent="0.2">
      <c r="A209" s="5">
        <v>997</v>
      </c>
      <c r="B209" s="6">
        <v>4307464</v>
      </c>
      <c r="C209" s="6">
        <f t="shared" si="6"/>
        <v>6342464</v>
      </c>
      <c r="D209" s="6">
        <v>55516.999999899999</v>
      </c>
      <c r="E209" s="2">
        <v>205</v>
      </c>
      <c r="H209" s="8">
        <f t="shared" si="7"/>
        <v>997</v>
      </c>
    </row>
    <row r="210" spans="1:8" x14ac:dyDescent="0.2">
      <c r="A210" s="5">
        <v>997.5</v>
      </c>
      <c r="B210" s="6">
        <v>4335258</v>
      </c>
      <c r="C210" s="6">
        <f t="shared" si="6"/>
        <v>6370258</v>
      </c>
      <c r="D210" s="6">
        <v>55660.000000100001</v>
      </c>
      <c r="E210" s="2">
        <v>206</v>
      </c>
      <c r="H210" s="8">
        <f t="shared" si="7"/>
        <v>997.5</v>
      </c>
    </row>
    <row r="211" spans="1:8" x14ac:dyDescent="0.2">
      <c r="A211" s="5">
        <v>998</v>
      </c>
      <c r="B211" s="6">
        <v>4363125</v>
      </c>
      <c r="C211" s="6">
        <f t="shared" si="6"/>
        <v>6398125</v>
      </c>
      <c r="D211" s="6">
        <v>55803</v>
      </c>
      <c r="E211" s="2">
        <v>207</v>
      </c>
      <c r="H211" s="8">
        <f t="shared" si="7"/>
        <v>998</v>
      </c>
    </row>
    <row r="212" spans="1:8" x14ac:dyDescent="0.2">
      <c r="A212" s="5">
        <v>998.5</v>
      </c>
      <c r="B212" s="6">
        <v>4391061</v>
      </c>
      <c r="C212" s="6">
        <f t="shared" si="6"/>
        <v>6426061</v>
      </c>
      <c r="D212" s="6">
        <v>55946.000000100001</v>
      </c>
      <c r="E212" s="2">
        <v>208</v>
      </c>
      <c r="H212" s="8">
        <f t="shared" si="7"/>
        <v>998.5</v>
      </c>
    </row>
    <row r="213" spans="1:8" x14ac:dyDescent="0.2">
      <c r="A213" s="5">
        <v>999</v>
      </c>
      <c r="B213" s="6">
        <v>4419070</v>
      </c>
      <c r="C213" s="6">
        <f t="shared" si="6"/>
        <v>6454070</v>
      </c>
      <c r="D213" s="6">
        <v>56089</v>
      </c>
      <c r="E213" s="2">
        <v>209</v>
      </c>
      <c r="H213" s="8">
        <f t="shared" si="7"/>
        <v>999</v>
      </c>
    </row>
    <row r="214" spans="1:8" x14ac:dyDescent="0.2">
      <c r="A214" s="5">
        <v>999.5</v>
      </c>
      <c r="B214" s="6">
        <v>4447150</v>
      </c>
      <c r="C214" s="6">
        <f t="shared" si="6"/>
        <v>6482150</v>
      </c>
      <c r="D214" s="6">
        <v>56231</v>
      </c>
      <c r="E214" s="2">
        <v>210</v>
      </c>
      <c r="H214" s="8">
        <f t="shared" si="7"/>
        <v>999.5</v>
      </c>
    </row>
    <row r="215" spans="1:8" x14ac:dyDescent="0.2">
      <c r="A215" s="5">
        <v>1000</v>
      </c>
      <c r="B215" s="6">
        <v>4475301</v>
      </c>
      <c r="C215" s="6">
        <f t="shared" si="6"/>
        <v>6510301</v>
      </c>
      <c r="D215" s="6">
        <v>56373.999999899999</v>
      </c>
      <c r="E215" s="2">
        <v>211</v>
      </c>
      <c r="H215" s="8">
        <f t="shared" si="7"/>
        <v>1000</v>
      </c>
    </row>
    <row r="216" spans="1:8" x14ac:dyDescent="0.2">
      <c r="A216" s="5">
        <v>1000.5</v>
      </c>
      <c r="B216" s="6">
        <v>4503527</v>
      </c>
      <c r="C216" s="6">
        <f t="shared" si="6"/>
        <v>6538527</v>
      </c>
      <c r="D216" s="6">
        <v>56529</v>
      </c>
      <c r="E216" s="2">
        <v>212</v>
      </c>
      <c r="H216" s="8">
        <f t="shared" si="7"/>
        <v>1000.5</v>
      </c>
    </row>
    <row r="217" spans="1:8" x14ac:dyDescent="0.2">
      <c r="A217" s="5">
        <v>1001</v>
      </c>
      <c r="B217" s="6">
        <v>4531830</v>
      </c>
      <c r="C217" s="6">
        <f t="shared" si="6"/>
        <v>6566830</v>
      </c>
      <c r="D217" s="6">
        <v>56683.999999899999</v>
      </c>
      <c r="E217" s="2">
        <v>213</v>
      </c>
      <c r="H217" s="8">
        <f t="shared" si="7"/>
        <v>1001</v>
      </c>
    </row>
    <row r="218" spans="1:8" x14ac:dyDescent="0.2">
      <c r="A218" s="5">
        <v>1001.5</v>
      </c>
      <c r="B218" s="6">
        <v>4560212</v>
      </c>
      <c r="C218" s="6">
        <f t="shared" si="6"/>
        <v>6595212</v>
      </c>
      <c r="D218" s="6">
        <v>56839.000000100001</v>
      </c>
      <c r="E218" s="2">
        <v>214</v>
      </c>
      <c r="H218" s="8">
        <f t="shared" si="7"/>
        <v>1001.5</v>
      </c>
    </row>
    <row r="219" spans="1:8" x14ac:dyDescent="0.2">
      <c r="A219" s="5">
        <v>1002</v>
      </c>
      <c r="B219" s="6">
        <v>4588670</v>
      </c>
      <c r="C219" s="6">
        <f t="shared" si="6"/>
        <v>6623670</v>
      </c>
      <c r="D219" s="6">
        <v>56995.000000100001</v>
      </c>
      <c r="E219" s="2">
        <v>215</v>
      </c>
      <c r="H219" s="8">
        <f t="shared" si="7"/>
        <v>1002</v>
      </c>
    </row>
    <row r="220" spans="1:8" x14ac:dyDescent="0.2">
      <c r="A220" s="5">
        <v>1002.5</v>
      </c>
      <c r="B220" s="6">
        <v>4617206</v>
      </c>
      <c r="C220" s="6">
        <f t="shared" si="6"/>
        <v>6652206</v>
      </c>
      <c r="D220" s="6">
        <v>57150</v>
      </c>
      <c r="E220" s="2">
        <v>216</v>
      </c>
      <c r="H220" s="8">
        <f t="shared" si="7"/>
        <v>1002.5</v>
      </c>
    </row>
    <row r="221" spans="1:8" x14ac:dyDescent="0.2">
      <c r="A221" s="5">
        <v>1003</v>
      </c>
      <c r="B221" s="6">
        <v>4645820</v>
      </c>
      <c r="C221" s="6">
        <f t="shared" si="6"/>
        <v>6680820</v>
      </c>
      <c r="D221" s="6">
        <v>57305.000000100001</v>
      </c>
      <c r="E221" s="2">
        <v>217</v>
      </c>
      <c r="H221" s="8">
        <f t="shared" si="7"/>
        <v>1003</v>
      </c>
    </row>
    <row r="222" spans="1:8" x14ac:dyDescent="0.2">
      <c r="A222" s="5">
        <v>1003.5</v>
      </c>
      <c r="B222" s="6">
        <v>4674511</v>
      </c>
      <c r="C222" s="6">
        <f t="shared" si="6"/>
        <v>6709511</v>
      </c>
      <c r="D222" s="6">
        <v>57460</v>
      </c>
      <c r="E222" s="2">
        <v>218</v>
      </c>
      <c r="H222" s="8">
        <f t="shared" si="7"/>
        <v>1003.5</v>
      </c>
    </row>
    <row r="223" spans="1:8" x14ac:dyDescent="0.2">
      <c r="A223" s="5">
        <v>1004</v>
      </c>
      <c r="B223" s="6">
        <v>4703279</v>
      </c>
      <c r="C223" s="6">
        <f t="shared" si="6"/>
        <v>6738279</v>
      </c>
      <c r="D223" s="6">
        <v>57615.000000100001</v>
      </c>
      <c r="E223" s="2">
        <v>219</v>
      </c>
      <c r="H223" s="8">
        <f t="shared" si="7"/>
        <v>1004</v>
      </c>
    </row>
    <row r="224" spans="1:8" x14ac:dyDescent="0.2">
      <c r="A224" s="5">
        <v>1004.5</v>
      </c>
      <c r="B224" s="6">
        <v>4732126</v>
      </c>
      <c r="C224" s="6">
        <f t="shared" si="6"/>
        <v>6767126</v>
      </c>
      <c r="D224" s="6">
        <v>57770</v>
      </c>
      <c r="E224" s="2">
        <v>220</v>
      </c>
      <c r="H224" s="8">
        <f t="shared" si="7"/>
        <v>1004.5</v>
      </c>
    </row>
    <row r="225" spans="1:8" x14ac:dyDescent="0.2">
      <c r="A225" s="5">
        <v>1005</v>
      </c>
      <c r="B225" s="6">
        <v>4761049</v>
      </c>
      <c r="C225" s="6">
        <f t="shared" si="6"/>
        <v>6796049</v>
      </c>
      <c r="D225" s="6">
        <v>57925.000000100001</v>
      </c>
      <c r="E225" s="2">
        <v>221</v>
      </c>
      <c r="H225" s="8">
        <f t="shared" si="7"/>
        <v>1005</v>
      </c>
    </row>
    <row r="226" spans="1:8" x14ac:dyDescent="0.2">
      <c r="A226" s="5">
        <v>1005.5</v>
      </c>
      <c r="B226" s="6">
        <v>4790050</v>
      </c>
      <c r="C226" s="6">
        <f t="shared" si="6"/>
        <v>6825050</v>
      </c>
      <c r="D226" s="6">
        <v>58080</v>
      </c>
      <c r="E226" s="2">
        <v>222</v>
      </c>
      <c r="H226" s="8">
        <f t="shared" si="7"/>
        <v>1005.5</v>
      </c>
    </row>
    <row r="227" spans="1:8" x14ac:dyDescent="0.2">
      <c r="A227" s="5">
        <v>1006</v>
      </c>
      <c r="B227" s="6">
        <v>4819129</v>
      </c>
      <c r="C227" s="6">
        <f t="shared" si="6"/>
        <v>6854129</v>
      </c>
      <c r="D227" s="6">
        <v>58234.999999899999</v>
      </c>
      <c r="E227" s="2">
        <v>223</v>
      </c>
      <c r="H227" s="8">
        <f t="shared" si="7"/>
        <v>1006</v>
      </c>
    </row>
    <row r="228" spans="1:8" x14ac:dyDescent="0.2">
      <c r="A228" s="5">
        <v>1006.5</v>
      </c>
      <c r="B228" s="6">
        <v>4848286</v>
      </c>
      <c r="C228" s="6">
        <f t="shared" si="6"/>
        <v>6883286</v>
      </c>
      <c r="D228" s="6">
        <v>58390</v>
      </c>
      <c r="E228" s="2">
        <v>224</v>
      </c>
      <c r="H228" s="8">
        <f t="shared" si="7"/>
        <v>1006.5</v>
      </c>
    </row>
    <row r="229" spans="1:8" x14ac:dyDescent="0.2">
      <c r="A229" s="5">
        <v>1007</v>
      </c>
      <c r="B229" s="6">
        <v>4877519</v>
      </c>
      <c r="C229" s="6">
        <f t="shared" si="6"/>
        <v>6912519</v>
      </c>
      <c r="D229" s="6">
        <v>58544.999999899999</v>
      </c>
      <c r="E229" s="2">
        <v>225</v>
      </c>
      <c r="H229" s="8">
        <f t="shared" si="7"/>
        <v>1007</v>
      </c>
    </row>
    <row r="230" spans="1:8" x14ac:dyDescent="0.2">
      <c r="A230" s="5">
        <v>1007.5</v>
      </c>
      <c r="B230" s="6">
        <v>4906831</v>
      </c>
      <c r="C230" s="6">
        <f t="shared" si="6"/>
        <v>6941831</v>
      </c>
      <c r="D230" s="6">
        <v>58700</v>
      </c>
      <c r="E230" s="2">
        <v>226</v>
      </c>
      <c r="H230" s="8">
        <f t="shared" si="7"/>
        <v>1007.5</v>
      </c>
    </row>
    <row r="231" spans="1:8" x14ac:dyDescent="0.2">
      <c r="A231" s="5">
        <v>1008</v>
      </c>
      <c r="B231" s="6">
        <v>4936219</v>
      </c>
      <c r="C231" s="6">
        <f t="shared" si="6"/>
        <v>6971219</v>
      </c>
      <c r="D231" s="6">
        <v>58854.999999899999</v>
      </c>
      <c r="E231" s="2">
        <v>227</v>
      </c>
      <c r="H231" s="8">
        <f t="shared" si="7"/>
        <v>1008</v>
      </c>
    </row>
    <row r="232" spans="1:8" x14ac:dyDescent="0.2">
      <c r="A232" s="5">
        <v>1008.5</v>
      </c>
      <c r="B232" s="6">
        <v>4965686</v>
      </c>
      <c r="C232" s="6">
        <f t="shared" si="6"/>
        <v>7000686</v>
      </c>
      <c r="D232" s="6">
        <v>59010</v>
      </c>
      <c r="E232" s="2">
        <v>228</v>
      </c>
      <c r="H232" s="8">
        <f t="shared" si="7"/>
        <v>1008.5</v>
      </c>
    </row>
    <row r="233" spans="1:8" x14ac:dyDescent="0.2">
      <c r="A233" s="5">
        <v>1009</v>
      </c>
      <c r="B233" s="6">
        <v>4995230</v>
      </c>
      <c r="C233" s="6">
        <f t="shared" si="6"/>
        <v>7030230</v>
      </c>
      <c r="D233" s="6">
        <v>59164.999999899999</v>
      </c>
      <c r="E233" s="2">
        <v>229</v>
      </c>
      <c r="H233" s="8">
        <f t="shared" si="7"/>
        <v>1009</v>
      </c>
    </row>
    <row r="234" spans="1:8" x14ac:dyDescent="0.2">
      <c r="A234" s="5">
        <v>1009.5</v>
      </c>
      <c r="B234" s="6">
        <v>5024851</v>
      </c>
      <c r="C234" s="6">
        <f t="shared" si="6"/>
        <v>7059851</v>
      </c>
      <c r="D234" s="6">
        <v>59320.000000100001</v>
      </c>
      <c r="E234" s="2">
        <v>230</v>
      </c>
      <c r="H234" s="8">
        <f t="shared" si="7"/>
        <v>1009.5</v>
      </c>
    </row>
    <row r="235" spans="1:8" x14ac:dyDescent="0.2">
      <c r="A235" s="5">
        <v>1010</v>
      </c>
      <c r="B235" s="6">
        <v>5054550</v>
      </c>
      <c r="C235" s="6">
        <f t="shared" si="6"/>
        <v>7089550</v>
      </c>
      <c r="D235" s="6">
        <v>59474.999999899999</v>
      </c>
      <c r="E235" s="2">
        <v>231</v>
      </c>
      <c r="H235" s="8">
        <f t="shared" si="7"/>
        <v>1010</v>
      </c>
    </row>
    <row r="236" spans="1:8" x14ac:dyDescent="0.2">
      <c r="A236" s="5">
        <v>1010.5</v>
      </c>
      <c r="B236" s="6">
        <v>5084326</v>
      </c>
      <c r="C236" s="6">
        <f t="shared" si="6"/>
        <v>7119326</v>
      </c>
      <c r="D236" s="6">
        <v>59628</v>
      </c>
      <c r="E236" s="2">
        <v>232</v>
      </c>
      <c r="H236" s="8">
        <f t="shared" si="7"/>
        <v>1010.5</v>
      </c>
    </row>
    <row r="237" spans="1:8" x14ac:dyDescent="0.2">
      <c r="A237" s="5">
        <v>1011</v>
      </c>
      <c r="B237" s="6">
        <v>5114179</v>
      </c>
      <c r="C237" s="6">
        <f t="shared" si="6"/>
        <v>7149179</v>
      </c>
      <c r="D237" s="6">
        <v>59780.999999899999</v>
      </c>
      <c r="E237" s="2">
        <v>233</v>
      </c>
      <c r="H237" s="8">
        <f t="shared" si="7"/>
        <v>1011</v>
      </c>
    </row>
    <row r="238" spans="1:8" x14ac:dyDescent="0.2">
      <c r="A238" s="5">
        <v>1011.5</v>
      </c>
      <c r="B238" s="6">
        <v>5144107</v>
      </c>
      <c r="C238" s="6">
        <f t="shared" si="6"/>
        <v>7179107</v>
      </c>
      <c r="D238" s="6">
        <v>59934</v>
      </c>
      <c r="E238" s="2">
        <v>234</v>
      </c>
      <c r="H238" s="8">
        <f t="shared" si="7"/>
        <v>1011.5</v>
      </c>
    </row>
    <row r="239" spans="1:8" x14ac:dyDescent="0.2">
      <c r="A239" s="5">
        <v>1012</v>
      </c>
      <c r="B239" s="6">
        <v>5174113</v>
      </c>
      <c r="C239" s="6">
        <f t="shared" si="6"/>
        <v>7209113</v>
      </c>
      <c r="D239" s="6">
        <v>60087.000000100001</v>
      </c>
      <c r="E239" s="2">
        <v>235</v>
      </c>
      <c r="H239" s="8">
        <f t="shared" si="7"/>
        <v>1012</v>
      </c>
    </row>
    <row r="240" spans="1:8" x14ac:dyDescent="0.2">
      <c r="A240" s="5">
        <v>1012.5</v>
      </c>
      <c r="B240" s="6">
        <v>5204194</v>
      </c>
      <c r="C240" s="6">
        <f t="shared" si="6"/>
        <v>7239194</v>
      </c>
      <c r="D240" s="6">
        <v>60239.999999899999</v>
      </c>
      <c r="E240" s="2">
        <v>236</v>
      </c>
      <c r="H240" s="8">
        <f t="shared" si="7"/>
        <v>1012.5</v>
      </c>
    </row>
    <row r="241" spans="1:8" x14ac:dyDescent="0.2">
      <c r="A241" s="5">
        <v>1013</v>
      </c>
      <c r="B241" s="6">
        <v>5234353</v>
      </c>
      <c r="C241" s="6">
        <f t="shared" si="6"/>
        <v>7269353</v>
      </c>
      <c r="D241" s="6">
        <v>60393</v>
      </c>
      <c r="E241" s="2">
        <v>237</v>
      </c>
      <c r="H241" s="8">
        <f t="shared" si="7"/>
        <v>1013</v>
      </c>
    </row>
    <row r="242" spans="1:8" x14ac:dyDescent="0.2">
      <c r="A242" s="5">
        <v>1013.5</v>
      </c>
      <c r="B242" s="6">
        <v>5264587</v>
      </c>
      <c r="C242" s="6">
        <f t="shared" si="6"/>
        <v>7299587</v>
      </c>
      <c r="D242" s="6">
        <v>60546.000000100001</v>
      </c>
      <c r="E242" s="2">
        <v>238</v>
      </c>
      <c r="H242" s="8">
        <f t="shared" si="7"/>
        <v>1013.5</v>
      </c>
    </row>
    <row r="243" spans="1:8" x14ac:dyDescent="0.2">
      <c r="A243" s="5">
        <v>1014</v>
      </c>
      <c r="B243" s="6">
        <v>5294898</v>
      </c>
      <c r="C243" s="6">
        <f t="shared" si="6"/>
        <v>7329898</v>
      </c>
      <c r="D243" s="6">
        <v>60698.999999899999</v>
      </c>
      <c r="E243" s="2">
        <v>239</v>
      </c>
      <c r="H243" s="8">
        <f t="shared" si="7"/>
        <v>1014</v>
      </c>
    </row>
    <row r="244" spans="1:8" x14ac:dyDescent="0.2">
      <c r="A244" s="5">
        <v>1014.5</v>
      </c>
      <c r="B244" s="6">
        <v>5325286</v>
      </c>
      <c r="C244" s="6">
        <f t="shared" si="6"/>
        <v>7360286</v>
      </c>
      <c r="D244" s="6">
        <v>60850.999999899999</v>
      </c>
      <c r="E244" s="2">
        <v>240</v>
      </c>
      <c r="H244" s="8">
        <f t="shared" si="7"/>
        <v>1014.5</v>
      </c>
    </row>
    <row r="245" spans="1:8" x14ac:dyDescent="0.2">
      <c r="A245" s="5">
        <v>1015</v>
      </c>
      <c r="B245" s="6">
        <v>5355750</v>
      </c>
      <c r="C245" s="6">
        <f t="shared" si="6"/>
        <v>7390750</v>
      </c>
      <c r="D245" s="6">
        <v>61004</v>
      </c>
      <c r="E245" s="2">
        <v>241</v>
      </c>
      <c r="H245" s="8">
        <f t="shared" si="7"/>
        <v>1015</v>
      </c>
    </row>
    <row r="246" spans="1:8" x14ac:dyDescent="0.2">
      <c r="A246" s="5">
        <v>1015.5</v>
      </c>
      <c r="B246" s="6">
        <v>5386290</v>
      </c>
      <c r="C246" s="6">
        <f t="shared" si="6"/>
        <v>7421290</v>
      </c>
      <c r="D246" s="6">
        <v>61157.000000100001</v>
      </c>
      <c r="E246" s="2">
        <v>242</v>
      </c>
      <c r="H246" s="8">
        <f t="shared" si="7"/>
        <v>1015.5</v>
      </c>
    </row>
    <row r="247" spans="1:8" x14ac:dyDescent="0.2">
      <c r="A247" s="5">
        <v>1016</v>
      </c>
      <c r="B247" s="6">
        <v>5416907</v>
      </c>
      <c r="C247" s="6">
        <f t="shared" si="6"/>
        <v>7451907</v>
      </c>
      <c r="D247" s="6">
        <v>61309.999999899999</v>
      </c>
      <c r="E247" s="2">
        <v>243</v>
      </c>
      <c r="H247" s="8">
        <f t="shared" si="7"/>
        <v>1016</v>
      </c>
    </row>
    <row r="248" spans="1:8" x14ac:dyDescent="0.2">
      <c r="A248" s="5">
        <v>1016.5</v>
      </c>
      <c r="B248" s="6">
        <v>5447600</v>
      </c>
      <c r="C248" s="6">
        <f t="shared" si="6"/>
        <v>7482600</v>
      </c>
      <c r="D248" s="6">
        <v>61463</v>
      </c>
      <c r="E248" s="2">
        <v>244</v>
      </c>
      <c r="H248" s="8">
        <f t="shared" si="7"/>
        <v>1016.5</v>
      </c>
    </row>
    <row r="249" spans="1:8" x14ac:dyDescent="0.2">
      <c r="A249" s="5">
        <v>1017</v>
      </c>
      <c r="B249" s="6">
        <v>5478370</v>
      </c>
      <c r="C249" s="6">
        <f t="shared" si="6"/>
        <v>7513370</v>
      </c>
      <c r="D249" s="6">
        <v>61616.000000100001</v>
      </c>
      <c r="E249" s="2">
        <v>245</v>
      </c>
      <c r="H249" s="8">
        <f t="shared" si="7"/>
        <v>1017</v>
      </c>
    </row>
    <row r="250" spans="1:8" x14ac:dyDescent="0.2">
      <c r="A250" s="5">
        <v>1017.5</v>
      </c>
      <c r="B250" s="6">
        <v>5509216</v>
      </c>
      <c r="C250" s="6">
        <f t="shared" si="6"/>
        <v>7544216</v>
      </c>
      <c r="D250" s="6">
        <v>61768.999999899999</v>
      </c>
      <c r="E250" s="2">
        <v>246</v>
      </c>
      <c r="H250" s="8">
        <f t="shared" si="7"/>
        <v>1017.5</v>
      </c>
    </row>
    <row r="251" spans="1:8" x14ac:dyDescent="0.2">
      <c r="A251" s="5">
        <v>1018</v>
      </c>
      <c r="B251" s="6">
        <v>5540139</v>
      </c>
      <c r="C251" s="6">
        <f t="shared" si="6"/>
        <v>7575139</v>
      </c>
      <c r="D251" s="6">
        <v>61922</v>
      </c>
      <c r="E251" s="2">
        <v>247</v>
      </c>
      <c r="H251" s="8">
        <f t="shared" si="7"/>
        <v>1018</v>
      </c>
    </row>
    <row r="252" spans="1:8" x14ac:dyDescent="0.2">
      <c r="A252" s="5">
        <v>1018.5</v>
      </c>
      <c r="B252" s="6">
        <v>5571138</v>
      </c>
      <c r="C252" s="6">
        <f t="shared" si="6"/>
        <v>7606138</v>
      </c>
      <c r="D252" s="6">
        <v>62074.999999899999</v>
      </c>
      <c r="E252" s="2">
        <v>248</v>
      </c>
      <c r="H252" s="8">
        <f t="shared" si="7"/>
        <v>1018.5</v>
      </c>
    </row>
    <row r="253" spans="1:8" x14ac:dyDescent="0.2">
      <c r="A253" s="5">
        <v>1019</v>
      </c>
      <c r="B253" s="6">
        <v>5602213</v>
      </c>
      <c r="C253" s="6">
        <f t="shared" si="6"/>
        <v>7637213</v>
      </c>
      <c r="D253" s="6">
        <v>62227.000000100001</v>
      </c>
      <c r="E253" s="2">
        <v>249</v>
      </c>
      <c r="H253" s="8">
        <f t="shared" si="7"/>
        <v>1019</v>
      </c>
    </row>
    <row r="254" spans="1:8" x14ac:dyDescent="0.2">
      <c r="A254" s="5">
        <v>1019.5</v>
      </c>
      <c r="B254" s="6">
        <v>5633365</v>
      </c>
      <c r="C254" s="6">
        <f t="shared" si="6"/>
        <v>7668365</v>
      </c>
      <c r="D254" s="6">
        <v>62379.999999899999</v>
      </c>
      <c r="E254" s="2">
        <v>250</v>
      </c>
      <c r="H254" s="8">
        <f t="shared" si="7"/>
        <v>1019.5</v>
      </c>
    </row>
    <row r="255" spans="1:8" x14ac:dyDescent="0.2">
      <c r="A255" s="5">
        <v>1020</v>
      </c>
      <c r="B255" s="6">
        <v>5664593</v>
      </c>
      <c r="C255" s="6">
        <f t="shared" si="6"/>
        <v>7699593</v>
      </c>
      <c r="D255" s="6">
        <v>62533</v>
      </c>
      <c r="E255" s="2">
        <v>251</v>
      </c>
      <c r="H255" s="8">
        <f t="shared" si="7"/>
        <v>1020</v>
      </c>
    </row>
    <row r="256" spans="1:8" x14ac:dyDescent="0.2">
      <c r="A256" s="5">
        <v>1020.5</v>
      </c>
      <c r="B256" s="6">
        <v>5695898</v>
      </c>
      <c r="C256" s="6">
        <f t="shared" si="6"/>
        <v>7730898</v>
      </c>
      <c r="D256" s="6">
        <v>62687.999999899999</v>
      </c>
      <c r="E256" s="2">
        <v>252</v>
      </c>
      <c r="H256" s="8">
        <f t="shared" si="7"/>
        <v>1020.5</v>
      </c>
    </row>
    <row r="257" spans="1:8" x14ac:dyDescent="0.2">
      <c r="A257" s="5">
        <v>1021</v>
      </c>
      <c r="B257" s="6">
        <v>5727281</v>
      </c>
      <c r="C257" s="6">
        <f t="shared" si="6"/>
        <v>7762281</v>
      </c>
      <c r="D257" s="6">
        <v>62841.999999899999</v>
      </c>
      <c r="E257" s="2">
        <v>253</v>
      </c>
      <c r="H257" s="8">
        <f t="shared" si="7"/>
        <v>1021</v>
      </c>
    </row>
    <row r="258" spans="1:8" x14ac:dyDescent="0.2">
      <c r="A258" s="5">
        <v>1021.5</v>
      </c>
      <c r="B258" s="6">
        <v>5758741</v>
      </c>
      <c r="C258" s="6">
        <f t="shared" si="6"/>
        <v>7793741</v>
      </c>
      <c r="D258" s="6">
        <v>62997</v>
      </c>
      <c r="E258" s="2">
        <v>254</v>
      </c>
      <c r="H258" s="8">
        <f t="shared" si="7"/>
        <v>1021.5</v>
      </c>
    </row>
    <row r="259" spans="1:8" x14ac:dyDescent="0.2">
      <c r="A259" s="5">
        <v>1022</v>
      </c>
      <c r="B259" s="6">
        <v>5790278</v>
      </c>
      <c r="C259" s="6">
        <f t="shared" si="6"/>
        <v>7825278</v>
      </c>
      <c r="D259" s="6">
        <v>63151</v>
      </c>
      <c r="E259" s="2">
        <v>255</v>
      </c>
      <c r="H259" s="8">
        <f t="shared" si="7"/>
        <v>1022</v>
      </c>
    </row>
    <row r="260" spans="1:8" x14ac:dyDescent="0.2">
      <c r="A260" s="5">
        <v>1022.5</v>
      </c>
      <c r="B260" s="6">
        <v>5821892</v>
      </c>
      <c r="C260" s="6">
        <f t="shared" si="6"/>
        <v>7856892</v>
      </c>
      <c r="D260" s="6">
        <v>63305.999999899999</v>
      </c>
      <c r="E260" s="2">
        <v>256</v>
      </c>
      <c r="H260" s="8">
        <f t="shared" si="7"/>
        <v>1022.5</v>
      </c>
    </row>
    <row r="261" spans="1:8" x14ac:dyDescent="0.2">
      <c r="A261" s="5">
        <v>1023</v>
      </c>
      <c r="B261" s="6">
        <v>5853583</v>
      </c>
      <c r="C261" s="6">
        <f t="shared" si="6"/>
        <v>7888583</v>
      </c>
      <c r="D261" s="6">
        <v>63460.000000100001</v>
      </c>
      <c r="E261" s="2">
        <v>257</v>
      </c>
      <c r="H261" s="8">
        <f t="shared" si="7"/>
        <v>1023</v>
      </c>
    </row>
    <row r="262" spans="1:8" x14ac:dyDescent="0.2">
      <c r="A262" s="5">
        <v>1023.5</v>
      </c>
      <c r="B262" s="6">
        <v>5885352</v>
      </c>
      <c r="C262" s="6">
        <f t="shared" ref="C262:C325" si="8">B262+$C$3</f>
        <v>7920352</v>
      </c>
      <c r="D262" s="6">
        <v>63615</v>
      </c>
      <c r="E262" s="2">
        <v>258</v>
      </c>
      <c r="H262" s="8">
        <f t="shared" ref="H262:H325" si="9">A262</f>
        <v>1023.5</v>
      </c>
    </row>
    <row r="263" spans="1:8" x14ac:dyDescent="0.2">
      <c r="A263" s="5">
        <v>1024</v>
      </c>
      <c r="B263" s="6">
        <v>5917198</v>
      </c>
      <c r="C263" s="6">
        <f t="shared" si="8"/>
        <v>7952198</v>
      </c>
      <c r="D263" s="6">
        <v>63769</v>
      </c>
      <c r="E263" s="2">
        <v>259</v>
      </c>
      <c r="H263" s="8">
        <f t="shared" si="9"/>
        <v>1024</v>
      </c>
    </row>
    <row r="264" spans="1:8" x14ac:dyDescent="0.2">
      <c r="A264" s="5">
        <v>1024.5</v>
      </c>
      <c r="B264" s="6">
        <v>5949121</v>
      </c>
      <c r="C264" s="6">
        <f t="shared" si="8"/>
        <v>7984121</v>
      </c>
      <c r="D264" s="6">
        <v>63923.999999899999</v>
      </c>
      <c r="E264" s="2">
        <v>260</v>
      </c>
      <c r="H264" s="8">
        <f t="shared" si="9"/>
        <v>1024.5</v>
      </c>
    </row>
    <row r="265" spans="1:8" x14ac:dyDescent="0.2">
      <c r="A265" s="5">
        <v>1025</v>
      </c>
      <c r="B265" s="6">
        <v>5981122</v>
      </c>
      <c r="C265" s="6">
        <f t="shared" si="8"/>
        <v>8016122</v>
      </c>
      <c r="D265" s="6">
        <v>64078.000000100001</v>
      </c>
      <c r="E265" s="2">
        <v>261</v>
      </c>
      <c r="H265" s="8">
        <f t="shared" si="9"/>
        <v>1025</v>
      </c>
    </row>
    <row r="266" spans="1:8" x14ac:dyDescent="0.2">
      <c r="A266" s="5">
        <v>1025.5</v>
      </c>
      <c r="B266" s="6">
        <v>6013200</v>
      </c>
      <c r="C266" s="6">
        <f t="shared" si="8"/>
        <v>8048200</v>
      </c>
      <c r="D266" s="6">
        <v>64233</v>
      </c>
      <c r="E266" s="2">
        <v>262</v>
      </c>
      <c r="H266" s="8">
        <f t="shared" si="9"/>
        <v>1025.5</v>
      </c>
    </row>
    <row r="267" spans="1:8" x14ac:dyDescent="0.2">
      <c r="A267" s="5">
        <v>1026</v>
      </c>
      <c r="B267" s="6">
        <v>6045355</v>
      </c>
      <c r="C267" s="6">
        <f t="shared" si="8"/>
        <v>8080355</v>
      </c>
      <c r="D267" s="6">
        <v>64387</v>
      </c>
      <c r="E267" s="2">
        <v>263</v>
      </c>
      <c r="H267" s="8">
        <f t="shared" si="9"/>
        <v>1026</v>
      </c>
    </row>
    <row r="268" spans="1:8" x14ac:dyDescent="0.2">
      <c r="A268" s="5">
        <v>1026.5</v>
      </c>
      <c r="B268" s="6">
        <v>6077587</v>
      </c>
      <c r="C268" s="6">
        <f t="shared" si="8"/>
        <v>8112587</v>
      </c>
      <c r="D268" s="6">
        <v>64542.000000100001</v>
      </c>
      <c r="E268" s="2">
        <v>264</v>
      </c>
      <c r="H268" s="8">
        <f t="shared" si="9"/>
        <v>1026.5</v>
      </c>
    </row>
    <row r="269" spans="1:8" x14ac:dyDescent="0.2">
      <c r="A269" s="5">
        <v>1027</v>
      </c>
      <c r="B269" s="6">
        <v>6109897</v>
      </c>
      <c r="C269" s="6">
        <f t="shared" si="8"/>
        <v>8144897</v>
      </c>
      <c r="D269" s="6">
        <v>64696.000000100001</v>
      </c>
      <c r="E269" s="2">
        <v>265</v>
      </c>
      <c r="H269" s="8">
        <f t="shared" si="9"/>
        <v>1027</v>
      </c>
    </row>
    <row r="270" spans="1:8" x14ac:dyDescent="0.2">
      <c r="A270" s="5">
        <v>1027.5</v>
      </c>
      <c r="B270" s="6">
        <v>6142284</v>
      </c>
      <c r="C270" s="6">
        <f t="shared" si="8"/>
        <v>8177284</v>
      </c>
      <c r="D270" s="6">
        <v>64851</v>
      </c>
      <c r="E270" s="2">
        <v>266</v>
      </c>
      <c r="H270" s="8">
        <f t="shared" si="9"/>
        <v>1027.5</v>
      </c>
    </row>
    <row r="271" spans="1:8" x14ac:dyDescent="0.2">
      <c r="A271" s="5">
        <v>1028</v>
      </c>
      <c r="B271" s="6">
        <v>6174748</v>
      </c>
      <c r="C271" s="6">
        <f t="shared" si="8"/>
        <v>8209748</v>
      </c>
      <c r="D271" s="6">
        <v>65006.000000100001</v>
      </c>
      <c r="E271" s="2">
        <v>267</v>
      </c>
      <c r="H271" s="8">
        <f t="shared" si="9"/>
        <v>1028</v>
      </c>
    </row>
    <row r="272" spans="1:8" x14ac:dyDescent="0.2">
      <c r="A272" s="5">
        <v>1028.5</v>
      </c>
      <c r="B272" s="6">
        <v>6207289</v>
      </c>
      <c r="C272" s="6">
        <f t="shared" si="8"/>
        <v>8242289</v>
      </c>
      <c r="D272" s="6">
        <v>65160.000000100001</v>
      </c>
      <c r="E272" s="2">
        <v>268</v>
      </c>
      <c r="H272" s="8">
        <f t="shared" si="9"/>
        <v>1028.5</v>
      </c>
    </row>
    <row r="273" spans="1:8" x14ac:dyDescent="0.2">
      <c r="A273" s="5">
        <v>1029</v>
      </c>
      <c r="B273" s="6">
        <v>6239908</v>
      </c>
      <c r="C273" s="6">
        <f t="shared" si="8"/>
        <v>8274908</v>
      </c>
      <c r="D273" s="6">
        <v>65315</v>
      </c>
      <c r="E273" s="2">
        <v>269</v>
      </c>
      <c r="H273" s="8">
        <f t="shared" si="9"/>
        <v>1029</v>
      </c>
    </row>
    <row r="274" spans="1:8" x14ac:dyDescent="0.2">
      <c r="A274" s="5">
        <v>1029.5</v>
      </c>
      <c r="B274" s="6">
        <v>6272604</v>
      </c>
      <c r="C274" s="6">
        <f t="shared" si="8"/>
        <v>8307604</v>
      </c>
      <c r="D274" s="6">
        <v>65469</v>
      </c>
      <c r="E274" s="2">
        <v>270</v>
      </c>
      <c r="H274" s="8">
        <f t="shared" si="9"/>
        <v>1029.5</v>
      </c>
    </row>
    <row r="275" spans="1:8" x14ac:dyDescent="0.2">
      <c r="A275" s="5">
        <v>1030</v>
      </c>
      <c r="B275" s="6">
        <v>6305377</v>
      </c>
      <c r="C275" s="6">
        <f t="shared" si="8"/>
        <v>8340377</v>
      </c>
      <c r="D275" s="6">
        <v>65624.000000100001</v>
      </c>
      <c r="E275" s="2">
        <v>271</v>
      </c>
      <c r="H275" s="8">
        <f t="shared" si="9"/>
        <v>1030</v>
      </c>
    </row>
    <row r="276" spans="1:8" x14ac:dyDescent="0.2">
      <c r="A276" s="5">
        <v>1030.5</v>
      </c>
      <c r="B276" s="6">
        <v>6338229</v>
      </c>
      <c r="C276" s="6">
        <f t="shared" si="8"/>
        <v>8373229</v>
      </c>
      <c r="D276" s="6">
        <v>65784</v>
      </c>
      <c r="E276" s="2">
        <v>272</v>
      </c>
      <c r="H276" s="8">
        <f t="shared" si="9"/>
        <v>1030.5</v>
      </c>
    </row>
    <row r="277" spans="1:8" x14ac:dyDescent="0.2">
      <c r="A277" s="5">
        <v>1031</v>
      </c>
      <c r="B277" s="6">
        <v>6371161</v>
      </c>
      <c r="C277" s="6">
        <f t="shared" si="8"/>
        <v>8406161</v>
      </c>
      <c r="D277" s="6">
        <v>65945</v>
      </c>
      <c r="E277" s="2">
        <v>273</v>
      </c>
      <c r="H277" s="8">
        <f t="shared" si="9"/>
        <v>1031</v>
      </c>
    </row>
    <row r="278" spans="1:8" x14ac:dyDescent="0.2">
      <c r="A278" s="5">
        <v>1031.5</v>
      </c>
      <c r="B278" s="6">
        <v>6404174</v>
      </c>
      <c r="C278" s="6">
        <f t="shared" si="8"/>
        <v>8439174</v>
      </c>
      <c r="D278" s="6">
        <v>66105.000000100001</v>
      </c>
      <c r="E278" s="2">
        <v>274</v>
      </c>
      <c r="H278" s="8">
        <f t="shared" si="9"/>
        <v>1031.5</v>
      </c>
    </row>
    <row r="279" spans="1:8" x14ac:dyDescent="0.2">
      <c r="A279" s="5">
        <v>1032</v>
      </c>
      <c r="B279" s="6">
        <v>6437266</v>
      </c>
      <c r="C279" s="6">
        <f t="shared" si="8"/>
        <v>8472266</v>
      </c>
      <c r="D279" s="6">
        <v>66266.000000100001</v>
      </c>
      <c r="E279" s="2">
        <v>275</v>
      </c>
      <c r="H279" s="8">
        <f t="shared" si="9"/>
        <v>1032</v>
      </c>
    </row>
    <row r="280" spans="1:8" x14ac:dyDescent="0.2">
      <c r="A280" s="5">
        <v>1032.5</v>
      </c>
      <c r="B280" s="6">
        <v>6470439</v>
      </c>
      <c r="C280" s="6">
        <f t="shared" si="8"/>
        <v>8505439</v>
      </c>
      <c r="D280" s="6">
        <v>66425.999999899999</v>
      </c>
      <c r="E280" s="2">
        <v>276</v>
      </c>
      <c r="H280" s="8">
        <f t="shared" si="9"/>
        <v>1032.5</v>
      </c>
    </row>
    <row r="281" spans="1:8" x14ac:dyDescent="0.2">
      <c r="A281" s="5">
        <v>1033</v>
      </c>
      <c r="B281" s="6">
        <v>6503693</v>
      </c>
      <c r="C281" s="6">
        <f t="shared" si="8"/>
        <v>8538693</v>
      </c>
      <c r="D281" s="6">
        <v>66586.999999899999</v>
      </c>
      <c r="E281" s="2">
        <v>277</v>
      </c>
      <c r="H281" s="8">
        <f t="shared" si="9"/>
        <v>1033</v>
      </c>
    </row>
    <row r="282" spans="1:8" x14ac:dyDescent="0.2">
      <c r="A282" s="5">
        <v>1033.5</v>
      </c>
      <c r="B282" s="6">
        <v>6537026</v>
      </c>
      <c r="C282" s="6">
        <f t="shared" si="8"/>
        <v>8572026</v>
      </c>
      <c r="D282" s="6">
        <v>66747</v>
      </c>
      <c r="E282" s="2">
        <v>278</v>
      </c>
      <c r="H282" s="8">
        <f t="shared" si="9"/>
        <v>1033.5</v>
      </c>
    </row>
    <row r="283" spans="1:8" x14ac:dyDescent="0.2">
      <c r="A283" s="5">
        <v>1034</v>
      </c>
      <c r="B283" s="6">
        <v>6570440</v>
      </c>
      <c r="C283" s="6">
        <f t="shared" si="8"/>
        <v>8605440</v>
      </c>
      <c r="D283" s="6">
        <v>66908</v>
      </c>
      <c r="E283" s="2">
        <v>279</v>
      </c>
      <c r="H283" s="8">
        <f t="shared" si="9"/>
        <v>1034</v>
      </c>
    </row>
    <row r="284" spans="1:8" x14ac:dyDescent="0.2">
      <c r="A284" s="5">
        <v>1034.5</v>
      </c>
      <c r="B284" s="6">
        <v>6603934</v>
      </c>
      <c r="C284" s="6">
        <f t="shared" si="8"/>
        <v>8638934</v>
      </c>
      <c r="D284" s="6">
        <v>67068.000000100001</v>
      </c>
      <c r="E284" s="2">
        <v>280</v>
      </c>
      <c r="H284" s="8">
        <f t="shared" si="9"/>
        <v>1034.5</v>
      </c>
    </row>
    <row r="285" spans="1:8" x14ac:dyDescent="0.2">
      <c r="A285" s="5">
        <v>1035</v>
      </c>
      <c r="B285" s="6">
        <v>6637508</v>
      </c>
      <c r="C285" s="6">
        <f t="shared" si="8"/>
        <v>8672508</v>
      </c>
      <c r="D285" s="6">
        <v>67229.000000100001</v>
      </c>
      <c r="E285" s="2">
        <v>281</v>
      </c>
      <c r="H285" s="8">
        <f t="shared" si="9"/>
        <v>1035</v>
      </c>
    </row>
    <row r="286" spans="1:8" x14ac:dyDescent="0.2">
      <c r="A286" s="5">
        <v>1035.5</v>
      </c>
      <c r="B286" s="6">
        <v>6671163</v>
      </c>
      <c r="C286" s="6">
        <f t="shared" si="8"/>
        <v>8706163</v>
      </c>
      <c r="D286" s="6">
        <v>67389</v>
      </c>
      <c r="E286" s="2">
        <v>282</v>
      </c>
      <c r="H286" s="8">
        <f t="shared" si="9"/>
        <v>1035.5</v>
      </c>
    </row>
    <row r="287" spans="1:8" x14ac:dyDescent="0.2">
      <c r="A287" s="5">
        <v>1036</v>
      </c>
      <c r="B287" s="6">
        <v>6704897</v>
      </c>
      <c r="C287" s="6">
        <f t="shared" si="8"/>
        <v>8739897</v>
      </c>
      <c r="D287" s="6">
        <v>67550</v>
      </c>
      <c r="E287" s="2">
        <v>283</v>
      </c>
      <c r="H287" s="8">
        <f t="shared" si="9"/>
        <v>1036</v>
      </c>
    </row>
    <row r="288" spans="1:8" x14ac:dyDescent="0.2">
      <c r="A288" s="5">
        <v>1036.5</v>
      </c>
      <c r="B288" s="6">
        <v>6738713</v>
      </c>
      <c r="C288" s="6">
        <f t="shared" si="8"/>
        <v>8773713</v>
      </c>
      <c r="D288" s="6">
        <v>67710.000000100001</v>
      </c>
      <c r="E288" s="2">
        <v>284</v>
      </c>
      <c r="H288" s="8">
        <f t="shared" si="9"/>
        <v>1036.5</v>
      </c>
    </row>
    <row r="289" spans="1:8" x14ac:dyDescent="0.2">
      <c r="A289" s="5">
        <v>1037</v>
      </c>
      <c r="B289" s="6">
        <v>6772608</v>
      </c>
      <c r="C289" s="6">
        <f t="shared" si="8"/>
        <v>8807608</v>
      </c>
      <c r="D289" s="6">
        <v>67871.000000100001</v>
      </c>
      <c r="E289" s="2">
        <v>285</v>
      </c>
      <c r="H289" s="8">
        <f t="shared" si="9"/>
        <v>1037</v>
      </c>
    </row>
    <row r="290" spans="1:8" x14ac:dyDescent="0.2">
      <c r="A290" s="5">
        <v>1037.5</v>
      </c>
      <c r="B290" s="6">
        <v>6806583</v>
      </c>
      <c r="C290" s="6">
        <f t="shared" si="8"/>
        <v>8841583</v>
      </c>
      <c r="D290" s="6">
        <v>68030.999999899999</v>
      </c>
      <c r="E290" s="2">
        <v>286</v>
      </c>
      <c r="H290" s="8">
        <f t="shared" si="9"/>
        <v>1037.5</v>
      </c>
    </row>
    <row r="291" spans="1:8" x14ac:dyDescent="0.2">
      <c r="A291" s="5">
        <v>1038</v>
      </c>
      <c r="B291" s="6">
        <v>6840639</v>
      </c>
      <c r="C291" s="6">
        <f t="shared" si="8"/>
        <v>8875639</v>
      </c>
      <c r="D291" s="6">
        <v>68191.999999899999</v>
      </c>
      <c r="E291" s="2">
        <v>287</v>
      </c>
      <c r="H291" s="8">
        <f t="shared" si="9"/>
        <v>1038</v>
      </c>
    </row>
    <row r="292" spans="1:8" x14ac:dyDescent="0.2">
      <c r="A292" s="5">
        <v>1038.5</v>
      </c>
      <c r="B292" s="6">
        <v>6874775</v>
      </c>
      <c r="C292" s="6">
        <f t="shared" si="8"/>
        <v>8909775</v>
      </c>
      <c r="D292" s="6">
        <v>68352</v>
      </c>
      <c r="E292" s="2">
        <v>288</v>
      </c>
      <c r="H292" s="8">
        <f t="shared" si="9"/>
        <v>1038.5</v>
      </c>
    </row>
    <row r="293" spans="1:8" x14ac:dyDescent="0.2">
      <c r="A293" s="5">
        <v>1039</v>
      </c>
      <c r="B293" s="6">
        <v>6908992</v>
      </c>
      <c r="C293" s="6">
        <f t="shared" si="8"/>
        <v>8943992</v>
      </c>
      <c r="D293" s="6">
        <v>68513</v>
      </c>
      <c r="E293" s="2">
        <v>289</v>
      </c>
      <c r="H293" s="8">
        <f t="shared" si="9"/>
        <v>1039</v>
      </c>
    </row>
    <row r="294" spans="1:8" x14ac:dyDescent="0.2">
      <c r="A294" s="5">
        <v>1039.5</v>
      </c>
      <c r="B294" s="6">
        <v>6943288</v>
      </c>
      <c r="C294" s="6">
        <f t="shared" si="8"/>
        <v>8978288</v>
      </c>
      <c r="D294" s="6">
        <v>68672.999999899999</v>
      </c>
      <c r="E294" s="2">
        <v>290</v>
      </c>
      <c r="H294" s="8">
        <f t="shared" si="9"/>
        <v>1039.5</v>
      </c>
    </row>
    <row r="295" spans="1:8" x14ac:dyDescent="0.2">
      <c r="A295" s="5">
        <v>1040</v>
      </c>
      <c r="B295" s="6">
        <v>6977665</v>
      </c>
      <c r="C295" s="6">
        <f t="shared" si="8"/>
        <v>9012665</v>
      </c>
      <c r="D295" s="6">
        <v>68833.999999899999</v>
      </c>
      <c r="E295" s="2">
        <v>291</v>
      </c>
      <c r="H295" s="8">
        <f t="shared" si="9"/>
        <v>1040</v>
      </c>
    </row>
    <row r="296" spans="1:8" x14ac:dyDescent="0.2">
      <c r="A296" s="5">
        <v>1040.5</v>
      </c>
      <c r="B296" s="6">
        <v>7012124</v>
      </c>
      <c r="C296" s="6">
        <f t="shared" si="8"/>
        <v>9047124</v>
      </c>
      <c r="D296" s="6">
        <v>69003</v>
      </c>
      <c r="E296" s="2">
        <v>292</v>
      </c>
      <c r="H296" s="8">
        <f t="shared" si="9"/>
        <v>1040.5</v>
      </c>
    </row>
    <row r="297" spans="1:8" x14ac:dyDescent="0.2">
      <c r="A297" s="5">
        <v>1041</v>
      </c>
      <c r="B297" s="6">
        <v>7046668</v>
      </c>
      <c r="C297" s="6">
        <f t="shared" si="8"/>
        <v>9081668</v>
      </c>
      <c r="D297" s="6">
        <v>69171</v>
      </c>
      <c r="E297" s="2">
        <v>293</v>
      </c>
      <c r="H297" s="8">
        <f t="shared" si="9"/>
        <v>1041</v>
      </c>
    </row>
    <row r="298" spans="1:8" x14ac:dyDescent="0.2">
      <c r="A298" s="5">
        <v>1041.5</v>
      </c>
      <c r="B298" s="6">
        <v>7081296</v>
      </c>
      <c r="C298" s="6">
        <f t="shared" si="8"/>
        <v>9116296</v>
      </c>
      <c r="D298" s="6">
        <v>69339.999999899999</v>
      </c>
      <c r="E298" s="2">
        <v>294</v>
      </c>
      <c r="H298" s="8">
        <f t="shared" si="9"/>
        <v>1041.5</v>
      </c>
    </row>
    <row r="299" spans="1:8" x14ac:dyDescent="0.2">
      <c r="A299" s="5">
        <v>1042</v>
      </c>
      <c r="B299" s="6">
        <v>7116008</v>
      </c>
      <c r="C299" s="6">
        <f t="shared" si="8"/>
        <v>9151008</v>
      </c>
      <c r="D299" s="6">
        <v>69509.000000100001</v>
      </c>
      <c r="E299" s="2">
        <v>295</v>
      </c>
      <c r="H299" s="8">
        <f t="shared" si="9"/>
        <v>1042</v>
      </c>
    </row>
    <row r="300" spans="1:8" x14ac:dyDescent="0.2">
      <c r="A300" s="5">
        <v>1042.5</v>
      </c>
      <c r="B300" s="6">
        <v>7150804</v>
      </c>
      <c r="C300" s="6">
        <f t="shared" si="8"/>
        <v>9185804</v>
      </c>
      <c r="D300" s="6">
        <v>69677.000000100001</v>
      </c>
      <c r="E300" s="2">
        <v>296</v>
      </c>
      <c r="H300" s="8">
        <f t="shared" si="9"/>
        <v>1042.5</v>
      </c>
    </row>
    <row r="301" spans="1:8" x14ac:dyDescent="0.2">
      <c r="A301" s="5">
        <v>1043</v>
      </c>
      <c r="B301" s="6">
        <v>7185685</v>
      </c>
      <c r="C301" s="6">
        <f t="shared" si="8"/>
        <v>9220685</v>
      </c>
      <c r="D301" s="6">
        <v>69846</v>
      </c>
      <c r="E301" s="2">
        <v>297</v>
      </c>
      <c r="H301" s="8">
        <f t="shared" si="9"/>
        <v>1043</v>
      </c>
    </row>
    <row r="302" spans="1:8" x14ac:dyDescent="0.2">
      <c r="A302" s="5">
        <v>1043.5</v>
      </c>
      <c r="B302" s="6">
        <v>7220651</v>
      </c>
      <c r="C302" s="6">
        <f t="shared" si="8"/>
        <v>9255651</v>
      </c>
      <c r="D302" s="6">
        <v>70014.999999899999</v>
      </c>
      <c r="E302" s="2">
        <v>298</v>
      </c>
      <c r="H302" s="8">
        <f t="shared" si="9"/>
        <v>1043.5</v>
      </c>
    </row>
    <row r="303" spans="1:8" x14ac:dyDescent="0.2">
      <c r="A303" s="5">
        <v>1044</v>
      </c>
      <c r="B303" s="6">
        <v>7255700</v>
      </c>
      <c r="C303" s="6">
        <f t="shared" si="8"/>
        <v>9290700</v>
      </c>
      <c r="D303" s="6">
        <v>70184.000000100001</v>
      </c>
      <c r="E303" s="2">
        <v>299</v>
      </c>
      <c r="H303" s="8">
        <f t="shared" si="9"/>
        <v>1044</v>
      </c>
    </row>
    <row r="304" spans="1:8" x14ac:dyDescent="0.2">
      <c r="A304" s="5">
        <v>1044.5</v>
      </c>
      <c r="B304" s="6">
        <v>7290834</v>
      </c>
      <c r="C304" s="6">
        <f t="shared" si="8"/>
        <v>9325834</v>
      </c>
      <c r="D304" s="6">
        <v>70352.000000100001</v>
      </c>
      <c r="E304" s="2">
        <v>300</v>
      </c>
      <c r="H304" s="8">
        <f t="shared" si="9"/>
        <v>1044.5</v>
      </c>
    </row>
    <row r="305" spans="1:8" x14ac:dyDescent="0.2">
      <c r="A305" s="5">
        <v>1045</v>
      </c>
      <c r="B305" s="6">
        <v>7326052</v>
      </c>
      <c r="C305" s="6">
        <f t="shared" si="8"/>
        <v>9361052</v>
      </c>
      <c r="D305" s="6">
        <v>70521</v>
      </c>
      <c r="E305" s="2">
        <v>301</v>
      </c>
      <c r="H305" s="8">
        <f t="shared" si="9"/>
        <v>1045</v>
      </c>
    </row>
    <row r="306" spans="1:8" x14ac:dyDescent="0.2">
      <c r="A306" s="5">
        <v>1045.5</v>
      </c>
      <c r="B306" s="6">
        <v>7361355</v>
      </c>
      <c r="C306" s="6">
        <f t="shared" si="8"/>
        <v>9396355</v>
      </c>
      <c r="D306" s="6">
        <v>70689.999999899999</v>
      </c>
      <c r="E306" s="2">
        <v>302</v>
      </c>
      <c r="H306" s="8">
        <f t="shared" si="9"/>
        <v>1045.5</v>
      </c>
    </row>
    <row r="307" spans="1:8" x14ac:dyDescent="0.2">
      <c r="A307" s="5">
        <v>1046</v>
      </c>
      <c r="B307" s="6">
        <v>7396742</v>
      </c>
      <c r="C307" s="6">
        <f t="shared" si="8"/>
        <v>9431742</v>
      </c>
      <c r="D307" s="6">
        <v>70857.999999899999</v>
      </c>
      <c r="E307" s="2">
        <v>303</v>
      </c>
      <c r="H307" s="8">
        <f t="shared" si="9"/>
        <v>1046</v>
      </c>
    </row>
    <row r="308" spans="1:8" x14ac:dyDescent="0.2">
      <c r="A308" s="5">
        <v>1046.5</v>
      </c>
      <c r="B308" s="6">
        <v>7432213</v>
      </c>
      <c r="C308" s="6">
        <f t="shared" si="8"/>
        <v>9467213</v>
      </c>
      <c r="D308" s="6">
        <v>71027</v>
      </c>
      <c r="E308" s="2">
        <v>304</v>
      </c>
      <c r="H308" s="8">
        <f t="shared" si="9"/>
        <v>1046.5</v>
      </c>
    </row>
    <row r="309" spans="1:8" x14ac:dyDescent="0.2">
      <c r="A309" s="5">
        <v>1047</v>
      </c>
      <c r="B309" s="6">
        <v>7467768</v>
      </c>
      <c r="C309" s="6">
        <f t="shared" si="8"/>
        <v>9502768</v>
      </c>
      <c r="D309" s="6">
        <v>71196</v>
      </c>
      <c r="E309" s="2">
        <v>305</v>
      </c>
      <c r="H309" s="8">
        <f t="shared" si="9"/>
        <v>1047</v>
      </c>
    </row>
    <row r="310" spans="1:8" x14ac:dyDescent="0.2">
      <c r="A310" s="5">
        <v>1047.5</v>
      </c>
      <c r="B310" s="6">
        <v>7503408</v>
      </c>
      <c r="C310" s="6">
        <f t="shared" si="8"/>
        <v>9538408</v>
      </c>
      <c r="D310" s="6">
        <v>71364</v>
      </c>
      <c r="E310" s="2">
        <v>306</v>
      </c>
      <c r="H310" s="8">
        <f t="shared" si="9"/>
        <v>1047.5</v>
      </c>
    </row>
    <row r="311" spans="1:8" x14ac:dyDescent="0.2">
      <c r="A311" s="5">
        <v>1048</v>
      </c>
      <c r="B311" s="6">
        <v>7539138</v>
      </c>
      <c r="C311" s="6">
        <f t="shared" si="8"/>
        <v>9574138</v>
      </c>
      <c r="D311" s="6">
        <v>71533.000000100001</v>
      </c>
      <c r="E311" s="2">
        <v>307</v>
      </c>
      <c r="H311" s="8">
        <f t="shared" si="9"/>
        <v>1048</v>
      </c>
    </row>
    <row r="312" spans="1:8" x14ac:dyDescent="0.2">
      <c r="A312" s="5">
        <v>1048.5</v>
      </c>
      <c r="B312" s="6">
        <v>7574938</v>
      </c>
      <c r="C312" s="6">
        <f t="shared" si="8"/>
        <v>9609938</v>
      </c>
      <c r="D312" s="6">
        <v>71702</v>
      </c>
      <c r="E312" s="2">
        <v>308</v>
      </c>
      <c r="H312" s="8">
        <f t="shared" si="9"/>
        <v>1048.5</v>
      </c>
    </row>
    <row r="313" spans="1:8" x14ac:dyDescent="0.2">
      <c r="A313" s="5">
        <v>1049</v>
      </c>
      <c r="B313" s="6">
        <v>7610838</v>
      </c>
      <c r="C313" s="6">
        <f t="shared" si="8"/>
        <v>9645838</v>
      </c>
      <c r="D313" s="6">
        <v>71870.999999899999</v>
      </c>
      <c r="E313" s="2">
        <v>309</v>
      </c>
      <c r="H313" s="8">
        <f t="shared" si="9"/>
        <v>1049</v>
      </c>
    </row>
    <row r="314" spans="1:8" x14ac:dyDescent="0.2">
      <c r="A314" s="5">
        <v>1049.5</v>
      </c>
      <c r="B314" s="6">
        <v>7646818</v>
      </c>
      <c r="C314" s="6">
        <f t="shared" si="8"/>
        <v>9681818</v>
      </c>
      <c r="D314" s="6">
        <v>72038.999999899999</v>
      </c>
      <c r="E314" s="2">
        <v>310</v>
      </c>
      <c r="H314" s="8">
        <f t="shared" si="9"/>
        <v>1049.5</v>
      </c>
    </row>
    <row r="315" spans="1:8" x14ac:dyDescent="0.2">
      <c r="A315" s="5">
        <v>1050</v>
      </c>
      <c r="B315" s="6">
        <v>7682878</v>
      </c>
      <c r="C315" s="6">
        <f t="shared" si="8"/>
        <v>9717878</v>
      </c>
      <c r="D315" s="6">
        <v>72208.000000100001</v>
      </c>
      <c r="E315" s="2">
        <v>311</v>
      </c>
      <c r="H315" s="8">
        <f t="shared" si="9"/>
        <v>1050</v>
      </c>
    </row>
    <row r="316" spans="1:8" x14ac:dyDescent="0.2">
      <c r="A316" s="5">
        <v>1050.5</v>
      </c>
      <c r="B316" s="6">
        <v>7719018</v>
      </c>
      <c r="C316" s="6">
        <f t="shared" si="8"/>
        <v>9754018</v>
      </c>
      <c r="D316" s="6">
        <v>72393</v>
      </c>
      <c r="E316" s="2">
        <v>312</v>
      </c>
      <c r="H316" s="8">
        <f t="shared" si="9"/>
        <v>1050.5</v>
      </c>
    </row>
    <row r="317" spans="1:8" x14ac:dyDescent="0.2">
      <c r="A317" s="5">
        <v>1051</v>
      </c>
      <c r="B317" s="6">
        <v>7755258</v>
      </c>
      <c r="C317" s="6">
        <f t="shared" si="8"/>
        <v>9790258</v>
      </c>
      <c r="D317" s="6">
        <v>72573.999999899999</v>
      </c>
      <c r="E317" s="2">
        <v>313</v>
      </c>
      <c r="H317" s="8">
        <f t="shared" si="9"/>
        <v>1051</v>
      </c>
    </row>
    <row r="318" spans="1:8" x14ac:dyDescent="0.2">
      <c r="A318" s="5">
        <v>1051.5</v>
      </c>
      <c r="B318" s="6">
        <v>7791588</v>
      </c>
      <c r="C318" s="6">
        <f t="shared" si="8"/>
        <v>9826588</v>
      </c>
      <c r="D318" s="6">
        <v>72755.000000100001</v>
      </c>
      <c r="E318" s="2">
        <v>314</v>
      </c>
      <c r="H318" s="8">
        <f t="shared" si="9"/>
        <v>1051.5</v>
      </c>
    </row>
    <row r="319" spans="1:8" x14ac:dyDescent="0.2">
      <c r="A319" s="5">
        <v>1052</v>
      </c>
      <c r="B319" s="6">
        <v>7828018</v>
      </c>
      <c r="C319" s="6">
        <f t="shared" si="8"/>
        <v>9863018</v>
      </c>
      <c r="D319" s="6">
        <v>72936</v>
      </c>
      <c r="E319" s="2">
        <v>315</v>
      </c>
      <c r="H319" s="8">
        <f t="shared" si="9"/>
        <v>1052</v>
      </c>
    </row>
    <row r="320" spans="1:8" x14ac:dyDescent="0.2">
      <c r="A320" s="5">
        <v>1052.5</v>
      </c>
      <c r="B320" s="6">
        <v>7864528</v>
      </c>
      <c r="C320" s="6">
        <f t="shared" si="8"/>
        <v>9899528</v>
      </c>
      <c r="D320" s="6">
        <v>73117.000000100001</v>
      </c>
      <c r="E320" s="2">
        <v>316</v>
      </c>
      <c r="H320" s="8">
        <f t="shared" si="9"/>
        <v>1052.5</v>
      </c>
    </row>
    <row r="321" spans="1:8" x14ac:dyDescent="0.2">
      <c r="A321" s="5">
        <v>1053</v>
      </c>
      <c r="B321" s="6">
        <v>7901128</v>
      </c>
      <c r="C321" s="6">
        <f t="shared" si="8"/>
        <v>9936128</v>
      </c>
      <c r="D321" s="6">
        <v>73298</v>
      </c>
      <c r="E321" s="2">
        <v>317</v>
      </c>
      <c r="H321" s="8">
        <f t="shared" si="9"/>
        <v>1053</v>
      </c>
    </row>
    <row r="322" spans="1:8" x14ac:dyDescent="0.2">
      <c r="A322" s="5">
        <v>1053.5</v>
      </c>
      <c r="B322" s="6">
        <v>7937828</v>
      </c>
      <c r="C322" s="6">
        <f t="shared" si="8"/>
        <v>9972828</v>
      </c>
      <c r="D322" s="6">
        <v>73479.000000100001</v>
      </c>
      <c r="E322" s="2">
        <v>318</v>
      </c>
      <c r="H322" s="8">
        <f t="shared" si="9"/>
        <v>1053.5</v>
      </c>
    </row>
    <row r="323" spans="1:8" x14ac:dyDescent="0.2">
      <c r="A323" s="5">
        <v>1054</v>
      </c>
      <c r="B323" s="6">
        <v>7974608</v>
      </c>
      <c r="C323" s="6">
        <f t="shared" si="8"/>
        <v>10009608</v>
      </c>
      <c r="D323" s="6">
        <v>73660</v>
      </c>
      <c r="E323" s="2">
        <v>319</v>
      </c>
      <c r="H323" s="8">
        <f t="shared" si="9"/>
        <v>1054</v>
      </c>
    </row>
    <row r="324" spans="1:8" x14ac:dyDescent="0.2">
      <c r="A324" s="5">
        <v>1054.5</v>
      </c>
      <c r="B324" s="6">
        <v>8011488</v>
      </c>
      <c r="C324" s="6">
        <f t="shared" si="8"/>
        <v>10046488</v>
      </c>
      <c r="D324" s="6">
        <v>73840.999999899999</v>
      </c>
      <c r="E324" s="2">
        <v>320</v>
      </c>
      <c r="H324" s="8">
        <f t="shared" si="9"/>
        <v>1054.5</v>
      </c>
    </row>
    <row r="325" spans="1:8" x14ac:dyDescent="0.2">
      <c r="A325" s="5">
        <v>1055</v>
      </c>
      <c r="B325" s="6">
        <v>8048458</v>
      </c>
      <c r="C325" s="6">
        <f t="shared" si="8"/>
        <v>10083458</v>
      </c>
      <c r="D325" s="6">
        <v>74022</v>
      </c>
      <c r="E325" s="2">
        <v>321</v>
      </c>
      <c r="H325" s="8">
        <f t="shared" si="9"/>
        <v>1055</v>
      </c>
    </row>
    <row r="326" spans="1:8" x14ac:dyDescent="0.2">
      <c r="A326" s="5">
        <v>1055.5</v>
      </c>
      <c r="B326" s="6">
        <v>8085508</v>
      </c>
      <c r="C326" s="6">
        <f t="shared" ref="C326:C389" si="10">B326+$C$3</f>
        <v>10120508</v>
      </c>
      <c r="D326" s="6">
        <v>74202.999999899999</v>
      </c>
      <c r="E326" s="2">
        <v>322</v>
      </c>
      <c r="H326" s="8">
        <f t="shared" ref="H326:H389" si="11">A326</f>
        <v>1055.5</v>
      </c>
    </row>
    <row r="327" spans="1:8" x14ac:dyDescent="0.2">
      <c r="A327" s="5">
        <v>1056</v>
      </c>
      <c r="B327" s="6">
        <v>8122657.9999900004</v>
      </c>
      <c r="C327" s="6">
        <f t="shared" si="10"/>
        <v>10157657.999990001</v>
      </c>
      <c r="D327" s="6">
        <v>74384</v>
      </c>
      <c r="E327" s="2">
        <v>323</v>
      </c>
      <c r="H327" s="8">
        <f t="shared" si="11"/>
        <v>1056</v>
      </c>
    </row>
    <row r="328" spans="1:8" x14ac:dyDescent="0.2">
      <c r="A328" s="5">
        <v>1056.5</v>
      </c>
      <c r="B328" s="6">
        <v>8159897.9999700002</v>
      </c>
      <c r="C328" s="6">
        <f t="shared" si="10"/>
        <v>10194897.99997</v>
      </c>
      <c r="D328" s="6">
        <v>74564.999999899999</v>
      </c>
      <c r="E328" s="2">
        <v>324</v>
      </c>
      <c r="H328" s="8">
        <f t="shared" si="11"/>
        <v>1056.5</v>
      </c>
    </row>
    <row r="329" spans="1:8" x14ac:dyDescent="0.2">
      <c r="A329" s="5">
        <v>1057</v>
      </c>
      <c r="B329" s="6">
        <v>8197217.9999900004</v>
      </c>
      <c r="C329" s="6">
        <f t="shared" si="10"/>
        <v>10232217.999990001</v>
      </c>
      <c r="D329" s="6">
        <v>74746.000000100001</v>
      </c>
      <c r="E329" s="2">
        <v>325</v>
      </c>
      <c r="H329" s="8">
        <f t="shared" si="11"/>
        <v>1057</v>
      </c>
    </row>
    <row r="330" spans="1:8" x14ac:dyDescent="0.2">
      <c r="A330" s="5">
        <v>1057.5</v>
      </c>
      <c r="B330" s="6">
        <v>8234638.0000200002</v>
      </c>
      <c r="C330" s="6">
        <f t="shared" si="10"/>
        <v>10269638.000020001</v>
      </c>
      <c r="D330" s="6">
        <v>74927</v>
      </c>
      <c r="E330" s="2">
        <v>326</v>
      </c>
      <c r="H330" s="8">
        <f t="shared" si="11"/>
        <v>1057.5</v>
      </c>
    </row>
    <row r="331" spans="1:8" x14ac:dyDescent="0.2">
      <c r="A331" s="5">
        <v>1058</v>
      </c>
      <c r="B331" s="6">
        <v>8272148</v>
      </c>
      <c r="C331" s="6">
        <f t="shared" si="10"/>
        <v>10307148</v>
      </c>
      <c r="D331" s="6">
        <v>75108.000000100001</v>
      </c>
      <c r="E331" s="2">
        <v>327</v>
      </c>
      <c r="H331" s="8">
        <f t="shared" si="11"/>
        <v>1058</v>
      </c>
    </row>
    <row r="332" spans="1:8" x14ac:dyDescent="0.2">
      <c r="A332" s="5">
        <v>1058.5</v>
      </c>
      <c r="B332" s="6">
        <v>8309748</v>
      </c>
      <c r="C332" s="6">
        <f t="shared" si="10"/>
        <v>10344748</v>
      </c>
      <c r="D332" s="6">
        <v>75289</v>
      </c>
      <c r="E332" s="2">
        <v>328</v>
      </c>
      <c r="H332" s="8">
        <f t="shared" si="11"/>
        <v>1058.5</v>
      </c>
    </row>
    <row r="333" spans="1:8" x14ac:dyDescent="0.2">
      <c r="A333" s="5">
        <v>1059</v>
      </c>
      <c r="B333" s="6">
        <v>8347438.0000400003</v>
      </c>
      <c r="C333" s="6">
        <f t="shared" si="10"/>
        <v>10382438.00004</v>
      </c>
      <c r="D333" s="6">
        <v>75470.000000100001</v>
      </c>
      <c r="E333" s="2">
        <v>329</v>
      </c>
      <c r="H333" s="8">
        <f t="shared" si="11"/>
        <v>1059</v>
      </c>
    </row>
    <row r="334" spans="1:8" x14ac:dyDescent="0.2">
      <c r="A334" s="5">
        <v>1059.5</v>
      </c>
      <c r="B334" s="6">
        <v>8385218.0000200002</v>
      </c>
      <c r="C334" s="6">
        <f t="shared" si="10"/>
        <v>10420218.000020001</v>
      </c>
      <c r="D334" s="6">
        <v>75651</v>
      </c>
      <c r="E334" s="2">
        <v>330</v>
      </c>
      <c r="H334" s="8">
        <f t="shared" si="11"/>
        <v>1059.5</v>
      </c>
    </row>
    <row r="335" spans="1:8" x14ac:dyDescent="0.2">
      <c r="A335" s="5">
        <v>1060</v>
      </c>
      <c r="B335" s="6">
        <v>8423088.0000299998</v>
      </c>
      <c r="C335" s="6">
        <f t="shared" si="10"/>
        <v>10458088.00003</v>
      </c>
      <c r="D335" s="6">
        <v>75831.999999899999</v>
      </c>
      <c r="E335" s="2">
        <v>331</v>
      </c>
      <c r="H335" s="8">
        <f t="shared" si="11"/>
        <v>1060</v>
      </c>
    </row>
    <row r="336" spans="1:8" x14ac:dyDescent="0.2">
      <c r="A336" s="5">
        <v>1060.5</v>
      </c>
      <c r="B336" s="6">
        <v>8461047.9999899995</v>
      </c>
      <c r="C336" s="6">
        <f t="shared" si="10"/>
        <v>10496047.999989999</v>
      </c>
      <c r="D336" s="6">
        <v>76013</v>
      </c>
      <c r="E336" s="2">
        <v>332</v>
      </c>
      <c r="H336" s="8">
        <f t="shared" si="11"/>
        <v>1060.5</v>
      </c>
    </row>
    <row r="337" spans="1:8" x14ac:dyDescent="0.2">
      <c r="A337" s="5">
        <v>1061</v>
      </c>
      <c r="B337" s="6">
        <v>8499097.9999700002</v>
      </c>
      <c r="C337" s="6">
        <f t="shared" si="10"/>
        <v>10534097.99997</v>
      </c>
      <c r="D337" s="6">
        <v>76193.999999899999</v>
      </c>
      <c r="E337" s="2">
        <v>333</v>
      </c>
      <c r="H337" s="8">
        <f t="shared" si="11"/>
        <v>1061</v>
      </c>
    </row>
    <row r="338" spans="1:8" x14ac:dyDescent="0.2">
      <c r="A338" s="5">
        <v>1061.5</v>
      </c>
      <c r="B338" s="6">
        <v>8537247.9999700002</v>
      </c>
      <c r="C338" s="6">
        <f t="shared" si="10"/>
        <v>10572247.99997</v>
      </c>
      <c r="D338" s="6">
        <v>76375</v>
      </c>
      <c r="E338" s="2">
        <v>334</v>
      </c>
      <c r="H338" s="8">
        <f t="shared" si="11"/>
        <v>1061.5</v>
      </c>
    </row>
    <row r="339" spans="1:8" x14ac:dyDescent="0.2">
      <c r="A339" s="5">
        <v>1062</v>
      </c>
      <c r="B339" s="6">
        <v>8575478.0000100005</v>
      </c>
      <c r="C339" s="6">
        <f t="shared" si="10"/>
        <v>10610478.000010001</v>
      </c>
      <c r="D339" s="6">
        <v>76555.999999899999</v>
      </c>
      <c r="E339" s="2">
        <v>335</v>
      </c>
      <c r="H339" s="8">
        <f t="shared" si="11"/>
        <v>1062</v>
      </c>
    </row>
    <row r="340" spans="1:8" x14ac:dyDescent="0.2">
      <c r="A340" s="5">
        <v>1062.5</v>
      </c>
      <c r="B340" s="6">
        <v>8613798</v>
      </c>
      <c r="C340" s="6">
        <f t="shared" si="10"/>
        <v>10648798</v>
      </c>
      <c r="D340" s="6">
        <v>76737.000000100001</v>
      </c>
      <c r="E340" s="2">
        <v>336</v>
      </c>
      <c r="H340" s="8">
        <f t="shared" si="11"/>
        <v>1062.5</v>
      </c>
    </row>
    <row r="341" spans="1:8" x14ac:dyDescent="0.2">
      <c r="A341" s="5">
        <v>1063</v>
      </c>
      <c r="B341" s="6">
        <v>8652218</v>
      </c>
      <c r="C341" s="6">
        <f t="shared" si="10"/>
        <v>10687218</v>
      </c>
      <c r="D341" s="6">
        <v>76918</v>
      </c>
      <c r="E341" s="2">
        <v>337</v>
      </c>
      <c r="H341" s="8">
        <f t="shared" si="11"/>
        <v>1063</v>
      </c>
    </row>
    <row r="342" spans="1:8" x14ac:dyDescent="0.2">
      <c r="A342" s="5">
        <v>1063.5</v>
      </c>
      <c r="B342" s="6">
        <v>8690717.9999599997</v>
      </c>
      <c r="C342" s="6">
        <f t="shared" si="10"/>
        <v>10725717.99996</v>
      </c>
      <c r="D342" s="6">
        <v>77099.000000100001</v>
      </c>
      <c r="E342" s="2">
        <v>338</v>
      </c>
      <c r="H342" s="8">
        <f t="shared" si="11"/>
        <v>1063.5</v>
      </c>
    </row>
    <row r="343" spans="1:8" x14ac:dyDescent="0.2">
      <c r="A343" s="5">
        <v>1064</v>
      </c>
      <c r="B343" s="6">
        <v>8729308.0000299998</v>
      </c>
      <c r="C343" s="6">
        <f t="shared" si="10"/>
        <v>10764308.00003</v>
      </c>
      <c r="D343" s="6">
        <v>77280</v>
      </c>
      <c r="E343" s="2">
        <v>339</v>
      </c>
      <c r="H343" s="8">
        <f t="shared" si="11"/>
        <v>1064</v>
      </c>
    </row>
    <row r="344" spans="1:8" x14ac:dyDescent="0.2">
      <c r="A344" s="5">
        <v>1064.5</v>
      </c>
      <c r="B344" s="6">
        <v>8767998.0000400003</v>
      </c>
      <c r="C344" s="6">
        <f t="shared" si="10"/>
        <v>10802998.00004</v>
      </c>
      <c r="D344" s="6">
        <v>77461.000000100001</v>
      </c>
      <c r="E344" s="2">
        <v>340</v>
      </c>
      <c r="H344" s="8">
        <f t="shared" si="11"/>
        <v>1064.5</v>
      </c>
    </row>
    <row r="345" spans="1:8" x14ac:dyDescent="0.2">
      <c r="A345" s="5">
        <v>1065</v>
      </c>
      <c r="B345" s="6">
        <v>8806768</v>
      </c>
      <c r="C345" s="6">
        <f t="shared" si="10"/>
        <v>10841768</v>
      </c>
      <c r="D345" s="6">
        <v>77642</v>
      </c>
      <c r="E345" s="2">
        <v>341</v>
      </c>
      <c r="H345" s="8">
        <f t="shared" si="11"/>
        <v>1065</v>
      </c>
    </row>
    <row r="346" spans="1:8" x14ac:dyDescent="0.2">
      <c r="A346" s="5">
        <v>1065.5</v>
      </c>
      <c r="B346" s="6">
        <v>8845637.9999800008</v>
      </c>
      <c r="C346" s="6">
        <f t="shared" si="10"/>
        <v>10880637.999980001</v>
      </c>
      <c r="D346" s="6">
        <v>77822.999999899999</v>
      </c>
      <c r="E346" s="2">
        <v>342</v>
      </c>
      <c r="H346" s="8">
        <f t="shared" si="11"/>
        <v>1065.5</v>
      </c>
    </row>
    <row r="347" spans="1:8" x14ac:dyDescent="0.2">
      <c r="A347" s="5">
        <v>1066</v>
      </c>
      <c r="B347" s="6">
        <v>8884597.9999899995</v>
      </c>
      <c r="C347" s="6">
        <f t="shared" si="10"/>
        <v>10919597.999989999</v>
      </c>
      <c r="D347" s="6">
        <v>78004</v>
      </c>
      <c r="E347" s="2">
        <v>343</v>
      </c>
      <c r="H347" s="8">
        <f t="shared" si="11"/>
        <v>1066</v>
      </c>
    </row>
    <row r="348" spans="1:8" x14ac:dyDescent="0.2">
      <c r="A348" s="5">
        <v>1066.5</v>
      </c>
      <c r="B348" s="6">
        <v>8923637.9999599997</v>
      </c>
      <c r="C348" s="6">
        <f t="shared" si="10"/>
        <v>10958637.99996</v>
      </c>
      <c r="D348" s="6">
        <v>78184.999999899999</v>
      </c>
      <c r="E348" s="2">
        <v>344</v>
      </c>
      <c r="H348" s="8">
        <f t="shared" si="11"/>
        <v>1066.5</v>
      </c>
    </row>
    <row r="349" spans="1:8" x14ac:dyDescent="0.2">
      <c r="A349" s="5">
        <v>1067</v>
      </c>
      <c r="B349" s="6">
        <v>8962778.0000199992</v>
      </c>
      <c r="C349" s="6">
        <f t="shared" si="10"/>
        <v>10997778.000019999</v>
      </c>
      <c r="D349" s="6">
        <v>78366</v>
      </c>
      <c r="E349" s="2">
        <v>345</v>
      </c>
      <c r="H349" s="8">
        <f t="shared" si="11"/>
        <v>1067</v>
      </c>
    </row>
    <row r="350" spans="1:8" x14ac:dyDescent="0.2">
      <c r="A350" s="5">
        <v>1067.5</v>
      </c>
      <c r="B350" s="6">
        <v>9002008.0000299998</v>
      </c>
      <c r="C350" s="6">
        <f t="shared" si="10"/>
        <v>11037008.00003</v>
      </c>
      <c r="D350" s="6">
        <v>78546.999999899999</v>
      </c>
      <c r="E350" s="2">
        <v>346</v>
      </c>
      <c r="H350" s="8">
        <f t="shared" si="11"/>
        <v>1067.5</v>
      </c>
    </row>
    <row r="351" spans="1:8" x14ac:dyDescent="0.2">
      <c r="A351" s="5">
        <v>1068</v>
      </c>
      <c r="B351" s="6">
        <v>9041327.9999899995</v>
      </c>
      <c r="C351" s="6">
        <f t="shared" si="10"/>
        <v>11076327.999989999</v>
      </c>
      <c r="D351" s="6">
        <v>78726.999999899999</v>
      </c>
      <c r="E351" s="2">
        <v>347</v>
      </c>
      <c r="H351" s="8">
        <f t="shared" si="11"/>
        <v>1068</v>
      </c>
    </row>
    <row r="352" spans="1:8" x14ac:dyDescent="0.2">
      <c r="A352" s="5">
        <v>1068.5</v>
      </c>
      <c r="B352" s="6">
        <v>9080737.9999800008</v>
      </c>
      <c r="C352" s="6">
        <f t="shared" si="10"/>
        <v>11115737.999980001</v>
      </c>
      <c r="D352" s="6">
        <v>78908.000000100001</v>
      </c>
      <c r="E352" s="2">
        <v>348</v>
      </c>
      <c r="H352" s="8">
        <f t="shared" si="11"/>
        <v>1068.5</v>
      </c>
    </row>
    <row r="353" spans="1:8" x14ac:dyDescent="0.2">
      <c r="A353" s="5">
        <v>1069</v>
      </c>
      <c r="B353" s="6">
        <v>9120237.9999899995</v>
      </c>
      <c r="C353" s="6">
        <f t="shared" si="10"/>
        <v>11155237.999989999</v>
      </c>
      <c r="D353" s="6">
        <v>79089</v>
      </c>
      <c r="E353" s="2">
        <v>349</v>
      </c>
      <c r="H353" s="8">
        <f t="shared" si="11"/>
        <v>1069</v>
      </c>
    </row>
    <row r="354" spans="1:8" x14ac:dyDescent="0.2">
      <c r="A354" s="5">
        <v>1069.5</v>
      </c>
      <c r="B354" s="6">
        <v>9159828.0000299998</v>
      </c>
      <c r="C354" s="6">
        <f t="shared" si="10"/>
        <v>11194828.00003</v>
      </c>
      <c r="D354" s="6">
        <v>79270.000000100001</v>
      </c>
      <c r="E354" s="2">
        <v>350</v>
      </c>
      <c r="H354" s="8">
        <f t="shared" si="11"/>
        <v>1069.5</v>
      </c>
    </row>
    <row r="355" spans="1:8" x14ac:dyDescent="0.2">
      <c r="A355" s="5">
        <v>1070</v>
      </c>
      <c r="B355" s="6">
        <v>9199508.0000199992</v>
      </c>
      <c r="C355" s="6">
        <f t="shared" si="10"/>
        <v>11234508.000019999</v>
      </c>
      <c r="D355" s="6">
        <v>79451</v>
      </c>
      <c r="E355" s="2">
        <v>351</v>
      </c>
      <c r="H355" s="8">
        <f t="shared" si="11"/>
        <v>1070</v>
      </c>
    </row>
    <row r="356" spans="1:8" x14ac:dyDescent="0.2">
      <c r="A356" s="5">
        <v>1070.5</v>
      </c>
      <c r="B356" s="6">
        <v>9239267.9999700002</v>
      </c>
      <c r="C356" s="6">
        <f t="shared" si="10"/>
        <v>11274267.99997</v>
      </c>
      <c r="D356" s="6">
        <v>79616.999999899999</v>
      </c>
      <c r="E356" s="2">
        <v>352</v>
      </c>
      <c r="H356" s="8">
        <f t="shared" si="11"/>
        <v>1070.5</v>
      </c>
    </row>
    <row r="357" spans="1:8" x14ac:dyDescent="0.2">
      <c r="A357" s="5">
        <v>1071</v>
      </c>
      <c r="B357" s="6">
        <v>9279118.0000299998</v>
      </c>
      <c r="C357" s="6">
        <f t="shared" si="10"/>
        <v>11314118.00003</v>
      </c>
      <c r="D357" s="6">
        <v>79787</v>
      </c>
      <c r="E357" s="2">
        <v>353</v>
      </c>
      <c r="H357" s="8">
        <f t="shared" si="11"/>
        <v>1071</v>
      </c>
    </row>
    <row r="358" spans="1:8" x14ac:dyDescent="0.2">
      <c r="A358" s="5">
        <v>1071.5</v>
      </c>
      <c r="B358" s="6">
        <v>9319047.9999700002</v>
      </c>
      <c r="C358" s="6">
        <f t="shared" si="10"/>
        <v>11354047.99997</v>
      </c>
      <c r="D358" s="6">
        <v>79957</v>
      </c>
      <c r="E358" s="2">
        <v>354</v>
      </c>
      <c r="H358" s="8">
        <f t="shared" si="11"/>
        <v>1071.5</v>
      </c>
    </row>
    <row r="359" spans="1:8" x14ac:dyDescent="0.2">
      <c r="A359" s="5">
        <v>1072</v>
      </c>
      <c r="B359" s="6">
        <v>9359068.0000199992</v>
      </c>
      <c r="C359" s="6">
        <f t="shared" si="10"/>
        <v>11394068.000019999</v>
      </c>
      <c r="D359" s="6">
        <v>80127.000000100001</v>
      </c>
      <c r="E359" s="2">
        <v>355</v>
      </c>
      <c r="H359" s="8">
        <f t="shared" si="11"/>
        <v>1072</v>
      </c>
    </row>
    <row r="360" spans="1:8" x14ac:dyDescent="0.2">
      <c r="A360" s="5">
        <v>1072.5</v>
      </c>
      <c r="B360" s="6">
        <v>9399178.0000199992</v>
      </c>
      <c r="C360" s="6">
        <f t="shared" si="10"/>
        <v>11434178.000019999</v>
      </c>
      <c r="D360" s="6">
        <v>80296.999999899999</v>
      </c>
      <c r="E360" s="2">
        <v>356</v>
      </c>
      <c r="H360" s="8">
        <f t="shared" si="11"/>
        <v>1072.5</v>
      </c>
    </row>
    <row r="361" spans="1:8" x14ac:dyDescent="0.2">
      <c r="A361" s="5">
        <v>1073</v>
      </c>
      <c r="B361" s="6">
        <v>9439367.9999800008</v>
      </c>
      <c r="C361" s="6">
        <f t="shared" si="10"/>
        <v>11474367.999980001</v>
      </c>
      <c r="D361" s="6">
        <v>80468.000000100001</v>
      </c>
      <c r="E361" s="2">
        <v>357</v>
      </c>
      <c r="H361" s="8">
        <f t="shared" si="11"/>
        <v>1073</v>
      </c>
    </row>
    <row r="362" spans="1:8" x14ac:dyDescent="0.2">
      <c r="A362" s="5">
        <v>1073.5</v>
      </c>
      <c r="B362" s="6">
        <v>9479647.9999599997</v>
      </c>
      <c r="C362" s="6">
        <f t="shared" si="10"/>
        <v>11514647.99996</v>
      </c>
      <c r="D362" s="6">
        <v>80637.999999899999</v>
      </c>
      <c r="E362" s="2">
        <v>358</v>
      </c>
      <c r="H362" s="8">
        <f t="shared" si="11"/>
        <v>1073.5</v>
      </c>
    </row>
    <row r="363" spans="1:8" x14ac:dyDescent="0.2">
      <c r="A363" s="5">
        <v>1074</v>
      </c>
      <c r="B363" s="6">
        <v>9520007.9999899995</v>
      </c>
      <c r="C363" s="6">
        <f t="shared" si="10"/>
        <v>11555007.999989999</v>
      </c>
      <c r="D363" s="6">
        <v>80807.999999899999</v>
      </c>
      <c r="E363" s="2">
        <v>359</v>
      </c>
      <c r="H363" s="8">
        <f t="shared" si="11"/>
        <v>1074</v>
      </c>
    </row>
    <row r="364" spans="1:8" x14ac:dyDescent="0.2">
      <c r="A364" s="5">
        <v>1074.5</v>
      </c>
      <c r="B364" s="6">
        <v>9560447.9999899995</v>
      </c>
      <c r="C364" s="6">
        <f t="shared" si="10"/>
        <v>11595447.999989999</v>
      </c>
      <c r="D364" s="6">
        <v>80978</v>
      </c>
      <c r="E364" s="2">
        <v>360</v>
      </c>
      <c r="H364" s="8">
        <f t="shared" si="11"/>
        <v>1074.5</v>
      </c>
    </row>
    <row r="365" spans="1:8" x14ac:dyDescent="0.2">
      <c r="A365" s="5">
        <v>1075</v>
      </c>
      <c r="B365" s="6">
        <v>9600987.9999899995</v>
      </c>
      <c r="C365" s="6">
        <f t="shared" si="10"/>
        <v>11635987.999989999</v>
      </c>
      <c r="D365" s="6">
        <v>81148</v>
      </c>
      <c r="E365" s="2">
        <v>361</v>
      </c>
      <c r="H365" s="8">
        <f t="shared" si="11"/>
        <v>1075</v>
      </c>
    </row>
    <row r="366" spans="1:8" x14ac:dyDescent="0.2">
      <c r="A366" s="5">
        <v>1075.5</v>
      </c>
      <c r="B366" s="6">
        <v>9641597.9999700002</v>
      </c>
      <c r="C366" s="6">
        <f t="shared" si="10"/>
        <v>11676597.99997</v>
      </c>
      <c r="D366" s="6">
        <v>81318.000000100001</v>
      </c>
      <c r="E366" s="2">
        <v>362</v>
      </c>
      <c r="H366" s="8">
        <f t="shared" si="11"/>
        <v>1075.5</v>
      </c>
    </row>
    <row r="367" spans="1:8" x14ac:dyDescent="0.2">
      <c r="A367" s="5">
        <v>1076</v>
      </c>
      <c r="B367" s="6">
        <v>9682297.9999800008</v>
      </c>
      <c r="C367" s="6">
        <f t="shared" si="10"/>
        <v>11717297.999980001</v>
      </c>
      <c r="D367" s="6">
        <v>81488.000000100001</v>
      </c>
      <c r="E367" s="2">
        <v>363</v>
      </c>
      <c r="H367" s="8">
        <f t="shared" si="11"/>
        <v>1076</v>
      </c>
    </row>
    <row r="368" spans="1:8" x14ac:dyDescent="0.2">
      <c r="A368" s="5">
        <v>1076.5</v>
      </c>
      <c r="B368" s="6">
        <v>9723088.0000199992</v>
      </c>
      <c r="C368" s="6">
        <f t="shared" si="10"/>
        <v>11758088.000019999</v>
      </c>
      <c r="D368" s="6">
        <v>81657.999999899999</v>
      </c>
      <c r="E368" s="2">
        <v>364</v>
      </c>
      <c r="H368" s="8">
        <f t="shared" si="11"/>
        <v>1076.5</v>
      </c>
    </row>
    <row r="369" spans="1:8" x14ac:dyDescent="0.2">
      <c r="A369" s="5">
        <v>1077</v>
      </c>
      <c r="B369" s="6">
        <v>9763958.0000199992</v>
      </c>
      <c r="C369" s="6">
        <f t="shared" si="10"/>
        <v>11798958.000019999</v>
      </c>
      <c r="D369" s="6">
        <v>81828</v>
      </c>
      <c r="E369" s="2">
        <v>365</v>
      </c>
      <c r="H369" s="8">
        <f t="shared" si="11"/>
        <v>1077</v>
      </c>
    </row>
    <row r="370" spans="1:8" x14ac:dyDescent="0.2">
      <c r="A370" s="5">
        <v>1077.5</v>
      </c>
      <c r="B370" s="6">
        <v>9804917.9999700002</v>
      </c>
      <c r="C370" s="6">
        <f t="shared" si="10"/>
        <v>11839917.99997</v>
      </c>
      <c r="D370" s="6">
        <v>81998.999999899999</v>
      </c>
      <c r="E370" s="2">
        <v>366</v>
      </c>
      <c r="H370" s="8">
        <f t="shared" si="11"/>
        <v>1077.5</v>
      </c>
    </row>
    <row r="371" spans="1:8" x14ac:dyDescent="0.2">
      <c r="A371" s="5">
        <v>1078</v>
      </c>
      <c r="B371" s="6">
        <v>9845958.0000400003</v>
      </c>
      <c r="C371" s="6">
        <f t="shared" si="10"/>
        <v>11880958.00004</v>
      </c>
      <c r="D371" s="6">
        <v>82169</v>
      </c>
      <c r="E371" s="2">
        <v>367</v>
      </c>
      <c r="H371" s="8">
        <f t="shared" si="11"/>
        <v>1078</v>
      </c>
    </row>
    <row r="372" spans="1:8" x14ac:dyDescent="0.2">
      <c r="A372" s="5">
        <v>1078.5</v>
      </c>
      <c r="B372" s="6">
        <v>9887087.9999700002</v>
      </c>
      <c r="C372" s="6">
        <f t="shared" si="10"/>
        <v>11922087.99997</v>
      </c>
      <c r="D372" s="6">
        <v>82339</v>
      </c>
      <c r="E372" s="2">
        <v>368</v>
      </c>
      <c r="H372" s="8">
        <f t="shared" si="11"/>
        <v>1078.5</v>
      </c>
    </row>
    <row r="373" spans="1:8" x14ac:dyDescent="0.2">
      <c r="A373" s="5">
        <v>1079</v>
      </c>
      <c r="B373" s="6">
        <v>9928298.0000299998</v>
      </c>
      <c r="C373" s="6">
        <f t="shared" si="10"/>
        <v>11963298.00003</v>
      </c>
      <c r="D373" s="6">
        <v>82509</v>
      </c>
      <c r="E373" s="2">
        <v>369</v>
      </c>
      <c r="H373" s="8">
        <f t="shared" si="11"/>
        <v>1079</v>
      </c>
    </row>
    <row r="374" spans="1:8" x14ac:dyDescent="0.2">
      <c r="A374" s="5">
        <v>1079.5</v>
      </c>
      <c r="B374" s="6">
        <v>9969598.0000400003</v>
      </c>
      <c r="C374" s="6">
        <f t="shared" si="10"/>
        <v>12004598.00004</v>
      </c>
      <c r="D374" s="6">
        <v>82679.000000100001</v>
      </c>
      <c r="E374" s="2">
        <v>370</v>
      </c>
      <c r="H374" s="8">
        <f t="shared" si="11"/>
        <v>1079.5</v>
      </c>
    </row>
    <row r="375" spans="1:8" x14ac:dyDescent="0.2">
      <c r="A375" s="5">
        <v>1080</v>
      </c>
      <c r="B375" s="6">
        <v>10010978</v>
      </c>
      <c r="C375" s="6">
        <f t="shared" si="10"/>
        <v>12045978</v>
      </c>
      <c r="D375" s="6">
        <v>82848.999999899999</v>
      </c>
      <c r="E375" s="2">
        <v>371</v>
      </c>
      <c r="H375" s="8">
        <f t="shared" si="11"/>
        <v>1080</v>
      </c>
    </row>
    <row r="376" spans="1:8" x14ac:dyDescent="0.2">
      <c r="A376" s="5">
        <v>1080.5</v>
      </c>
      <c r="B376" s="6">
        <v>10052448</v>
      </c>
      <c r="C376" s="6">
        <f t="shared" si="10"/>
        <v>12087448</v>
      </c>
      <c r="D376" s="6">
        <v>83007.899999999994</v>
      </c>
      <c r="E376" s="2">
        <v>372</v>
      </c>
      <c r="H376" s="8">
        <f t="shared" si="11"/>
        <v>1080.5</v>
      </c>
    </row>
    <row r="377" spans="1:8" x14ac:dyDescent="0.2">
      <c r="A377" s="5">
        <v>1081</v>
      </c>
      <c r="B377" s="6">
        <v>10093998</v>
      </c>
      <c r="C377" s="6">
        <f t="shared" si="10"/>
        <v>12128998</v>
      </c>
      <c r="D377" s="6">
        <v>83166.799999900002</v>
      </c>
      <c r="E377" s="2">
        <v>373</v>
      </c>
      <c r="H377" s="8">
        <f t="shared" si="11"/>
        <v>1081</v>
      </c>
    </row>
    <row r="378" spans="1:8" x14ac:dyDescent="0.2">
      <c r="A378" s="5">
        <v>1081.5</v>
      </c>
      <c r="B378" s="6">
        <v>10135648</v>
      </c>
      <c r="C378" s="6">
        <f t="shared" si="10"/>
        <v>12170648</v>
      </c>
      <c r="D378" s="6">
        <v>83325.7</v>
      </c>
      <c r="E378" s="2">
        <v>374</v>
      </c>
      <c r="H378" s="8">
        <f t="shared" si="11"/>
        <v>1081.5</v>
      </c>
    </row>
    <row r="379" spans="1:8" x14ac:dyDescent="0.2">
      <c r="A379" s="5">
        <v>1082</v>
      </c>
      <c r="B379" s="6">
        <v>10177378</v>
      </c>
      <c r="C379" s="6">
        <f t="shared" si="10"/>
        <v>12212378</v>
      </c>
      <c r="D379" s="6">
        <v>83484.599999900005</v>
      </c>
      <c r="E379" s="2">
        <v>375</v>
      </c>
      <c r="H379" s="8">
        <f t="shared" si="11"/>
        <v>1082</v>
      </c>
    </row>
    <row r="380" spans="1:8" x14ac:dyDescent="0.2">
      <c r="A380" s="5">
        <v>1082.5</v>
      </c>
      <c r="B380" s="6">
        <v>10219198</v>
      </c>
      <c r="C380" s="6">
        <f t="shared" si="10"/>
        <v>12254198</v>
      </c>
      <c r="D380" s="6">
        <v>83643.5</v>
      </c>
      <c r="E380" s="2">
        <v>376</v>
      </c>
      <c r="H380" s="8">
        <f t="shared" si="11"/>
        <v>1082.5</v>
      </c>
    </row>
    <row r="381" spans="1:8" x14ac:dyDescent="0.2">
      <c r="A381" s="5">
        <v>1083</v>
      </c>
      <c r="B381" s="6">
        <v>10261098</v>
      </c>
      <c r="C381" s="6">
        <f t="shared" si="10"/>
        <v>12296098</v>
      </c>
      <c r="D381" s="6">
        <v>83802.400000099995</v>
      </c>
      <c r="E381" s="2">
        <v>377</v>
      </c>
      <c r="H381" s="8">
        <f t="shared" si="11"/>
        <v>1083</v>
      </c>
    </row>
    <row r="382" spans="1:8" x14ac:dyDescent="0.2">
      <c r="A382" s="5">
        <v>1083.5</v>
      </c>
      <c r="B382" s="6">
        <v>10303098</v>
      </c>
      <c r="C382" s="6">
        <f t="shared" si="10"/>
        <v>12338098</v>
      </c>
      <c r="D382" s="6">
        <v>83961.3</v>
      </c>
      <c r="E382" s="2">
        <v>378</v>
      </c>
      <c r="H382" s="8">
        <f t="shared" si="11"/>
        <v>1083.5</v>
      </c>
    </row>
    <row r="383" spans="1:8" x14ac:dyDescent="0.2">
      <c r="A383" s="5">
        <v>1084</v>
      </c>
      <c r="B383" s="6">
        <v>10345178</v>
      </c>
      <c r="C383" s="6">
        <f t="shared" si="10"/>
        <v>12380178</v>
      </c>
      <c r="D383" s="6">
        <v>84120.200000099998</v>
      </c>
      <c r="E383" s="2">
        <v>379</v>
      </c>
      <c r="H383" s="8">
        <f t="shared" si="11"/>
        <v>1084</v>
      </c>
    </row>
    <row r="384" spans="1:8" x14ac:dyDescent="0.2">
      <c r="A384" s="5">
        <v>1084.5</v>
      </c>
      <c r="B384" s="6">
        <v>10387348</v>
      </c>
      <c r="C384" s="6">
        <f t="shared" si="10"/>
        <v>12422348</v>
      </c>
      <c r="D384" s="6">
        <v>84279.1</v>
      </c>
      <c r="E384" s="2">
        <v>380</v>
      </c>
      <c r="H384" s="8">
        <f t="shared" si="11"/>
        <v>1084.5</v>
      </c>
    </row>
    <row r="385" spans="1:8" x14ac:dyDescent="0.2">
      <c r="A385" s="5">
        <v>1085</v>
      </c>
      <c r="B385" s="6">
        <v>10429608</v>
      </c>
      <c r="C385" s="6">
        <f t="shared" si="10"/>
        <v>12464608</v>
      </c>
      <c r="D385" s="6">
        <v>84438.000000100001</v>
      </c>
      <c r="E385" s="2">
        <v>381</v>
      </c>
      <c r="H385" s="8">
        <f t="shared" si="11"/>
        <v>1085</v>
      </c>
    </row>
    <row r="386" spans="1:8" x14ac:dyDescent="0.2">
      <c r="A386" s="5">
        <v>1085.5</v>
      </c>
      <c r="B386" s="6">
        <v>10471948</v>
      </c>
      <c r="C386" s="6">
        <f t="shared" si="10"/>
        <v>12506948</v>
      </c>
      <c r="D386" s="6">
        <v>84596.9</v>
      </c>
      <c r="E386" s="2">
        <v>382</v>
      </c>
      <c r="H386" s="8">
        <f t="shared" si="11"/>
        <v>1085.5</v>
      </c>
    </row>
    <row r="387" spans="1:8" x14ac:dyDescent="0.2">
      <c r="A387" s="5">
        <v>1086</v>
      </c>
      <c r="B387" s="6">
        <v>10514388</v>
      </c>
      <c r="C387" s="6">
        <f t="shared" si="10"/>
        <v>12549388</v>
      </c>
      <c r="D387" s="6">
        <v>84755.800000100004</v>
      </c>
      <c r="E387" s="2">
        <v>383</v>
      </c>
      <c r="H387" s="8">
        <f t="shared" si="11"/>
        <v>1086</v>
      </c>
    </row>
    <row r="388" spans="1:8" x14ac:dyDescent="0.2">
      <c r="A388" s="5">
        <v>1086.5</v>
      </c>
      <c r="B388" s="6">
        <v>10556908</v>
      </c>
      <c r="C388" s="6">
        <f t="shared" si="10"/>
        <v>12591908</v>
      </c>
      <c r="D388" s="6">
        <v>84914.7</v>
      </c>
      <c r="E388" s="2">
        <v>384</v>
      </c>
      <c r="H388" s="8">
        <f t="shared" si="11"/>
        <v>1086.5</v>
      </c>
    </row>
    <row r="389" spans="1:8" x14ac:dyDescent="0.2">
      <c r="A389" s="5">
        <v>1087</v>
      </c>
      <c r="B389" s="6">
        <v>10599518</v>
      </c>
      <c r="C389" s="6">
        <f t="shared" si="10"/>
        <v>12634518</v>
      </c>
      <c r="D389" s="6">
        <v>85073.600000100007</v>
      </c>
      <c r="E389" s="2">
        <v>385</v>
      </c>
      <c r="H389" s="8">
        <f t="shared" si="11"/>
        <v>1087</v>
      </c>
    </row>
    <row r="390" spans="1:8" x14ac:dyDescent="0.2">
      <c r="A390" s="5">
        <v>1087.5</v>
      </c>
      <c r="B390" s="6">
        <v>10642218</v>
      </c>
      <c r="C390" s="6">
        <f t="shared" ref="C390:C453" si="12">B390+$C$3</f>
        <v>12677218</v>
      </c>
      <c r="D390" s="6">
        <v>85232.499999899999</v>
      </c>
      <c r="E390" s="2">
        <v>386</v>
      </c>
      <c r="H390" s="8">
        <f t="shared" ref="H390:H453" si="13">A390</f>
        <v>1087.5</v>
      </c>
    </row>
    <row r="391" spans="1:8" x14ac:dyDescent="0.2">
      <c r="A391" s="5">
        <v>1088</v>
      </c>
      <c r="B391" s="6">
        <v>10684998</v>
      </c>
      <c r="C391" s="6">
        <f t="shared" si="12"/>
        <v>12719998</v>
      </c>
      <c r="D391" s="6">
        <v>85391.400000099995</v>
      </c>
      <c r="E391" s="2">
        <v>387</v>
      </c>
      <c r="H391" s="8">
        <f t="shared" si="13"/>
        <v>1088</v>
      </c>
    </row>
    <row r="392" spans="1:8" x14ac:dyDescent="0.2">
      <c r="A392" s="5">
        <v>1088.5</v>
      </c>
      <c r="B392" s="6">
        <v>10727868</v>
      </c>
      <c r="C392" s="6">
        <f t="shared" si="12"/>
        <v>12762868</v>
      </c>
      <c r="D392" s="6">
        <v>85550.299999900002</v>
      </c>
      <c r="E392" s="2">
        <v>388</v>
      </c>
      <c r="H392" s="8">
        <f t="shared" si="13"/>
        <v>1088.5</v>
      </c>
    </row>
    <row r="393" spans="1:8" x14ac:dyDescent="0.2">
      <c r="A393" s="5">
        <v>1089</v>
      </c>
      <c r="B393" s="6">
        <v>10770828</v>
      </c>
      <c r="C393" s="6">
        <f t="shared" si="12"/>
        <v>12805828</v>
      </c>
      <c r="D393" s="6">
        <v>85709.200000099998</v>
      </c>
      <c r="E393" s="2">
        <v>389</v>
      </c>
      <c r="H393" s="8">
        <f t="shared" si="13"/>
        <v>1089</v>
      </c>
    </row>
    <row r="394" spans="1:8" x14ac:dyDescent="0.2">
      <c r="A394" s="5">
        <v>1089.5</v>
      </c>
      <c r="B394" s="6">
        <v>10813878</v>
      </c>
      <c r="C394" s="6">
        <f t="shared" si="12"/>
        <v>12848878</v>
      </c>
      <c r="D394" s="6">
        <v>85868.099999900005</v>
      </c>
      <c r="E394" s="2">
        <v>390</v>
      </c>
      <c r="H394" s="8">
        <f t="shared" si="13"/>
        <v>1089.5</v>
      </c>
    </row>
    <row r="395" spans="1:8" x14ac:dyDescent="0.2">
      <c r="A395" s="5">
        <v>1090</v>
      </c>
      <c r="B395" s="6">
        <v>10857008</v>
      </c>
      <c r="C395" s="6">
        <f t="shared" si="12"/>
        <v>12892008</v>
      </c>
      <c r="D395" s="6">
        <v>86027</v>
      </c>
      <c r="E395" s="2">
        <v>391</v>
      </c>
      <c r="H395" s="8">
        <f t="shared" si="13"/>
        <v>1090</v>
      </c>
    </row>
    <row r="396" spans="1:8" x14ac:dyDescent="0.2">
      <c r="A396" s="5">
        <v>1090.5</v>
      </c>
      <c r="B396" s="6">
        <v>10900238</v>
      </c>
      <c r="C396" s="6">
        <f t="shared" si="12"/>
        <v>12935238</v>
      </c>
      <c r="D396" s="6">
        <v>86185.899999899993</v>
      </c>
      <c r="E396" s="2">
        <v>392</v>
      </c>
      <c r="H396" s="8">
        <f t="shared" si="13"/>
        <v>1090.5</v>
      </c>
    </row>
    <row r="397" spans="1:8" x14ac:dyDescent="0.2">
      <c r="A397" s="5">
        <v>1091</v>
      </c>
      <c r="B397" s="6">
        <v>10943548</v>
      </c>
      <c r="C397" s="6">
        <f t="shared" si="12"/>
        <v>12978548</v>
      </c>
      <c r="D397" s="6">
        <v>86344.8</v>
      </c>
      <c r="E397" s="2">
        <v>393</v>
      </c>
      <c r="H397" s="8">
        <f t="shared" si="13"/>
        <v>1091</v>
      </c>
    </row>
    <row r="398" spans="1:8" x14ac:dyDescent="0.2">
      <c r="A398" s="5">
        <v>1091.5</v>
      </c>
      <c r="B398" s="6">
        <v>10986938</v>
      </c>
      <c r="C398" s="6">
        <f t="shared" si="12"/>
        <v>13021938</v>
      </c>
      <c r="D398" s="6">
        <v>86503.699999899996</v>
      </c>
      <c r="E398" s="2">
        <v>394</v>
      </c>
      <c r="H398" s="8">
        <f t="shared" si="13"/>
        <v>1091.5</v>
      </c>
    </row>
    <row r="399" spans="1:8" x14ac:dyDescent="0.2">
      <c r="A399" s="5">
        <v>1092</v>
      </c>
      <c r="B399" s="6">
        <v>11030418</v>
      </c>
      <c r="C399" s="6">
        <f t="shared" si="12"/>
        <v>13065418</v>
      </c>
      <c r="D399" s="6">
        <v>86662.6</v>
      </c>
      <c r="E399" s="2">
        <v>395</v>
      </c>
      <c r="H399" s="8">
        <f t="shared" si="13"/>
        <v>1092</v>
      </c>
    </row>
    <row r="400" spans="1:8" x14ac:dyDescent="0.2">
      <c r="A400" s="5">
        <v>1092.5</v>
      </c>
      <c r="B400" s="6">
        <v>11073988</v>
      </c>
      <c r="C400" s="6">
        <f t="shared" si="12"/>
        <v>13108988</v>
      </c>
      <c r="D400" s="6">
        <v>86821.499999899999</v>
      </c>
      <c r="E400" s="2">
        <v>396</v>
      </c>
      <c r="H400" s="8">
        <f t="shared" si="13"/>
        <v>1092.5</v>
      </c>
    </row>
    <row r="401" spans="1:8" x14ac:dyDescent="0.2">
      <c r="A401" s="5">
        <v>1093</v>
      </c>
      <c r="B401" s="6">
        <v>11117638</v>
      </c>
      <c r="C401" s="6">
        <f t="shared" si="12"/>
        <v>13152638</v>
      </c>
      <c r="D401" s="6">
        <v>86980.4</v>
      </c>
      <c r="E401" s="2">
        <v>397</v>
      </c>
      <c r="H401" s="8">
        <f t="shared" si="13"/>
        <v>1093</v>
      </c>
    </row>
    <row r="402" spans="1:8" x14ac:dyDescent="0.2">
      <c r="A402" s="5">
        <v>1093.5</v>
      </c>
      <c r="B402" s="6">
        <v>11161378</v>
      </c>
      <c r="C402" s="6">
        <f t="shared" si="12"/>
        <v>13196378</v>
      </c>
      <c r="D402" s="6">
        <v>87139.299999900002</v>
      </c>
      <c r="E402" s="2">
        <v>398</v>
      </c>
      <c r="H402" s="8">
        <f t="shared" si="13"/>
        <v>1093.5</v>
      </c>
    </row>
    <row r="403" spans="1:8" x14ac:dyDescent="0.2">
      <c r="A403" s="5">
        <v>1094</v>
      </c>
      <c r="B403" s="6">
        <v>11205208</v>
      </c>
      <c r="C403" s="6">
        <f t="shared" si="12"/>
        <v>13240208</v>
      </c>
      <c r="D403" s="6">
        <v>87298.2</v>
      </c>
      <c r="E403" s="2">
        <v>399</v>
      </c>
      <c r="H403" s="8">
        <f t="shared" si="13"/>
        <v>1094</v>
      </c>
    </row>
    <row r="404" spans="1:8" x14ac:dyDescent="0.2">
      <c r="A404" s="5">
        <v>1094.5</v>
      </c>
      <c r="B404" s="6">
        <v>11249118</v>
      </c>
      <c r="C404" s="6">
        <f t="shared" si="12"/>
        <v>13284118</v>
      </c>
      <c r="D404" s="6">
        <v>87457.099999900005</v>
      </c>
      <c r="E404" s="2">
        <v>400</v>
      </c>
      <c r="H404" s="8">
        <f t="shared" si="13"/>
        <v>1094.5</v>
      </c>
    </row>
    <row r="405" spans="1:8" x14ac:dyDescent="0.2">
      <c r="A405" s="5">
        <v>1095</v>
      </c>
      <c r="B405" s="6">
        <v>11293118</v>
      </c>
      <c r="C405" s="6">
        <f t="shared" si="12"/>
        <v>13328118</v>
      </c>
      <c r="D405" s="6">
        <v>87616.062980500006</v>
      </c>
      <c r="E405" s="2">
        <v>401</v>
      </c>
      <c r="H405" s="8">
        <f t="shared" si="13"/>
        <v>1095</v>
      </c>
    </row>
    <row r="406" spans="1:8" x14ac:dyDescent="0.2">
      <c r="A406" s="5">
        <v>1095.5</v>
      </c>
      <c r="B406" s="6">
        <v>11336955.1197</v>
      </c>
      <c r="C406" s="6">
        <f t="shared" si="12"/>
        <v>13371955.1197</v>
      </c>
      <c r="D406" s="6">
        <v>87761.053272899997</v>
      </c>
      <c r="E406" s="2">
        <v>402</v>
      </c>
      <c r="H406" s="8">
        <f t="shared" si="13"/>
        <v>1095.5</v>
      </c>
    </row>
    <row r="407" spans="1:8" x14ac:dyDescent="0.2">
      <c r="A407" s="5">
        <v>1096</v>
      </c>
      <c r="B407" s="6">
        <v>11380872.807499999</v>
      </c>
      <c r="C407" s="6">
        <f t="shared" si="12"/>
        <v>13415872.807499999</v>
      </c>
      <c r="D407" s="6">
        <v>87923.729009600007</v>
      </c>
      <c r="E407" s="2">
        <v>403</v>
      </c>
      <c r="H407" s="8">
        <f t="shared" si="13"/>
        <v>1096</v>
      </c>
    </row>
    <row r="408" spans="1:8" x14ac:dyDescent="0.2">
      <c r="A408" s="5">
        <v>1096.5</v>
      </c>
      <c r="B408" s="6">
        <v>11424872.4439</v>
      </c>
      <c r="C408" s="6">
        <f t="shared" si="12"/>
        <v>13459872.4439</v>
      </c>
      <c r="D408" s="6">
        <v>88069.740139799993</v>
      </c>
      <c r="E408" s="2">
        <v>404</v>
      </c>
      <c r="H408" s="8">
        <f t="shared" si="13"/>
        <v>1096.5</v>
      </c>
    </row>
    <row r="409" spans="1:8" x14ac:dyDescent="0.2">
      <c r="A409" s="5">
        <v>1097</v>
      </c>
      <c r="B409" s="6">
        <v>11468946.247500001</v>
      </c>
      <c r="C409" s="6">
        <f t="shared" si="12"/>
        <v>13503946.247500001</v>
      </c>
      <c r="D409" s="6">
        <v>88240.769954999996</v>
      </c>
      <c r="E409" s="2">
        <v>405</v>
      </c>
      <c r="H409" s="8">
        <f t="shared" si="13"/>
        <v>1097</v>
      </c>
    </row>
    <row r="410" spans="1:8" x14ac:dyDescent="0.2">
      <c r="A410" s="5">
        <v>1097.5</v>
      </c>
      <c r="B410" s="6">
        <v>11513107.081700001</v>
      </c>
      <c r="C410" s="6">
        <f t="shared" si="12"/>
        <v>13548107.081700001</v>
      </c>
      <c r="D410" s="6">
        <v>88399.776258600003</v>
      </c>
      <c r="E410" s="2">
        <v>406</v>
      </c>
      <c r="H410" s="8">
        <f t="shared" si="13"/>
        <v>1097.5</v>
      </c>
    </row>
    <row r="411" spans="1:8" x14ac:dyDescent="0.2">
      <c r="A411" s="5">
        <v>1098</v>
      </c>
      <c r="B411" s="6">
        <v>11557346.991699999</v>
      </c>
      <c r="C411" s="6">
        <f t="shared" si="12"/>
        <v>13592346.991699999</v>
      </c>
      <c r="D411" s="6">
        <v>88574.128721999994</v>
      </c>
      <c r="E411" s="2">
        <v>407</v>
      </c>
      <c r="H411" s="8">
        <f t="shared" si="13"/>
        <v>1098</v>
      </c>
    </row>
    <row r="412" spans="1:8" x14ac:dyDescent="0.2">
      <c r="A412" s="5">
        <v>1098.5</v>
      </c>
      <c r="B412" s="6">
        <v>11601673.657600001</v>
      </c>
      <c r="C412" s="6">
        <f t="shared" si="12"/>
        <v>13636673.657600001</v>
      </c>
      <c r="D412" s="6">
        <v>88726.568862600005</v>
      </c>
      <c r="E412" s="2">
        <v>408</v>
      </c>
      <c r="H412" s="8">
        <f t="shared" si="13"/>
        <v>1098.5</v>
      </c>
    </row>
    <row r="413" spans="1:8" x14ac:dyDescent="0.2">
      <c r="A413" s="5">
        <v>1099</v>
      </c>
      <c r="B413" s="6">
        <v>11646067.2685</v>
      </c>
      <c r="C413" s="6">
        <f t="shared" si="12"/>
        <v>13681067.2685</v>
      </c>
      <c r="D413" s="6">
        <v>88904.057824899995</v>
      </c>
      <c r="E413" s="2">
        <v>409</v>
      </c>
      <c r="H413" s="8">
        <f t="shared" si="13"/>
        <v>1099</v>
      </c>
    </row>
    <row r="414" spans="1:8" x14ac:dyDescent="0.2">
      <c r="A414" s="5">
        <v>1099.5</v>
      </c>
      <c r="B414" s="6">
        <v>11690576.885399999</v>
      </c>
      <c r="C414" s="6">
        <f t="shared" si="12"/>
        <v>13725576.885399999</v>
      </c>
      <c r="D414" s="6">
        <v>89117.533987300005</v>
      </c>
      <c r="E414" s="2">
        <v>410</v>
      </c>
      <c r="H414" s="8">
        <f t="shared" si="13"/>
        <v>1099.5</v>
      </c>
    </row>
    <row r="415" spans="1:8" x14ac:dyDescent="0.2">
      <c r="A415" s="5">
        <v>1100</v>
      </c>
      <c r="B415" s="6">
        <v>11735176.051100001</v>
      </c>
      <c r="C415" s="6">
        <f t="shared" si="12"/>
        <v>13770176.051100001</v>
      </c>
      <c r="D415" s="6">
        <v>89299.865594600007</v>
      </c>
      <c r="E415" s="2">
        <v>411</v>
      </c>
      <c r="H415" s="8">
        <f t="shared" si="13"/>
        <v>1100</v>
      </c>
    </row>
    <row r="416" spans="1:8" x14ac:dyDescent="0.2">
      <c r="A416" s="5">
        <v>1100.5</v>
      </c>
      <c r="B416" s="6">
        <v>11779866.8136</v>
      </c>
      <c r="C416" s="6">
        <f t="shared" si="12"/>
        <v>13814866.8136</v>
      </c>
      <c r="D416" s="6">
        <v>89457.946666500007</v>
      </c>
      <c r="E416" s="2">
        <v>412</v>
      </c>
      <c r="H416" s="8">
        <f t="shared" si="13"/>
        <v>1100.5</v>
      </c>
    </row>
    <row r="417" spans="1:8" x14ac:dyDescent="0.2">
      <c r="A417" s="5">
        <v>1101</v>
      </c>
      <c r="B417" s="6">
        <v>11824637.101500001</v>
      </c>
      <c r="C417" s="6">
        <f t="shared" si="12"/>
        <v>13859637.101500001</v>
      </c>
      <c r="D417" s="6">
        <v>89646.317581399999</v>
      </c>
      <c r="E417" s="2">
        <v>413</v>
      </c>
      <c r="H417" s="8">
        <f t="shared" si="13"/>
        <v>1101</v>
      </c>
    </row>
    <row r="418" spans="1:8" x14ac:dyDescent="0.2">
      <c r="A418" s="5">
        <v>1101.5</v>
      </c>
      <c r="B418" s="6">
        <v>11869502.2729</v>
      </c>
      <c r="C418" s="6">
        <f t="shared" si="12"/>
        <v>13904502.2729</v>
      </c>
      <c r="D418" s="6">
        <v>89808.464859600004</v>
      </c>
      <c r="E418" s="2">
        <v>414</v>
      </c>
      <c r="H418" s="8">
        <f t="shared" si="13"/>
        <v>1101.5</v>
      </c>
    </row>
    <row r="419" spans="1:8" x14ac:dyDescent="0.2">
      <c r="A419" s="5">
        <v>1102</v>
      </c>
      <c r="B419" s="6">
        <v>11914439.127599999</v>
      </c>
      <c r="C419" s="6">
        <f t="shared" si="12"/>
        <v>13949439.127599999</v>
      </c>
      <c r="D419" s="6">
        <v>89969.500727399995</v>
      </c>
      <c r="E419" s="2">
        <v>415</v>
      </c>
      <c r="H419" s="8">
        <f t="shared" si="13"/>
        <v>1102</v>
      </c>
    </row>
    <row r="420" spans="1:8" x14ac:dyDescent="0.2">
      <c r="A420" s="5">
        <v>1102.5</v>
      </c>
      <c r="B420" s="6">
        <v>11959478.534499999</v>
      </c>
      <c r="C420" s="6">
        <f t="shared" si="12"/>
        <v>13994478.534499999</v>
      </c>
      <c r="D420" s="6">
        <v>90157.210661000005</v>
      </c>
      <c r="E420" s="2">
        <v>416</v>
      </c>
      <c r="H420" s="8">
        <f t="shared" si="13"/>
        <v>1102.5</v>
      </c>
    </row>
    <row r="421" spans="1:8" x14ac:dyDescent="0.2">
      <c r="A421" s="5">
        <v>1103</v>
      </c>
      <c r="B421" s="6">
        <v>12004602.443299999</v>
      </c>
      <c r="C421" s="6">
        <f t="shared" si="12"/>
        <v>14039602.443299999</v>
      </c>
      <c r="D421" s="6">
        <v>90358.926894899996</v>
      </c>
      <c r="E421" s="2">
        <v>417</v>
      </c>
      <c r="H421" s="8">
        <f t="shared" si="13"/>
        <v>1103</v>
      </c>
    </row>
    <row r="422" spans="1:8" x14ac:dyDescent="0.2">
      <c r="A422" s="5">
        <v>1103.5</v>
      </c>
      <c r="B422" s="6">
        <v>12049826.630100001</v>
      </c>
      <c r="C422" s="6">
        <f t="shared" si="12"/>
        <v>14084826.630100001</v>
      </c>
      <c r="D422" s="6">
        <v>90532.379639699997</v>
      </c>
      <c r="E422" s="2">
        <v>418</v>
      </c>
      <c r="H422" s="8">
        <f t="shared" si="13"/>
        <v>1103.5</v>
      </c>
    </row>
    <row r="423" spans="1:8" x14ac:dyDescent="0.2">
      <c r="A423" s="5">
        <v>1104</v>
      </c>
      <c r="B423" s="6">
        <v>12095140.259</v>
      </c>
      <c r="C423" s="6">
        <f t="shared" si="12"/>
        <v>14130140.259</v>
      </c>
      <c r="D423" s="6">
        <v>90742.850395999994</v>
      </c>
      <c r="E423" s="2">
        <v>419</v>
      </c>
      <c r="H423" s="8">
        <f t="shared" si="13"/>
        <v>1104</v>
      </c>
    </row>
    <row r="424" spans="1:8" x14ac:dyDescent="0.2">
      <c r="A424" s="5">
        <v>1104.5</v>
      </c>
      <c r="B424" s="6">
        <v>12140560.319599999</v>
      </c>
      <c r="C424" s="6">
        <f t="shared" si="12"/>
        <v>14175560.319599999</v>
      </c>
      <c r="D424" s="6">
        <v>90940.022114899999</v>
      </c>
      <c r="E424" s="2">
        <v>420</v>
      </c>
      <c r="H424" s="8">
        <f t="shared" si="13"/>
        <v>1104.5</v>
      </c>
    </row>
    <row r="425" spans="1:8" x14ac:dyDescent="0.2">
      <c r="A425" s="5">
        <v>1105</v>
      </c>
      <c r="B425" s="6">
        <v>12186069.168</v>
      </c>
      <c r="C425" s="6">
        <f t="shared" si="12"/>
        <v>14221069.168</v>
      </c>
      <c r="D425" s="6">
        <v>91125.863008300003</v>
      </c>
      <c r="E425" s="2">
        <v>421</v>
      </c>
      <c r="H425" s="8">
        <f t="shared" si="13"/>
        <v>1105</v>
      </c>
    </row>
    <row r="426" spans="1:8" x14ac:dyDescent="0.2">
      <c r="A426" s="5">
        <v>1105.5</v>
      </c>
      <c r="B426" s="6">
        <v>12231691.055400001</v>
      </c>
      <c r="C426" s="6">
        <f t="shared" si="12"/>
        <v>14266691.055400001</v>
      </c>
      <c r="D426" s="6">
        <v>91336.5630083</v>
      </c>
      <c r="E426" s="2">
        <v>422</v>
      </c>
      <c r="H426" s="8">
        <f t="shared" si="13"/>
        <v>1105.5</v>
      </c>
    </row>
    <row r="427" spans="1:8" x14ac:dyDescent="0.2">
      <c r="A427" s="5">
        <v>1106</v>
      </c>
      <c r="B427" s="6">
        <v>12277410.0627</v>
      </c>
      <c r="C427" s="6">
        <f t="shared" si="12"/>
        <v>14312410.0627</v>
      </c>
      <c r="D427" s="6">
        <v>91559.714252499994</v>
      </c>
      <c r="E427" s="2">
        <v>423</v>
      </c>
      <c r="H427" s="8">
        <f t="shared" si="13"/>
        <v>1106</v>
      </c>
    </row>
    <row r="428" spans="1:8" x14ac:dyDescent="0.2">
      <c r="A428" s="5">
        <v>1106.5</v>
      </c>
      <c r="B428" s="6">
        <v>12323247.800799999</v>
      </c>
      <c r="C428" s="6">
        <f t="shared" si="12"/>
        <v>14358247.800799999</v>
      </c>
      <c r="D428" s="6">
        <v>91788.0772631</v>
      </c>
      <c r="E428" s="2">
        <v>424</v>
      </c>
      <c r="H428" s="8">
        <f t="shared" si="13"/>
        <v>1106.5</v>
      </c>
    </row>
    <row r="429" spans="1:8" x14ac:dyDescent="0.2">
      <c r="A429" s="5">
        <v>1107</v>
      </c>
      <c r="B429" s="6">
        <v>12369192.2433</v>
      </c>
      <c r="C429" s="6">
        <f t="shared" si="12"/>
        <v>14404192.2433</v>
      </c>
      <c r="D429" s="6">
        <v>92005.5959515</v>
      </c>
      <c r="E429" s="2">
        <v>425</v>
      </c>
      <c r="H429" s="8">
        <f t="shared" si="13"/>
        <v>1107</v>
      </c>
    </row>
    <row r="430" spans="1:8" x14ac:dyDescent="0.2">
      <c r="A430" s="5">
        <v>1107.5</v>
      </c>
      <c r="B430" s="6">
        <v>12415245.856000001</v>
      </c>
      <c r="C430" s="6">
        <f t="shared" si="12"/>
        <v>14450245.856000001</v>
      </c>
      <c r="D430" s="6">
        <v>92205.349480799996</v>
      </c>
      <c r="E430" s="2">
        <v>426</v>
      </c>
      <c r="H430" s="8">
        <f t="shared" si="13"/>
        <v>1107.5</v>
      </c>
    </row>
    <row r="431" spans="1:8" x14ac:dyDescent="0.2">
      <c r="A431" s="5">
        <v>1108</v>
      </c>
      <c r="B431" s="6">
        <v>12461401.661499999</v>
      </c>
      <c r="C431" s="6">
        <f t="shared" si="12"/>
        <v>14496401.661499999</v>
      </c>
      <c r="D431" s="6">
        <v>92446.709155799996</v>
      </c>
      <c r="E431" s="2">
        <v>427</v>
      </c>
      <c r="H431" s="8">
        <f t="shared" si="13"/>
        <v>1108</v>
      </c>
    </row>
    <row r="432" spans="1:8" x14ac:dyDescent="0.2">
      <c r="A432" s="5">
        <v>1108.5</v>
      </c>
      <c r="B432" s="6">
        <v>12507673.6086</v>
      </c>
      <c r="C432" s="6">
        <f t="shared" si="12"/>
        <v>14542673.6086</v>
      </c>
      <c r="D432" s="6">
        <v>92678.404242599994</v>
      </c>
      <c r="E432" s="2">
        <v>428</v>
      </c>
      <c r="H432" s="8">
        <f t="shared" si="13"/>
        <v>1108.5</v>
      </c>
    </row>
    <row r="433" spans="1:8" x14ac:dyDescent="0.2">
      <c r="A433" s="5">
        <v>1109</v>
      </c>
      <c r="B433" s="6">
        <v>12554079.816299999</v>
      </c>
      <c r="C433" s="6">
        <f t="shared" si="12"/>
        <v>14589079.816299999</v>
      </c>
      <c r="D433" s="6">
        <v>92962.604733300002</v>
      </c>
      <c r="E433" s="2">
        <v>429</v>
      </c>
      <c r="H433" s="8">
        <f t="shared" si="13"/>
        <v>1109</v>
      </c>
    </row>
    <row r="434" spans="1:8" x14ac:dyDescent="0.2">
      <c r="A434" s="5">
        <v>1109.5</v>
      </c>
      <c r="B434" s="6">
        <v>12600613.938300001</v>
      </c>
      <c r="C434" s="6">
        <f t="shared" si="12"/>
        <v>14635613.938300001</v>
      </c>
      <c r="D434" s="6">
        <v>93165.856599999999</v>
      </c>
      <c r="E434" s="2">
        <v>430</v>
      </c>
      <c r="H434" s="8">
        <f t="shared" si="13"/>
        <v>1109.5</v>
      </c>
    </row>
    <row r="435" spans="1:8" x14ac:dyDescent="0.2">
      <c r="A435" s="5">
        <v>1110</v>
      </c>
      <c r="B435" s="6">
        <v>12647247.2783</v>
      </c>
      <c r="C435" s="6">
        <f t="shared" si="12"/>
        <v>14682247.2783</v>
      </c>
      <c r="D435" s="6">
        <v>93419.180100700003</v>
      </c>
      <c r="E435" s="2">
        <v>431</v>
      </c>
      <c r="H435" s="8">
        <f t="shared" si="13"/>
        <v>1110</v>
      </c>
    </row>
    <row r="436" spans="1:8" x14ac:dyDescent="0.2">
      <c r="A436" s="5">
        <v>1110.5</v>
      </c>
      <c r="B436" s="6">
        <v>12694010.344699999</v>
      </c>
      <c r="C436" s="6">
        <f t="shared" si="12"/>
        <v>14729010.344699999</v>
      </c>
      <c r="D436" s="6">
        <v>93634.546067100004</v>
      </c>
      <c r="E436" s="2">
        <v>432</v>
      </c>
      <c r="H436" s="8">
        <f t="shared" si="13"/>
        <v>1110.5</v>
      </c>
    </row>
    <row r="437" spans="1:8" x14ac:dyDescent="0.2">
      <c r="A437" s="5">
        <v>1111</v>
      </c>
      <c r="B437" s="6">
        <v>12740876.285800001</v>
      </c>
      <c r="C437" s="6">
        <f t="shared" si="12"/>
        <v>14775876.285800001</v>
      </c>
      <c r="D437" s="6">
        <v>93886.105813899994</v>
      </c>
      <c r="E437" s="2">
        <v>433</v>
      </c>
      <c r="H437" s="8">
        <f t="shared" si="13"/>
        <v>1111</v>
      </c>
    </row>
    <row r="438" spans="1:8" x14ac:dyDescent="0.2">
      <c r="A438" s="5">
        <v>1111.5</v>
      </c>
      <c r="B438" s="6">
        <v>12787856.3157</v>
      </c>
      <c r="C438" s="6">
        <f t="shared" si="12"/>
        <v>14822856.3157</v>
      </c>
      <c r="D438" s="6">
        <v>94064.288130600005</v>
      </c>
      <c r="E438" s="2">
        <v>434</v>
      </c>
      <c r="H438" s="8">
        <f t="shared" si="13"/>
        <v>1111.5</v>
      </c>
    </row>
    <row r="439" spans="1:8" x14ac:dyDescent="0.2">
      <c r="A439" s="5">
        <v>1112</v>
      </c>
      <c r="B439" s="6">
        <v>12834932.789000001</v>
      </c>
      <c r="C439" s="6">
        <f t="shared" si="12"/>
        <v>14869932.789000001</v>
      </c>
      <c r="D439" s="6">
        <v>94285.056626899997</v>
      </c>
      <c r="E439" s="2">
        <v>435</v>
      </c>
      <c r="H439" s="8">
        <f t="shared" si="13"/>
        <v>1112</v>
      </c>
    </row>
    <row r="440" spans="1:8" x14ac:dyDescent="0.2">
      <c r="A440" s="5">
        <v>1112.5</v>
      </c>
      <c r="B440" s="6">
        <v>12882121.668400001</v>
      </c>
      <c r="C440" s="6">
        <f t="shared" si="12"/>
        <v>14917121.668400001</v>
      </c>
      <c r="D440" s="6">
        <v>94473.640432800006</v>
      </c>
      <c r="E440" s="2">
        <v>436</v>
      </c>
      <c r="H440" s="8">
        <f t="shared" si="13"/>
        <v>1112.5</v>
      </c>
    </row>
    <row r="441" spans="1:8" x14ac:dyDescent="0.2">
      <c r="A441" s="5">
        <v>1113</v>
      </c>
      <c r="B441" s="6">
        <v>12929400.759400001</v>
      </c>
      <c r="C441" s="6">
        <f t="shared" si="12"/>
        <v>14964400.759400001</v>
      </c>
      <c r="D441" s="6">
        <v>94686.0490498</v>
      </c>
      <c r="E441" s="2">
        <v>437</v>
      </c>
      <c r="H441" s="8">
        <f t="shared" si="13"/>
        <v>1113</v>
      </c>
    </row>
    <row r="442" spans="1:8" x14ac:dyDescent="0.2">
      <c r="A442" s="5">
        <v>1113.5</v>
      </c>
      <c r="B442" s="6">
        <v>12976786.5714</v>
      </c>
      <c r="C442" s="6">
        <f t="shared" si="12"/>
        <v>15011786.5714</v>
      </c>
      <c r="D442" s="6">
        <v>94850.912689000004</v>
      </c>
      <c r="E442" s="2">
        <v>438</v>
      </c>
      <c r="H442" s="8">
        <f t="shared" si="13"/>
        <v>1113.5</v>
      </c>
    </row>
    <row r="443" spans="1:8" x14ac:dyDescent="0.2">
      <c r="A443" s="5">
        <v>1114</v>
      </c>
      <c r="B443" s="6">
        <v>13024254.897399999</v>
      </c>
      <c r="C443" s="6">
        <f t="shared" si="12"/>
        <v>15059254.897399999</v>
      </c>
      <c r="D443" s="6">
        <v>95055.888297800004</v>
      </c>
      <c r="E443" s="2">
        <v>439</v>
      </c>
      <c r="H443" s="8">
        <f t="shared" si="13"/>
        <v>1114</v>
      </c>
    </row>
    <row r="444" spans="1:8" x14ac:dyDescent="0.2">
      <c r="A444" s="5">
        <v>1114.5</v>
      </c>
      <c r="B444" s="6">
        <v>13071819.6612</v>
      </c>
      <c r="C444" s="6">
        <f t="shared" si="12"/>
        <v>15106819.6612</v>
      </c>
      <c r="D444" s="6">
        <v>95243.583003699998</v>
      </c>
      <c r="E444" s="2">
        <v>440</v>
      </c>
      <c r="H444" s="8">
        <f t="shared" si="13"/>
        <v>1114.5</v>
      </c>
    </row>
    <row r="445" spans="1:8" x14ac:dyDescent="0.2">
      <c r="A445" s="5">
        <v>1115</v>
      </c>
      <c r="B445" s="6">
        <v>13119488.208699999</v>
      </c>
      <c r="C445" s="6">
        <f t="shared" si="12"/>
        <v>15154488.208699999</v>
      </c>
      <c r="D445" s="6">
        <v>95459.938013000006</v>
      </c>
      <c r="E445" s="2">
        <v>441</v>
      </c>
      <c r="H445" s="8">
        <f t="shared" si="13"/>
        <v>1115</v>
      </c>
    </row>
    <row r="446" spans="1:8" x14ac:dyDescent="0.2">
      <c r="A446" s="5">
        <v>1115.5</v>
      </c>
      <c r="B446" s="6">
        <v>13167265.487299999</v>
      </c>
      <c r="C446" s="6">
        <f t="shared" si="12"/>
        <v>15202265.487299999</v>
      </c>
      <c r="D446" s="6">
        <v>95643.994737100002</v>
      </c>
      <c r="E446" s="2">
        <v>442</v>
      </c>
      <c r="H446" s="8">
        <f t="shared" si="13"/>
        <v>1115.5</v>
      </c>
    </row>
    <row r="447" spans="1:8" x14ac:dyDescent="0.2">
      <c r="A447" s="5">
        <v>1116</v>
      </c>
      <c r="B447" s="6">
        <v>13215135.3925</v>
      </c>
      <c r="C447" s="6">
        <f t="shared" si="12"/>
        <v>15250135.3925</v>
      </c>
      <c r="D447" s="6">
        <v>95858.778650699998</v>
      </c>
      <c r="E447" s="2">
        <v>443</v>
      </c>
      <c r="H447" s="8">
        <f t="shared" si="13"/>
        <v>1116</v>
      </c>
    </row>
    <row r="448" spans="1:8" x14ac:dyDescent="0.2">
      <c r="A448" s="5">
        <v>1116.5</v>
      </c>
      <c r="B448" s="6">
        <v>13263113.8442</v>
      </c>
      <c r="C448" s="6">
        <f t="shared" si="12"/>
        <v>15298113.8442</v>
      </c>
      <c r="D448" s="6">
        <v>96057.271431100002</v>
      </c>
      <c r="E448" s="2">
        <v>444</v>
      </c>
      <c r="H448" s="8">
        <f t="shared" si="13"/>
        <v>1116.5</v>
      </c>
    </row>
    <row r="449" spans="1:8" x14ac:dyDescent="0.2">
      <c r="A449" s="5">
        <v>1117</v>
      </c>
      <c r="B449" s="6">
        <v>13311186.671800001</v>
      </c>
      <c r="C449" s="6">
        <f t="shared" si="12"/>
        <v>15346186.671800001</v>
      </c>
      <c r="D449" s="6">
        <v>96253.025926000002</v>
      </c>
      <c r="E449" s="2">
        <v>445</v>
      </c>
      <c r="H449" s="8">
        <f t="shared" si="13"/>
        <v>1117</v>
      </c>
    </row>
    <row r="450" spans="1:8" x14ac:dyDescent="0.2">
      <c r="A450" s="5">
        <v>1117.5</v>
      </c>
      <c r="B450" s="6">
        <v>13359355.630100001</v>
      </c>
      <c r="C450" s="6">
        <f t="shared" si="12"/>
        <v>15394355.630100001</v>
      </c>
      <c r="D450" s="6">
        <v>96415.246936900003</v>
      </c>
      <c r="E450" s="2">
        <v>446</v>
      </c>
      <c r="H450" s="8">
        <f t="shared" si="13"/>
        <v>1117.5</v>
      </c>
    </row>
    <row r="451" spans="1:8" x14ac:dyDescent="0.2">
      <c r="A451" s="5">
        <v>1118</v>
      </c>
      <c r="B451" s="6">
        <v>13407594.2182</v>
      </c>
      <c r="C451" s="6">
        <f t="shared" si="12"/>
        <v>15442594.2182</v>
      </c>
      <c r="D451" s="6">
        <v>96571.050221800004</v>
      </c>
      <c r="E451" s="2">
        <v>447</v>
      </c>
      <c r="H451" s="8">
        <f t="shared" si="13"/>
        <v>1118</v>
      </c>
    </row>
    <row r="452" spans="1:8" x14ac:dyDescent="0.2">
      <c r="A452" s="5">
        <v>1118.5</v>
      </c>
      <c r="B452" s="6">
        <v>13455931.7601</v>
      </c>
      <c r="C452" s="6">
        <f t="shared" si="12"/>
        <v>15490931.7601</v>
      </c>
      <c r="D452" s="6">
        <v>96749.281383599999</v>
      </c>
      <c r="E452" s="2">
        <v>448</v>
      </c>
      <c r="H452" s="8">
        <f t="shared" si="13"/>
        <v>1118.5</v>
      </c>
    </row>
    <row r="453" spans="1:8" x14ac:dyDescent="0.2">
      <c r="A453" s="5">
        <v>1119</v>
      </c>
      <c r="B453" s="6">
        <v>13504347.202199999</v>
      </c>
      <c r="C453" s="6">
        <f t="shared" si="12"/>
        <v>15539347.202199999</v>
      </c>
      <c r="D453" s="6">
        <v>96928.449282999994</v>
      </c>
      <c r="E453" s="2">
        <v>449</v>
      </c>
      <c r="H453" s="8">
        <f t="shared" si="13"/>
        <v>1119</v>
      </c>
    </row>
    <row r="454" spans="1:8" x14ac:dyDescent="0.2">
      <c r="A454" s="5">
        <v>1119.5</v>
      </c>
      <c r="B454" s="6">
        <v>13552852.0615</v>
      </c>
      <c r="C454" s="6">
        <f t="shared" ref="C454:C517" si="14">B454+$C$3</f>
        <v>15587852.0615</v>
      </c>
      <c r="D454" s="6">
        <v>97084.764578600007</v>
      </c>
      <c r="E454" s="2">
        <v>450</v>
      </c>
      <c r="H454" s="8">
        <f t="shared" ref="H454:H517" si="15">A454</f>
        <v>1119.5</v>
      </c>
    </row>
    <row r="455" spans="1:8" x14ac:dyDescent="0.2">
      <c r="A455" s="5">
        <v>1120</v>
      </c>
      <c r="B455" s="6">
        <v>13601435.3455</v>
      </c>
      <c r="C455" s="6">
        <f t="shared" si="14"/>
        <v>15636435.3455</v>
      </c>
      <c r="D455" s="6">
        <v>97261.276808199997</v>
      </c>
      <c r="E455" s="2">
        <v>451</v>
      </c>
      <c r="H455" s="8">
        <f t="shared" si="15"/>
        <v>1120</v>
      </c>
    </row>
    <row r="456" spans="1:8" x14ac:dyDescent="0.2">
      <c r="A456" s="5">
        <v>1120.5</v>
      </c>
      <c r="B456" s="6">
        <v>13650107.556600001</v>
      </c>
      <c r="C456" s="6">
        <f t="shared" si="14"/>
        <v>15685107.556600001</v>
      </c>
      <c r="D456" s="6">
        <v>97422.114923300003</v>
      </c>
      <c r="E456" s="2">
        <v>452</v>
      </c>
      <c r="H456" s="8">
        <f t="shared" si="15"/>
        <v>1120.5</v>
      </c>
    </row>
    <row r="457" spans="1:8" x14ac:dyDescent="0.2">
      <c r="A457" s="5">
        <v>1121</v>
      </c>
      <c r="B457" s="6">
        <v>13698851.756100001</v>
      </c>
      <c r="C457" s="6">
        <f t="shared" si="14"/>
        <v>15733851.756100001</v>
      </c>
      <c r="D457" s="6">
        <v>97588.7930891</v>
      </c>
      <c r="E457" s="2">
        <v>453</v>
      </c>
      <c r="H457" s="8">
        <f t="shared" si="15"/>
        <v>1121</v>
      </c>
    </row>
    <row r="458" spans="1:8" x14ac:dyDescent="0.2">
      <c r="A458" s="5">
        <v>1121.5</v>
      </c>
      <c r="B458" s="6">
        <v>13747698.8181</v>
      </c>
      <c r="C458" s="6">
        <f t="shared" si="14"/>
        <v>15782698.8181</v>
      </c>
      <c r="D458" s="6">
        <v>97777.972846499993</v>
      </c>
      <c r="E458" s="2">
        <v>454</v>
      </c>
      <c r="H458" s="8">
        <f t="shared" si="15"/>
        <v>1121.5</v>
      </c>
    </row>
    <row r="459" spans="1:8" x14ac:dyDescent="0.2">
      <c r="A459" s="5">
        <v>1122</v>
      </c>
      <c r="B459" s="6">
        <v>13796635.7687</v>
      </c>
      <c r="C459" s="6">
        <f t="shared" si="14"/>
        <v>15831635.7687</v>
      </c>
      <c r="D459" s="6">
        <v>97983.236039299998</v>
      </c>
      <c r="E459" s="2">
        <v>455</v>
      </c>
      <c r="H459" s="8">
        <f t="shared" si="15"/>
        <v>1122</v>
      </c>
    </row>
    <row r="460" spans="1:8" x14ac:dyDescent="0.2">
      <c r="A460" s="5">
        <v>1122.5</v>
      </c>
      <c r="B460" s="6">
        <v>13845676.006899999</v>
      </c>
      <c r="C460" s="6">
        <f t="shared" si="14"/>
        <v>15880676.006899999</v>
      </c>
      <c r="D460" s="6">
        <v>98172.408885600002</v>
      </c>
      <c r="E460" s="2">
        <v>456</v>
      </c>
      <c r="H460" s="8">
        <f t="shared" si="15"/>
        <v>1122.5</v>
      </c>
    </row>
    <row r="461" spans="1:8" x14ac:dyDescent="0.2">
      <c r="A461" s="5">
        <v>1123</v>
      </c>
      <c r="B461" s="6">
        <v>13894813.1592</v>
      </c>
      <c r="C461" s="6">
        <f t="shared" si="14"/>
        <v>15929813.1592</v>
      </c>
      <c r="D461" s="6">
        <v>98389.2402955</v>
      </c>
      <c r="E461" s="2">
        <v>457</v>
      </c>
      <c r="H461" s="8">
        <f t="shared" si="15"/>
        <v>1123</v>
      </c>
    </row>
    <row r="462" spans="1:8" x14ac:dyDescent="0.2">
      <c r="A462" s="5">
        <v>1123.5</v>
      </c>
      <c r="B462" s="6">
        <v>13944059.6885</v>
      </c>
      <c r="C462" s="6">
        <f t="shared" si="14"/>
        <v>15979059.6885</v>
      </c>
      <c r="D462" s="6">
        <v>98588.430028999996</v>
      </c>
      <c r="E462" s="2">
        <v>458</v>
      </c>
      <c r="H462" s="8">
        <f t="shared" si="15"/>
        <v>1123.5</v>
      </c>
    </row>
    <row r="463" spans="1:8" x14ac:dyDescent="0.2">
      <c r="A463" s="5">
        <v>1124</v>
      </c>
      <c r="B463" s="6">
        <v>13993404.4922</v>
      </c>
      <c r="C463" s="6">
        <f t="shared" si="14"/>
        <v>16028404.4922</v>
      </c>
      <c r="D463" s="6">
        <v>98804.532014500001</v>
      </c>
      <c r="E463" s="2">
        <v>459</v>
      </c>
      <c r="H463" s="8">
        <f t="shared" si="15"/>
        <v>1124</v>
      </c>
    </row>
    <row r="464" spans="1:8" x14ac:dyDescent="0.2">
      <c r="A464" s="5">
        <v>1124.5</v>
      </c>
      <c r="B464" s="6">
        <v>14042853.475</v>
      </c>
      <c r="C464" s="6">
        <f t="shared" si="14"/>
        <v>16077853.475</v>
      </c>
      <c r="D464" s="6">
        <v>99042.734826300002</v>
      </c>
      <c r="E464" s="2">
        <v>460</v>
      </c>
      <c r="H464" s="8">
        <f t="shared" si="15"/>
        <v>1124.5</v>
      </c>
    </row>
    <row r="465" spans="1:8" x14ac:dyDescent="0.2">
      <c r="A465" s="5">
        <v>1125</v>
      </c>
      <c r="B465" s="6">
        <v>14092429.2477</v>
      </c>
      <c r="C465" s="6">
        <f t="shared" si="14"/>
        <v>16127429.2477</v>
      </c>
      <c r="D465" s="6">
        <v>99275.413635699995</v>
      </c>
      <c r="E465" s="2">
        <v>461</v>
      </c>
      <c r="H465" s="8">
        <f t="shared" si="15"/>
        <v>1125</v>
      </c>
    </row>
    <row r="466" spans="1:8" x14ac:dyDescent="0.2">
      <c r="A466" s="5">
        <v>1125.5</v>
      </c>
      <c r="B466" s="6">
        <v>14142122.008400001</v>
      </c>
      <c r="C466" s="6">
        <f t="shared" si="14"/>
        <v>16177122.008400001</v>
      </c>
      <c r="D466" s="6">
        <v>99488.648161699995</v>
      </c>
      <c r="E466" s="2">
        <v>462</v>
      </c>
      <c r="H466" s="8">
        <f t="shared" si="15"/>
        <v>1125.5</v>
      </c>
    </row>
    <row r="467" spans="1:8" x14ac:dyDescent="0.2">
      <c r="A467" s="5">
        <v>1126</v>
      </c>
      <c r="B467" s="6">
        <v>14191920.524700001</v>
      </c>
      <c r="C467" s="6">
        <f t="shared" si="14"/>
        <v>16226920.524700001</v>
      </c>
      <c r="D467" s="6">
        <v>99720.660600699994</v>
      </c>
      <c r="E467" s="2">
        <v>463</v>
      </c>
      <c r="H467" s="8">
        <f t="shared" si="15"/>
        <v>1126</v>
      </c>
    </row>
    <row r="468" spans="1:8" x14ac:dyDescent="0.2">
      <c r="A468" s="5">
        <v>1126.5</v>
      </c>
      <c r="B468" s="6">
        <v>14241840.7448</v>
      </c>
      <c r="C468" s="6">
        <f t="shared" si="14"/>
        <v>16276840.7448</v>
      </c>
      <c r="D468" s="6">
        <v>99967.917126400003</v>
      </c>
      <c r="E468" s="2">
        <v>464</v>
      </c>
      <c r="H468" s="8">
        <f t="shared" si="15"/>
        <v>1126.5</v>
      </c>
    </row>
    <row r="469" spans="1:8" x14ac:dyDescent="0.2">
      <c r="A469" s="5">
        <v>1127</v>
      </c>
      <c r="B469" s="6">
        <v>14291876.409399999</v>
      </c>
      <c r="C469" s="6">
        <f t="shared" si="14"/>
        <v>16326876.409399999</v>
      </c>
      <c r="D469" s="6">
        <v>100191.84464700001</v>
      </c>
      <c r="E469" s="2">
        <v>465</v>
      </c>
      <c r="H469" s="8">
        <f t="shared" si="15"/>
        <v>1127</v>
      </c>
    </row>
    <row r="470" spans="1:8" x14ac:dyDescent="0.2">
      <c r="A470" s="5">
        <v>1127.5</v>
      </c>
      <c r="B470" s="6">
        <v>14342013.776000001</v>
      </c>
      <c r="C470" s="6">
        <f t="shared" si="14"/>
        <v>16377013.776000001</v>
      </c>
      <c r="D470" s="6">
        <v>100391.343458</v>
      </c>
      <c r="E470" s="2">
        <v>466</v>
      </c>
      <c r="H470" s="8">
        <f t="shared" si="15"/>
        <v>1127.5</v>
      </c>
    </row>
    <row r="471" spans="1:8" x14ac:dyDescent="0.2">
      <c r="A471" s="5">
        <v>1128</v>
      </c>
      <c r="B471" s="6">
        <v>14392260.851199999</v>
      </c>
      <c r="C471" s="6">
        <f t="shared" si="14"/>
        <v>16427260.851199999</v>
      </c>
      <c r="D471" s="6">
        <v>100617.153401</v>
      </c>
      <c r="E471" s="2">
        <v>467</v>
      </c>
      <c r="H471" s="8">
        <f t="shared" si="15"/>
        <v>1128</v>
      </c>
    </row>
    <row r="472" spans="1:8" x14ac:dyDescent="0.2">
      <c r="A472" s="5">
        <v>1128.5</v>
      </c>
      <c r="B472" s="6">
        <v>14442623.555199999</v>
      </c>
      <c r="C472" s="6">
        <f t="shared" si="14"/>
        <v>16477623.555199999</v>
      </c>
      <c r="D472" s="6">
        <v>100840.93205800001</v>
      </c>
      <c r="E472" s="2">
        <v>468</v>
      </c>
      <c r="H472" s="8">
        <f t="shared" si="15"/>
        <v>1128.5</v>
      </c>
    </row>
    <row r="473" spans="1:8" x14ac:dyDescent="0.2">
      <c r="A473" s="5">
        <v>1129</v>
      </c>
      <c r="B473" s="6">
        <v>14493095.249700001</v>
      </c>
      <c r="C473" s="6">
        <f t="shared" si="14"/>
        <v>16528095.249700001</v>
      </c>
      <c r="D473" s="6">
        <v>101062.553629</v>
      </c>
      <c r="E473" s="2">
        <v>469</v>
      </c>
      <c r="H473" s="8">
        <f t="shared" si="15"/>
        <v>1129</v>
      </c>
    </row>
    <row r="474" spans="1:8" x14ac:dyDescent="0.2">
      <c r="A474" s="5">
        <v>1129.5</v>
      </c>
      <c r="B474" s="6">
        <v>14543676.0746</v>
      </c>
      <c r="C474" s="6">
        <f t="shared" si="14"/>
        <v>16578676.0746</v>
      </c>
      <c r="D474" s="6">
        <v>101254.79573899999</v>
      </c>
      <c r="E474" s="2">
        <v>470</v>
      </c>
      <c r="H474" s="8">
        <f t="shared" si="15"/>
        <v>1129.5</v>
      </c>
    </row>
    <row r="475" spans="1:8" x14ac:dyDescent="0.2">
      <c r="A475" s="5">
        <v>1130</v>
      </c>
      <c r="B475" s="6">
        <v>14594353.5141</v>
      </c>
      <c r="C475" s="6">
        <f t="shared" si="14"/>
        <v>16629353.5141</v>
      </c>
      <c r="D475" s="6">
        <v>101477.267989</v>
      </c>
      <c r="E475" s="2">
        <v>471</v>
      </c>
      <c r="H475" s="8">
        <f t="shared" si="15"/>
        <v>1130</v>
      </c>
    </row>
    <row r="476" spans="1:8" x14ac:dyDescent="0.2">
      <c r="A476" s="5">
        <v>1130.5</v>
      </c>
      <c r="B476" s="6">
        <v>14645137.2698</v>
      </c>
      <c r="C476" s="6">
        <f t="shared" si="14"/>
        <v>16680137.2698</v>
      </c>
      <c r="D476" s="6">
        <v>101703.973143</v>
      </c>
      <c r="E476" s="2">
        <v>472</v>
      </c>
      <c r="H476" s="8">
        <f t="shared" si="15"/>
        <v>1130.5</v>
      </c>
    </row>
    <row r="477" spans="1:8" x14ac:dyDescent="0.2">
      <c r="A477" s="5">
        <v>1131</v>
      </c>
      <c r="B477" s="6">
        <v>14696039.588</v>
      </c>
      <c r="C477" s="6">
        <f t="shared" si="14"/>
        <v>16731039.588</v>
      </c>
      <c r="D477" s="6">
        <v>101926.941828</v>
      </c>
      <c r="E477" s="2">
        <v>473</v>
      </c>
      <c r="H477" s="8">
        <f t="shared" si="15"/>
        <v>1131</v>
      </c>
    </row>
    <row r="478" spans="1:8" x14ac:dyDescent="0.2">
      <c r="A478" s="5">
        <v>1131.5</v>
      </c>
      <c r="B478" s="6">
        <v>14747053.1205</v>
      </c>
      <c r="C478" s="6">
        <f t="shared" si="14"/>
        <v>16782053.120499998</v>
      </c>
      <c r="D478" s="6">
        <v>102120.59304199999</v>
      </c>
      <c r="E478" s="2">
        <v>474</v>
      </c>
      <c r="H478" s="8">
        <f t="shared" si="15"/>
        <v>1131.5</v>
      </c>
    </row>
    <row r="479" spans="1:8" x14ac:dyDescent="0.2">
      <c r="A479" s="5">
        <v>1132</v>
      </c>
      <c r="B479" s="6">
        <v>14798163.2633</v>
      </c>
      <c r="C479" s="6">
        <f t="shared" si="14"/>
        <v>16833163.263300002</v>
      </c>
      <c r="D479" s="6">
        <v>102349.99333300001</v>
      </c>
      <c r="E479" s="2">
        <v>475</v>
      </c>
      <c r="H479" s="8">
        <f t="shared" si="15"/>
        <v>1132</v>
      </c>
    </row>
    <row r="480" spans="1:8" x14ac:dyDescent="0.2">
      <c r="A480" s="5">
        <v>1132.5</v>
      </c>
      <c r="B480" s="6">
        <v>14849388.4966</v>
      </c>
      <c r="C480" s="6">
        <f t="shared" si="14"/>
        <v>16884388.496600002</v>
      </c>
      <c r="D480" s="6">
        <v>102544.430029</v>
      </c>
      <c r="E480" s="2">
        <v>476</v>
      </c>
      <c r="H480" s="8">
        <f t="shared" si="15"/>
        <v>1132.5</v>
      </c>
    </row>
    <row r="481" spans="1:8" x14ac:dyDescent="0.2">
      <c r="A481" s="5">
        <v>1133</v>
      </c>
      <c r="B481" s="6">
        <v>14900711.0277</v>
      </c>
      <c r="C481" s="6">
        <f t="shared" si="14"/>
        <v>16935711.0277</v>
      </c>
      <c r="D481" s="6">
        <v>102784.16117599999</v>
      </c>
      <c r="E481" s="2">
        <v>477</v>
      </c>
      <c r="H481" s="8">
        <f t="shared" si="15"/>
        <v>1133</v>
      </c>
    </row>
    <row r="482" spans="1:8" x14ac:dyDescent="0.2">
      <c r="A482" s="5">
        <v>1133.5</v>
      </c>
      <c r="B482" s="6">
        <v>14952154.560699999</v>
      </c>
      <c r="C482" s="6">
        <f t="shared" si="14"/>
        <v>16987154.560699999</v>
      </c>
      <c r="D482" s="6">
        <v>102983.93573500001</v>
      </c>
      <c r="E482" s="2">
        <v>478</v>
      </c>
      <c r="H482" s="8">
        <f t="shared" si="15"/>
        <v>1133.5</v>
      </c>
    </row>
    <row r="483" spans="1:8" x14ac:dyDescent="0.2">
      <c r="A483" s="5">
        <v>1134</v>
      </c>
      <c r="B483" s="6">
        <v>15003688.792300001</v>
      </c>
      <c r="C483" s="6">
        <f t="shared" si="14"/>
        <v>17038688.792300001</v>
      </c>
      <c r="D483" s="6">
        <v>103188.82687999999</v>
      </c>
      <c r="E483" s="2">
        <v>479</v>
      </c>
      <c r="H483" s="8">
        <f t="shared" si="15"/>
        <v>1134</v>
      </c>
    </row>
    <row r="484" spans="1:8" x14ac:dyDescent="0.2">
      <c r="A484" s="5">
        <v>1134.5</v>
      </c>
      <c r="B484" s="6">
        <v>15055351.329500001</v>
      </c>
      <c r="C484" s="6">
        <f t="shared" si="14"/>
        <v>17090351.329500001</v>
      </c>
      <c r="D484" s="6">
        <v>103426.221726</v>
      </c>
      <c r="E484" s="2">
        <v>480</v>
      </c>
      <c r="H484" s="8">
        <f t="shared" si="15"/>
        <v>1134.5</v>
      </c>
    </row>
    <row r="485" spans="1:8" x14ac:dyDescent="0.2">
      <c r="A485" s="5">
        <v>1135</v>
      </c>
      <c r="B485" s="6">
        <v>15107118.9739</v>
      </c>
      <c r="C485" s="6">
        <f t="shared" si="14"/>
        <v>17142118.973899998</v>
      </c>
      <c r="D485" s="6">
        <v>103670.290905</v>
      </c>
      <c r="E485" s="2">
        <v>481</v>
      </c>
      <c r="H485" s="8">
        <f t="shared" si="15"/>
        <v>1135</v>
      </c>
    </row>
    <row r="486" spans="1:8" x14ac:dyDescent="0.2">
      <c r="A486" s="5">
        <v>1135.5</v>
      </c>
      <c r="B486" s="6">
        <v>15159012.9738</v>
      </c>
      <c r="C486" s="6">
        <f t="shared" si="14"/>
        <v>17194012.9738</v>
      </c>
      <c r="D486" s="6">
        <v>104284.72633799999</v>
      </c>
      <c r="E486" s="2">
        <v>482</v>
      </c>
      <c r="H486" s="8">
        <f t="shared" si="15"/>
        <v>1135.5</v>
      </c>
    </row>
    <row r="487" spans="1:8" x14ac:dyDescent="0.2">
      <c r="A487" s="5">
        <v>1136</v>
      </c>
      <c r="B487" s="6">
        <v>15211315.5726</v>
      </c>
      <c r="C487" s="6">
        <f t="shared" si="14"/>
        <v>17246315.5726</v>
      </c>
      <c r="D487" s="6">
        <v>104815.910237</v>
      </c>
      <c r="E487" s="2">
        <v>483</v>
      </c>
      <c r="H487" s="8">
        <f t="shared" si="15"/>
        <v>1136</v>
      </c>
    </row>
    <row r="488" spans="1:8" x14ac:dyDescent="0.2">
      <c r="A488" s="5">
        <v>1136.5</v>
      </c>
      <c r="B488" s="6">
        <v>15263817.568299999</v>
      </c>
      <c r="C488" s="6">
        <f t="shared" si="14"/>
        <v>17298817.568300001</v>
      </c>
      <c r="D488" s="6">
        <v>105182.988367</v>
      </c>
      <c r="E488" s="2">
        <v>484</v>
      </c>
      <c r="H488" s="8">
        <f t="shared" si="15"/>
        <v>1136.5</v>
      </c>
    </row>
    <row r="489" spans="1:8" x14ac:dyDescent="0.2">
      <c r="A489" s="5">
        <v>1137</v>
      </c>
      <c r="B489" s="6">
        <v>15316471.2952</v>
      </c>
      <c r="C489" s="6">
        <f t="shared" si="14"/>
        <v>17351471.295199998</v>
      </c>
      <c r="D489" s="6">
        <v>105460.398235</v>
      </c>
      <c r="E489" s="2">
        <v>485</v>
      </c>
      <c r="H489" s="8">
        <f t="shared" si="15"/>
        <v>1137</v>
      </c>
    </row>
    <row r="490" spans="1:8" x14ac:dyDescent="0.2">
      <c r="A490" s="5">
        <v>1137.5</v>
      </c>
      <c r="B490" s="6">
        <v>15369288.286499999</v>
      </c>
      <c r="C490" s="6">
        <f t="shared" si="14"/>
        <v>17404288.286499999</v>
      </c>
      <c r="D490" s="6">
        <v>105757.998597</v>
      </c>
      <c r="E490" s="2">
        <v>486</v>
      </c>
      <c r="H490" s="8">
        <f t="shared" si="15"/>
        <v>1137.5</v>
      </c>
    </row>
    <row r="491" spans="1:8" x14ac:dyDescent="0.2">
      <c r="A491" s="5">
        <v>1138</v>
      </c>
      <c r="B491" s="6">
        <v>15422233.171</v>
      </c>
      <c r="C491" s="6">
        <f t="shared" si="14"/>
        <v>17457233.171</v>
      </c>
      <c r="D491" s="6">
        <v>106073.211346</v>
      </c>
      <c r="E491" s="2">
        <v>487</v>
      </c>
      <c r="H491" s="8">
        <f t="shared" si="15"/>
        <v>1138</v>
      </c>
    </row>
    <row r="492" spans="1:8" x14ac:dyDescent="0.2">
      <c r="A492" s="5">
        <v>1138.5</v>
      </c>
      <c r="B492" s="6">
        <v>15475338.099099999</v>
      </c>
      <c r="C492" s="6">
        <f t="shared" si="14"/>
        <v>17510338.099100001</v>
      </c>
      <c r="D492" s="6">
        <v>106345.387856</v>
      </c>
      <c r="E492" s="2">
        <v>488</v>
      </c>
      <c r="H492" s="8">
        <f t="shared" si="15"/>
        <v>1138.5</v>
      </c>
    </row>
    <row r="493" spans="1:8" x14ac:dyDescent="0.2">
      <c r="A493" s="5">
        <v>1139</v>
      </c>
      <c r="B493" s="6">
        <v>15528574.404899999</v>
      </c>
      <c r="C493" s="6">
        <f t="shared" si="14"/>
        <v>17563574.404899999</v>
      </c>
      <c r="D493" s="6">
        <v>106649.22394</v>
      </c>
      <c r="E493" s="2">
        <v>489</v>
      </c>
      <c r="H493" s="8">
        <f t="shared" si="15"/>
        <v>1139</v>
      </c>
    </row>
    <row r="494" spans="1:8" x14ac:dyDescent="0.2">
      <c r="A494" s="5">
        <v>1139.5</v>
      </c>
      <c r="B494" s="6">
        <v>15581958.2837</v>
      </c>
      <c r="C494" s="6">
        <f t="shared" si="14"/>
        <v>17616958.2837</v>
      </c>
      <c r="D494" s="6">
        <v>106878.598919</v>
      </c>
      <c r="E494" s="2">
        <v>490</v>
      </c>
      <c r="H494" s="8">
        <f t="shared" si="15"/>
        <v>1139.5</v>
      </c>
    </row>
    <row r="495" spans="1:8" x14ac:dyDescent="0.2">
      <c r="A495" s="5">
        <v>1140</v>
      </c>
      <c r="B495" s="6">
        <v>15635449.398700001</v>
      </c>
      <c r="C495" s="6">
        <f t="shared" si="14"/>
        <v>17670449.398699999</v>
      </c>
      <c r="D495" s="6">
        <v>107119.538279</v>
      </c>
      <c r="E495" s="2">
        <v>491</v>
      </c>
      <c r="H495" s="8">
        <f t="shared" si="15"/>
        <v>1140</v>
      </c>
    </row>
    <row r="496" spans="1:8" x14ac:dyDescent="0.2">
      <c r="A496" s="5">
        <v>1140.5</v>
      </c>
      <c r="B496" s="6">
        <v>15689102.627</v>
      </c>
      <c r="C496" s="6">
        <f t="shared" si="14"/>
        <v>17724102.627</v>
      </c>
      <c r="D496" s="6">
        <v>107440.358998</v>
      </c>
      <c r="E496" s="2">
        <v>492</v>
      </c>
      <c r="H496" s="8">
        <f t="shared" si="15"/>
        <v>1140.5</v>
      </c>
    </row>
    <row r="497" spans="1:8" x14ac:dyDescent="0.2">
      <c r="A497" s="5">
        <v>1141</v>
      </c>
      <c r="B497" s="6">
        <v>15742879.3814</v>
      </c>
      <c r="C497" s="6">
        <f t="shared" si="14"/>
        <v>17777879.3814</v>
      </c>
      <c r="D497" s="6">
        <v>107706.705134</v>
      </c>
      <c r="E497" s="2">
        <v>493</v>
      </c>
      <c r="H497" s="8">
        <f t="shared" si="15"/>
        <v>1141</v>
      </c>
    </row>
    <row r="498" spans="1:8" x14ac:dyDescent="0.2">
      <c r="A498" s="5">
        <v>1141.5</v>
      </c>
      <c r="B498" s="6">
        <v>15796788.639699999</v>
      </c>
      <c r="C498" s="6">
        <f t="shared" si="14"/>
        <v>17831788.639699999</v>
      </c>
      <c r="D498" s="6">
        <v>107924.46806</v>
      </c>
      <c r="E498" s="2">
        <v>494</v>
      </c>
      <c r="H498" s="8">
        <f t="shared" si="15"/>
        <v>1141.5</v>
      </c>
    </row>
    <row r="499" spans="1:8" x14ac:dyDescent="0.2">
      <c r="A499" s="5">
        <v>1142</v>
      </c>
      <c r="B499" s="6">
        <v>15850807.860400001</v>
      </c>
      <c r="C499" s="6">
        <f t="shared" si="14"/>
        <v>17885807.860399999</v>
      </c>
      <c r="D499" s="6">
        <v>108202.970678</v>
      </c>
      <c r="E499" s="2">
        <v>495</v>
      </c>
      <c r="H499" s="8">
        <f t="shared" si="15"/>
        <v>1142</v>
      </c>
    </row>
    <row r="500" spans="1:8" x14ac:dyDescent="0.2">
      <c r="A500" s="5">
        <v>1142.5</v>
      </c>
      <c r="B500" s="6">
        <v>15904969.400800001</v>
      </c>
      <c r="C500" s="6">
        <f t="shared" si="14"/>
        <v>17939969.400800001</v>
      </c>
      <c r="D500" s="6">
        <v>108439.693394</v>
      </c>
      <c r="E500" s="2">
        <v>496</v>
      </c>
      <c r="H500" s="8">
        <f t="shared" si="15"/>
        <v>1142.5</v>
      </c>
    </row>
    <row r="501" spans="1:8" x14ac:dyDescent="0.2">
      <c r="A501" s="5">
        <v>1143</v>
      </c>
      <c r="B501" s="6">
        <v>15959245.869200001</v>
      </c>
      <c r="C501" s="6">
        <f t="shared" si="14"/>
        <v>17994245.869199999</v>
      </c>
      <c r="D501" s="6">
        <v>108713.03703799999</v>
      </c>
      <c r="E501" s="2">
        <v>497</v>
      </c>
      <c r="H501" s="8">
        <f t="shared" si="15"/>
        <v>1143</v>
      </c>
    </row>
    <row r="502" spans="1:8" x14ac:dyDescent="0.2">
      <c r="A502" s="5">
        <v>1143.5</v>
      </c>
      <c r="B502" s="6">
        <v>16013645.587300001</v>
      </c>
      <c r="C502" s="6">
        <f t="shared" si="14"/>
        <v>18048645.587300003</v>
      </c>
      <c r="D502" s="6">
        <v>108922.239126</v>
      </c>
      <c r="E502" s="2">
        <v>498</v>
      </c>
      <c r="H502" s="8">
        <f t="shared" si="15"/>
        <v>1143.5</v>
      </c>
    </row>
    <row r="503" spans="1:8" x14ac:dyDescent="0.2">
      <c r="A503" s="5">
        <v>1144</v>
      </c>
      <c r="B503" s="6">
        <v>16068161.4319</v>
      </c>
      <c r="C503" s="6">
        <f t="shared" si="14"/>
        <v>18103161.431900002</v>
      </c>
      <c r="D503" s="6">
        <v>109197.800411</v>
      </c>
      <c r="E503" s="2">
        <v>499</v>
      </c>
      <c r="H503" s="8">
        <f t="shared" si="15"/>
        <v>1144</v>
      </c>
    </row>
    <row r="504" spans="1:8" x14ac:dyDescent="0.2">
      <c r="A504" s="5">
        <v>1144.5</v>
      </c>
      <c r="B504" s="6">
        <v>16122822.008300001</v>
      </c>
      <c r="C504" s="6">
        <f t="shared" si="14"/>
        <v>18157822.008299999</v>
      </c>
      <c r="D504" s="6">
        <v>109439.029502</v>
      </c>
      <c r="E504" s="2">
        <v>500</v>
      </c>
      <c r="H504" s="8">
        <f t="shared" si="15"/>
        <v>1144.5</v>
      </c>
    </row>
    <row r="505" spans="1:8" x14ac:dyDescent="0.2">
      <c r="A505" s="5">
        <v>1145</v>
      </c>
      <c r="B505" s="6">
        <v>16177600.8697</v>
      </c>
      <c r="C505" s="6">
        <f t="shared" si="14"/>
        <v>18212600.8697</v>
      </c>
      <c r="D505" s="6">
        <v>109719.21845499999</v>
      </c>
      <c r="E505" s="2">
        <v>501</v>
      </c>
      <c r="H505" s="8">
        <f t="shared" si="15"/>
        <v>1145</v>
      </c>
    </row>
    <row r="506" spans="1:8" x14ac:dyDescent="0.2">
      <c r="A506" s="5">
        <v>1145.5</v>
      </c>
      <c r="B506" s="6">
        <v>16232520.5802</v>
      </c>
      <c r="C506" s="6">
        <f t="shared" si="14"/>
        <v>18267520.580200002</v>
      </c>
      <c r="D506" s="6">
        <v>109952.862981</v>
      </c>
      <c r="E506" s="2">
        <v>502</v>
      </c>
      <c r="H506" s="8">
        <f t="shared" si="15"/>
        <v>1145.5</v>
      </c>
    </row>
    <row r="507" spans="1:8" x14ac:dyDescent="0.2">
      <c r="A507" s="5">
        <v>1146</v>
      </c>
      <c r="B507" s="6">
        <v>16287557.66</v>
      </c>
      <c r="C507" s="6">
        <f t="shared" si="14"/>
        <v>18322557.66</v>
      </c>
      <c r="D507" s="6">
        <v>110242.033605</v>
      </c>
      <c r="E507" s="2">
        <v>503</v>
      </c>
      <c r="H507" s="8">
        <f t="shared" si="15"/>
        <v>1146</v>
      </c>
    </row>
    <row r="508" spans="1:8" x14ac:dyDescent="0.2">
      <c r="A508" s="5">
        <v>1146.5</v>
      </c>
      <c r="B508" s="6">
        <v>16342736.1664</v>
      </c>
      <c r="C508" s="6">
        <f t="shared" si="14"/>
        <v>18377736.1664</v>
      </c>
      <c r="D508" s="6">
        <v>110505.880967</v>
      </c>
      <c r="E508" s="2">
        <v>504</v>
      </c>
      <c r="H508" s="8">
        <f t="shared" si="15"/>
        <v>1146.5</v>
      </c>
    </row>
    <row r="509" spans="1:8" x14ac:dyDescent="0.2">
      <c r="A509" s="5">
        <v>1147</v>
      </c>
      <c r="B509" s="6">
        <v>16398050.2093</v>
      </c>
      <c r="C509" s="6">
        <f t="shared" si="14"/>
        <v>18433050.2093</v>
      </c>
      <c r="D509" s="6">
        <v>110789.935828</v>
      </c>
      <c r="E509" s="2">
        <v>505</v>
      </c>
      <c r="H509" s="8">
        <f t="shared" si="15"/>
        <v>1147</v>
      </c>
    </row>
    <row r="510" spans="1:8" x14ac:dyDescent="0.2">
      <c r="A510" s="5">
        <v>1147.5</v>
      </c>
      <c r="B510" s="6">
        <v>16453505.4476</v>
      </c>
      <c r="C510" s="6">
        <f t="shared" si="14"/>
        <v>18488505.4476</v>
      </c>
      <c r="D510" s="6">
        <v>111023.090087</v>
      </c>
      <c r="E510" s="2">
        <v>506</v>
      </c>
      <c r="H510" s="8">
        <f t="shared" si="15"/>
        <v>1147.5</v>
      </c>
    </row>
    <row r="511" spans="1:8" x14ac:dyDescent="0.2">
      <c r="A511" s="5">
        <v>1148</v>
      </c>
      <c r="B511" s="6">
        <v>16509077.2315</v>
      </c>
      <c r="C511" s="6">
        <f t="shared" si="14"/>
        <v>18544077.2315</v>
      </c>
      <c r="D511" s="6">
        <v>111305.98201399999</v>
      </c>
      <c r="E511" s="2">
        <v>507</v>
      </c>
      <c r="H511" s="8">
        <f t="shared" si="15"/>
        <v>1148</v>
      </c>
    </row>
    <row r="512" spans="1:8" x14ac:dyDescent="0.2">
      <c r="A512" s="5">
        <v>1148.5</v>
      </c>
      <c r="B512" s="6">
        <v>16564795.915999999</v>
      </c>
      <c r="C512" s="6">
        <f t="shared" si="14"/>
        <v>18599795.916000001</v>
      </c>
      <c r="D512" s="6">
        <v>111557.380729</v>
      </c>
      <c r="E512" s="2">
        <v>508</v>
      </c>
      <c r="H512" s="8">
        <f t="shared" si="15"/>
        <v>1148.5</v>
      </c>
    </row>
    <row r="513" spans="1:8" x14ac:dyDescent="0.2">
      <c r="A513" s="5">
        <v>1149</v>
      </c>
      <c r="B513" s="6">
        <v>16620634.951099999</v>
      </c>
      <c r="C513" s="6">
        <f t="shared" si="14"/>
        <v>18655634.951099999</v>
      </c>
      <c r="D513" s="6">
        <v>111838.762519</v>
      </c>
      <c r="E513" s="2">
        <v>509</v>
      </c>
      <c r="H513" s="8">
        <f t="shared" si="15"/>
        <v>1149</v>
      </c>
    </row>
    <row r="514" spans="1:8" x14ac:dyDescent="0.2">
      <c r="A514" s="5">
        <v>1149.5</v>
      </c>
      <c r="B514" s="6">
        <v>16676615.5473</v>
      </c>
      <c r="C514" s="6">
        <f t="shared" si="14"/>
        <v>18711615.5473</v>
      </c>
      <c r="D514" s="6">
        <v>112076.574224</v>
      </c>
      <c r="E514" s="2">
        <v>510</v>
      </c>
      <c r="H514" s="8">
        <f t="shared" si="15"/>
        <v>1149.5</v>
      </c>
    </row>
    <row r="515" spans="1:8" x14ac:dyDescent="0.2">
      <c r="A515" s="5">
        <v>1150</v>
      </c>
      <c r="B515" s="6">
        <v>16732705.187899999</v>
      </c>
      <c r="C515" s="6">
        <f t="shared" si="14"/>
        <v>18767705.187899999</v>
      </c>
      <c r="D515" s="6">
        <v>112323.061057</v>
      </c>
      <c r="E515" s="2">
        <v>511</v>
      </c>
      <c r="H515" s="8">
        <f t="shared" si="15"/>
        <v>1150</v>
      </c>
    </row>
    <row r="516" spans="1:8" x14ac:dyDescent="0.2">
      <c r="A516" s="5">
        <v>1150.5</v>
      </c>
      <c r="B516" s="6">
        <v>16788954.337099999</v>
      </c>
      <c r="C516" s="6">
        <f t="shared" si="14"/>
        <v>18823954.337099999</v>
      </c>
      <c r="D516" s="6">
        <v>112626.388706</v>
      </c>
      <c r="E516" s="2">
        <v>512</v>
      </c>
      <c r="H516" s="8">
        <f t="shared" si="15"/>
        <v>1150.5</v>
      </c>
    </row>
    <row r="517" spans="1:8" x14ac:dyDescent="0.2">
      <c r="A517" s="5">
        <v>1151</v>
      </c>
      <c r="B517" s="6">
        <v>16845331.890900001</v>
      </c>
      <c r="C517" s="6">
        <f t="shared" si="14"/>
        <v>18880331.890900001</v>
      </c>
      <c r="D517" s="6">
        <v>112916.817767</v>
      </c>
      <c r="E517" s="2">
        <v>513</v>
      </c>
      <c r="H517" s="8">
        <f t="shared" si="15"/>
        <v>1151</v>
      </c>
    </row>
    <row r="518" spans="1:8" x14ac:dyDescent="0.2">
      <c r="A518" s="5">
        <v>1151.5</v>
      </c>
      <c r="B518" s="6">
        <v>16901855.936000001</v>
      </c>
      <c r="C518" s="6">
        <f t="shared" ref="C518:C581" si="16">B518+$C$3</f>
        <v>18936855.936000001</v>
      </c>
      <c r="D518" s="6">
        <v>113194.370027</v>
      </c>
      <c r="E518" s="2">
        <v>514</v>
      </c>
      <c r="H518" s="8">
        <f t="shared" ref="H518:H581" si="17">A518</f>
        <v>1151.5</v>
      </c>
    </row>
    <row r="519" spans="1:8" x14ac:dyDescent="0.2">
      <c r="A519" s="5">
        <v>1152</v>
      </c>
      <c r="B519" s="6">
        <v>16958547.835000001</v>
      </c>
      <c r="C519" s="6">
        <f t="shared" si="16"/>
        <v>18993547.835000001</v>
      </c>
      <c r="D519" s="6">
        <v>113557.451682</v>
      </c>
      <c r="E519" s="2">
        <v>515</v>
      </c>
      <c r="H519" s="8">
        <f t="shared" si="17"/>
        <v>1152</v>
      </c>
    </row>
    <row r="520" spans="1:8" x14ac:dyDescent="0.2">
      <c r="A520" s="5">
        <v>1152.5</v>
      </c>
      <c r="B520" s="6">
        <v>17015394.7454</v>
      </c>
      <c r="C520" s="6">
        <f t="shared" si="16"/>
        <v>19050394.7454</v>
      </c>
      <c r="D520" s="6">
        <v>113820.31935600001</v>
      </c>
      <c r="E520" s="2">
        <v>516</v>
      </c>
      <c r="H520" s="8">
        <f t="shared" si="17"/>
        <v>1152.5</v>
      </c>
    </row>
    <row r="521" spans="1:8" x14ac:dyDescent="0.2">
      <c r="A521" s="5">
        <v>1153</v>
      </c>
      <c r="B521" s="6">
        <v>17072358.413199998</v>
      </c>
      <c r="C521" s="6">
        <f t="shared" si="16"/>
        <v>19107358.413199998</v>
      </c>
      <c r="D521" s="6">
        <v>114072.098205</v>
      </c>
      <c r="E521" s="2">
        <v>517</v>
      </c>
      <c r="H521" s="8">
        <f t="shared" si="17"/>
        <v>1153</v>
      </c>
    </row>
    <row r="522" spans="1:8" x14ac:dyDescent="0.2">
      <c r="A522" s="5">
        <v>1153.5</v>
      </c>
      <c r="B522" s="6">
        <v>17129472.741700001</v>
      </c>
      <c r="C522" s="6">
        <f t="shared" si="16"/>
        <v>19164472.741700001</v>
      </c>
      <c r="D522" s="6">
        <v>114344.89046900001</v>
      </c>
      <c r="E522" s="2">
        <v>518</v>
      </c>
      <c r="H522" s="8">
        <f t="shared" si="17"/>
        <v>1153.5</v>
      </c>
    </row>
    <row r="523" spans="1:8" x14ac:dyDescent="0.2">
      <c r="A523" s="5">
        <v>1154</v>
      </c>
      <c r="B523" s="6">
        <v>17186706.5317</v>
      </c>
      <c r="C523" s="6">
        <f t="shared" si="16"/>
        <v>19221706.5317</v>
      </c>
      <c r="D523" s="6">
        <v>114616.37527800001</v>
      </c>
      <c r="E523" s="2">
        <v>519</v>
      </c>
      <c r="H523" s="8">
        <f t="shared" si="17"/>
        <v>1154</v>
      </c>
    </row>
    <row r="524" spans="1:8" x14ac:dyDescent="0.2">
      <c r="A524" s="5">
        <v>1154.5</v>
      </c>
      <c r="B524" s="6">
        <v>17244078.8737</v>
      </c>
      <c r="C524" s="6">
        <f t="shared" si="16"/>
        <v>19279078.8737</v>
      </c>
      <c r="D524" s="6">
        <v>114873.169855</v>
      </c>
      <c r="E524" s="2">
        <v>520</v>
      </c>
      <c r="H524" s="8">
        <f t="shared" si="17"/>
        <v>1154.5</v>
      </c>
    </row>
    <row r="525" spans="1:8" x14ac:dyDescent="0.2">
      <c r="A525" s="5">
        <v>1155</v>
      </c>
      <c r="B525" s="6">
        <v>17301581.601100001</v>
      </c>
      <c r="C525" s="6">
        <f t="shared" si="16"/>
        <v>19336581.601100001</v>
      </c>
      <c r="D525" s="6">
        <v>115153.16231699999</v>
      </c>
      <c r="E525" s="2">
        <v>521</v>
      </c>
      <c r="H525" s="8">
        <f t="shared" si="17"/>
        <v>1155</v>
      </c>
    </row>
    <row r="526" spans="1:8" x14ac:dyDescent="0.2">
      <c r="A526" s="5">
        <v>1155.5</v>
      </c>
      <c r="B526" s="6">
        <v>17359218.671500001</v>
      </c>
      <c r="C526" s="6">
        <f t="shared" si="16"/>
        <v>19394218.671500001</v>
      </c>
      <c r="D526" s="6">
        <v>115387.190214</v>
      </c>
      <c r="E526" s="2">
        <v>522</v>
      </c>
      <c r="H526" s="8">
        <f t="shared" si="17"/>
        <v>1155.5</v>
      </c>
    </row>
    <row r="527" spans="1:8" x14ac:dyDescent="0.2">
      <c r="A527" s="5">
        <v>1156</v>
      </c>
      <c r="B527" s="6">
        <v>17416961.400400002</v>
      </c>
      <c r="C527" s="6">
        <f t="shared" si="16"/>
        <v>19451961.400400002</v>
      </c>
      <c r="D527" s="6">
        <v>115624.363371</v>
      </c>
      <c r="E527" s="2">
        <v>523</v>
      </c>
      <c r="H527" s="8">
        <f t="shared" si="17"/>
        <v>1156</v>
      </c>
    </row>
    <row r="528" spans="1:8" x14ac:dyDescent="0.2">
      <c r="A528" s="5">
        <v>1156.5</v>
      </c>
      <c r="B528" s="6">
        <v>17474858.093600001</v>
      </c>
      <c r="C528" s="6">
        <f t="shared" si="16"/>
        <v>19509858.093600001</v>
      </c>
      <c r="D528" s="6">
        <v>115912.138903</v>
      </c>
      <c r="E528" s="2">
        <v>524</v>
      </c>
      <c r="H528" s="8">
        <f t="shared" si="17"/>
        <v>1156.5</v>
      </c>
    </row>
    <row r="529" spans="1:8" x14ac:dyDescent="0.2">
      <c r="A529" s="5">
        <v>1157</v>
      </c>
      <c r="B529" s="6">
        <v>17532876.9881</v>
      </c>
      <c r="C529" s="6">
        <f t="shared" si="16"/>
        <v>19567876.9881</v>
      </c>
      <c r="D529" s="6">
        <v>116204.792031</v>
      </c>
      <c r="E529" s="2">
        <v>525</v>
      </c>
      <c r="H529" s="8">
        <f t="shared" si="17"/>
        <v>1157</v>
      </c>
    </row>
    <row r="530" spans="1:8" x14ac:dyDescent="0.2">
      <c r="A530" s="5">
        <v>1157.5</v>
      </c>
      <c r="B530" s="6">
        <v>17591045.054099999</v>
      </c>
      <c r="C530" s="6">
        <f t="shared" si="16"/>
        <v>19626045.054099999</v>
      </c>
      <c r="D530" s="6">
        <v>116466.08469800001</v>
      </c>
      <c r="E530" s="2">
        <v>526</v>
      </c>
      <c r="H530" s="8">
        <f t="shared" si="17"/>
        <v>1157.5</v>
      </c>
    </row>
    <row r="531" spans="1:8" x14ac:dyDescent="0.2">
      <c r="A531" s="5">
        <v>1158</v>
      </c>
      <c r="B531" s="6">
        <v>17649368.798999999</v>
      </c>
      <c r="C531" s="6">
        <f t="shared" si="16"/>
        <v>19684368.798999999</v>
      </c>
      <c r="D531" s="6">
        <v>116849.036052</v>
      </c>
      <c r="E531" s="2">
        <v>527</v>
      </c>
      <c r="H531" s="8">
        <f t="shared" si="17"/>
        <v>1158</v>
      </c>
    </row>
    <row r="532" spans="1:8" x14ac:dyDescent="0.2">
      <c r="A532" s="5">
        <v>1158.5</v>
      </c>
      <c r="B532" s="6">
        <v>17707859.773699999</v>
      </c>
      <c r="C532" s="6">
        <f t="shared" si="16"/>
        <v>19742859.773699999</v>
      </c>
      <c r="D532" s="6">
        <v>117105.458411</v>
      </c>
      <c r="E532" s="2">
        <v>528</v>
      </c>
      <c r="H532" s="8">
        <f t="shared" si="17"/>
        <v>1158.5</v>
      </c>
    </row>
    <row r="533" spans="1:8" x14ac:dyDescent="0.2">
      <c r="A533" s="5">
        <v>1159</v>
      </c>
      <c r="B533" s="6">
        <v>17766478.315499999</v>
      </c>
      <c r="C533" s="6">
        <f t="shared" si="16"/>
        <v>19801478.315499999</v>
      </c>
      <c r="D533" s="6">
        <v>117410.21838200001</v>
      </c>
      <c r="E533" s="2">
        <v>529</v>
      </c>
      <c r="H533" s="8">
        <f t="shared" si="17"/>
        <v>1159</v>
      </c>
    </row>
    <row r="534" spans="1:8" x14ac:dyDescent="0.2">
      <c r="A534" s="5">
        <v>1159.5</v>
      </c>
      <c r="B534" s="6">
        <v>17825242.887699999</v>
      </c>
      <c r="C534" s="6">
        <f t="shared" si="16"/>
        <v>19860242.887699999</v>
      </c>
      <c r="D534" s="6">
        <v>117683.37018300001</v>
      </c>
      <c r="E534" s="2">
        <v>530</v>
      </c>
      <c r="H534" s="8">
        <f t="shared" si="17"/>
        <v>1159.5</v>
      </c>
    </row>
    <row r="535" spans="1:8" x14ac:dyDescent="0.2">
      <c r="A535" s="5">
        <v>1160</v>
      </c>
      <c r="B535" s="6">
        <v>17884154.129500002</v>
      </c>
      <c r="C535" s="6">
        <f t="shared" si="16"/>
        <v>19919154.129500002</v>
      </c>
      <c r="D535" s="6">
        <v>117993.74399</v>
      </c>
      <c r="E535" s="2">
        <v>531</v>
      </c>
      <c r="H535" s="8">
        <f t="shared" si="17"/>
        <v>1160</v>
      </c>
    </row>
    <row r="536" spans="1:8" x14ac:dyDescent="0.2">
      <c r="A536" s="5">
        <v>1160.5</v>
      </c>
      <c r="B536" s="6">
        <v>17943222.914500002</v>
      </c>
      <c r="C536" s="6">
        <f t="shared" si="16"/>
        <v>19978222.914500002</v>
      </c>
      <c r="D536" s="6">
        <v>118275.071603</v>
      </c>
      <c r="E536" s="2">
        <v>532</v>
      </c>
      <c r="H536" s="8">
        <f t="shared" si="17"/>
        <v>1160.5</v>
      </c>
    </row>
    <row r="537" spans="1:8" x14ac:dyDescent="0.2">
      <c r="A537" s="5">
        <v>1161</v>
      </c>
      <c r="B537" s="6">
        <v>18002431.845800001</v>
      </c>
      <c r="C537" s="6">
        <f t="shared" si="16"/>
        <v>20037431.845800001</v>
      </c>
      <c r="D537" s="6">
        <v>118592.58556000001</v>
      </c>
      <c r="E537" s="2">
        <v>533</v>
      </c>
      <c r="H537" s="8">
        <f t="shared" si="17"/>
        <v>1161</v>
      </c>
    </row>
    <row r="538" spans="1:8" x14ac:dyDescent="0.2">
      <c r="A538" s="5">
        <v>1161.5</v>
      </c>
      <c r="B538" s="6">
        <v>18061799.8462</v>
      </c>
      <c r="C538" s="6">
        <f t="shared" si="16"/>
        <v>20096799.8462</v>
      </c>
      <c r="D538" s="6">
        <v>118870.49462899999</v>
      </c>
      <c r="E538" s="2">
        <v>534</v>
      </c>
      <c r="H538" s="8">
        <f t="shared" si="17"/>
        <v>1161.5</v>
      </c>
    </row>
    <row r="539" spans="1:8" x14ac:dyDescent="0.2">
      <c r="A539" s="5">
        <v>1162</v>
      </c>
      <c r="B539" s="6">
        <v>18121306.956900001</v>
      </c>
      <c r="C539" s="6">
        <f t="shared" si="16"/>
        <v>20156306.956900001</v>
      </c>
      <c r="D539" s="6">
        <v>119191.525198</v>
      </c>
      <c r="E539" s="2">
        <v>535</v>
      </c>
      <c r="H539" s="8">
        <f t="shared" si="17"/>
        <v>1162</v>
      </c>
    </row>
    <row r="540" spans="1:8" x14ac:dyDescent="0.2">
      <c r="A540" s="5">
        <v>1162.5</v>
      </c>
      <c r="B540" s="6">
        <v>18180962.6822</v>
      </c>
      <c r="C540" s="6">
        <f t="shared" si="16"/>
        <v>20215962.6822</v>
      </c>
      <c r="D540" s="6">
        <v>119472.058569</v>
      </c>
      <c r="E540" s="2">
        <v>536</v>
      </c>
      <c r="H540" s="8">
        <f t="shared" si="17"/>
        <v>1162.5</v>
      </c>
    </row>
    <row r="541" spans="1:8" x14ac:dyDescent="0.2">
      <c r="A541" s="5">
        <v>1163</v>
      </c>
      <c r="B541" s="6">
        <v>18240770.931000002</v>
      </c>
      <c r="C541" s="6">
        <f t="shared" si="16"/>
        <v>20275770.931000002</v>
      </c>
      <c r="D541" s="6">
        <v>119795.113163</v>
      </c>
      <c r="E541" s="2">
        <v>537</v>
      </c>
      <c r="H541" s="8">
        <f t="shared" si="17"/>
        <v>1163</v>
      </c>
    </row>
    <row r="542" spans="1:8" x14ac:dyDescent="0.2">
      <c r="A542" s="5">
        <v>1163.5</v>
      </c>
      <c r="B542" s="6">
        <v>18300740.141600002</v>
      </c>
      <c r="C542" s="6">
        <f t="shared" si="16"/>
        <v>20335740.141600002</v>
      </c>
      <c r="D542" s="6">
        <v>120072.55273</v>
      </c>
      <c r="E542" s="2">
        <v>538</v>
      </c>
      <c r="H542" s="8">
        <f t="shared" si="17"/>
        <v>1163.5</v>
      </c>
    </row>
    <row r="543" spans="1:8" x14ac:dyDescent="0.2">
      <c r="A543" s="5">
        <v>1164</v>
      </c>
      <c r="B543" s="6">
        <v>18360848.994399998</v>
      </c>
      <c r="C543" s="6">
        <f t="shared" si="16"/>
        <v>20395848.994399998</v>
      </c>
      <c r="D543" s="6">
        <v>120422.264786</v>
      </c>
      <c r="E543" s="2">
        <v>539</v>
      </c>
      <c r="H543" s="8">
        <f t="shared" si="17"/>
        <v>1164</v>
      </c>
    </row>
    <row r="544" spans="1:8" x14ac:dyDescent="0.2">
      <c r="A544" s="5">
        <v>1164.5</v>
      </c>
      <c r="B544" s="6">
        <v>18421137.7005</v>
      </c>
      <c r="C544" s="6">
        <f t="shared" si="16"/>
        <v>20456137.7005</v>
      </c>
      <c r="D544" s="6">
        <v>120716.517697</v>
      </c>
      <c r="E544" s="2">
        <v>540</v>
      </c>
      <c r="H544" s="8">
        <f t="shared" si="17"/>
        <v>1164.5</v>
      </c>
    </row>
    <row r="545" spans="1:8" x14ac:dyDescent="0.2">
      <c r="A545" s="5">
        <v>1165</v>
      </c>
      <c r="B545" s="6">
        <v>18481577.945099998</v>
      </c>
      <c r="C545" s="6">
        <f t="shared" si="16"/>
        <v>20516577.945099998</v>
      </c>
      <c r="D545" s="6">
        <v>121098.954457</v>
      </c>
      <c r="E545" s="2">
        <v>541</v>
      </c>
      <c r="H545" s="8">
        <f t="shared" si="17"/>
        <v>1165</v>
      </c>
    </row>
    <row r="546" spans="1:8" x14ac:dyDescent="0.2">
      <c r="A546" s="5">
        <v>1165.5</v>
      </c>
      <c r="B546" s="6">
        <v>18542191.956799999</v>
      </c>
      <c r="C546" s="6">
        <f t="shared" si="16"/>
        <v>20577191.956799999</v>
      </c>
      <c r="D546" s="6">
        <v>121398.15025000001</v>
      </c>
      <c r="E546" s="2">
        <v>542</v>
      </c>
      <c r="H546" s="8">
        <f t="shared" si="17"/>
        <v>1165.5</v>
      </c>
    </row>
    <row r="547" spans="1:8" x14ac:dyDescent="0.2">
      <c r="A547" s="5">
        <v>1166</v>
      </c>
      <c r="B547" s="6">
        <v>18602971.719900001</v>
      </c>
      <c r="C547" s="6">
        <f t="shared" si="16"/>
        <v>20637971.719900001</v>
      </c>
      <c r="D547" s="6">
        <v>121792.767756</v>
      </c>
      <c r="E547" s="2">
        <v>543</v>
      </c>
      <c r="H547" s="8">
        <f t="shared" si="17"/>
        <v>1166</v>
      </c>
    </row>
    <row r="548" spans="1:8" x14ac:dyDescent="0.2">
      <c r="A548" s="5">
        <v>1166.5</v>
      </c>
      <c r="B548" s="6">
        <v>18663947.105799999</v>
      </c>
      <c r="C548" s="6">
        <f t="shared" si="16"/>
        <v>20698947.105799999</v>
      </c>
      <c r="D548" s="6">
        <v>122102.448561</v>
      </c>
      <c r="E548" s="2">
        <v>544</v>
      </c>
      <c r="H548" s="8">
        <f t="shared" si="17"/>
        <v>1166.5</v>
      </c>
    </row>
    <row r="549" spans="1:8" x14ac:dyDescent="0.2">
      <c r="A549" s="5">
        <v>1167</v>
      </c>
      <c r="B549" s="6">
        <v>18725078.323600002</v>
      </c>
      <c r="C549" s="6">
        <f t="shared" si="16"/>
        <v>20760078.323600002</v>
      </c>
      <c r="D549" s="6">
        <v>122473.7162</v>
      </c>
      <c r="E549" s="2">
        <v>545</v>
      </c>
      <c r="H549" s="8">
        <f t="shared" si="17"/>
        <v>1167</v>
      </c>
    </row>
    <row r="550" spans="1:8" x14ac:dyDescent="0.2">
      <c r="A550" s="5">
        <v>1167.5</v>
      </c>
      <c r="B550" s="6">
        <v>18786395.090300001</v>
      </c>
      <c r="C550" s="6">
        <f t="shared" si="16"/>
        <v>20821395.090300001</v>
      </c>
      <c r="D550" s="6">
        <v>122787.17680099999</v>
      </c>
      <c r="E550" s="2">
        <v>546</v>
      </c>
      <c r="H550" s="8">
        <f t="shared" si="17"/>
        <v>1167.5</v>
      </c>
    </row>
    <row r="551" spans="1:8" x14ac:dyDescent="0.2">
      <c r="A551" s="5">
        <v>1168</v>
      </c>
      <c r="B551" s="6">
        <v>18847874.487199999</v>
      </c>
      <c r="C551" s="6">
        <f t="shared" si="16"/>
        <v>20882874.487199999</v>
      </c>
      <c r="D551" s="6">
        <v>123167.88604899999</v>
      </c>
      <c r="E551" s="2">
        <v>547</v>
      </c>
      <c r="H551" s="8">
        <f t="shared" si="17"/>
        <v>1168</v>
      </c>
    </row>
    <row r="552" spans="1:8" x14ac:dyDescent="0.2">
      <c r="A552" s="5">
        <v>1168.5</v>
      </c>
      <c r="B552" s="6">
        <v>18909540.416200001</v>
      </c>
      <c r="C552" s="6">
        <f t="shared" si="16"/>
        <v>20944540.416200001</v>
      </c>
      <c r="D552" s="6">
        <v>123492.05166300001</v>
      </c>
      <c r="E552" s="2">
        <v>548</v>
      </c>
      <c r="H552" s="8">
        <f t="shared" si="17"/>
        <v>1168.5</v>
      </c>
    </row>
    <row r="553" spans="1:8" x14ac:dyDescent="0.2">
      <c r="A553" s="5">
        <v>1169</v>
      </c>
      <c r="B553" s="6">
        <v>18971359.9056</v>
      </c>
      <c r="C553" s="6">
        <f t="shared" si="16"/>
        <v>21006359.9056</v>
      </c>
      <c r="D553" s="6">
        <v>123829.42245100001</v>
      </c>
      <c r="E553" s="2">
        <v>549</v>
      </c>
      <c r="H553" s="8">
        <f t="shared" si="17"/>
        <v>1169</v>
      </c>
    </row>
    <row r="554" spans="1:8" x14ac:dyDescent="0.2">
      <c r="A554" s="5">
        <v>1169.5</v>
      </c>
      <c r="B554" s="6">
        <v>19033395.601599999</v>
      </c>
      <c r="C554" s="6">
        <f t="shared" si="16"/>
        <v>21068395.601599999</v>
      </c>
      <c r="D554" s="6">
        <v>124275.484063</v>
      </c>
      <c r="E554" s="2">
        <v>550</v>
      </c>
      <c r="H554" s="8">
        <f t="shared" si="17"/>
        <v>1169.5</v>
      </c>
    </row>
    <row r="555" spans="1:8" x14ac:dyDescent="0.2">
      <c r="A555" s="5">
        <v>1170</v>
      </c>
      <c r="B555" s="6">
        <v>19095622.029899999</v>
      </c>
      <c r="C555" s="6">
        <f t="shared" si="16"/>
        <v>21130622.029899999</v>
      </c>
      <c r="D555" s="6">
        <v>124673.046974</v>
      </c>
      <c r="E555" s="2">
        <v>551</v>
      </c>
      <c r="H555" s="8">
        <f t="shared" si="17"/>
        <v>1170</v>
      </c>
    </row>
    <row r="556" spans="1:8" x14ac:dyDescent="0.2">
      <c r="A556" s="5">
        <v>1170.5</v>
      </c>
      <c r="B556" s="6">
        <v>19158042.7236</v>
      </c>
      <c r="C556" s="6">
        <f t="shared" si="16"/>
        <v>21193042.7236</v>
      </c>
      <c r="D556" s="6">
        <v>125002.385113</v>
      </c>
      <c r="E556" s="2">
        <v>552</v>
      </c>
      <c r="H556" s="8">
        <f t="shared" si="17"/>
        <v>1170.5</v>
      </c>
    </row>
    <row r="557" spans="1:8" x14ac:dyDescent="0.2">
      <c r="A557" s="5">
        <v>1171</v>
      </c>
      <c r="B557" s="6">
        <v>19220628.809900001</v>
      </c>
      <c r="C557" s="6">
        <f t="shared" si="16"/>
        <v>21255628.809900001</v>
      </c>
      <c r="D557" s="6">
        <v>125393.59398400001</v>
      </c>
      <c r="E557" s="2">
        <v>553</v>
      </c>
      <c r="H557" s="8">
        <f t="shared" si="17"/>
        <v>1171</v>
      </c>
    </row>
    <row r="558" spans="1:8" x14ac:dyDescent="0.2">
      <c r="A558" s="5">
        <v>1171.5</v>
      </c>
      <c r="B558" s="6">
        <v>19283415.179699998</v>
      </c>
      <c r="C558" s="6">
        <f t="shared" si="16"/>
        <v>21318415.179699998</v>
      </c>
      <c r="D558" s="6">
        <v>125752.76811200001</v>
      </c>
      <c r="E558" s="2">
        <v>554</v>
      </c>
      <c r="H558" s="8">
        <f t="shared" si="17"/>
        <v>1171.5</v>
      </c>
    </row>
    <row r="559" spans="1:8" x14ac:dyDescent="0.2">
      <c r="A559" s="5">
        <v>1172</v>
      </c>
      <c r="B559" s="6">
        <v>19346370.1734</v>
      </c>
      <c r="C559" s="6">
        <f t="shared" si="16"/>
        <v>21381370.1734</v>
      </c>
      <c r="D559" s="6">
        <v>126109.248934</v>
      </c>
      <c r="E559" s="2">
        <v>555</v>
      </c>
      <c r="H559" s="8">
        <f t="shared" si="17"/>
        <v>1172</v>
      </c>
    </row>
    <row r="560" spans="1:8" x14ac:dyDescent="0.2">
      <c r="A560" s="5">
        <v>1172.5</v>
      </c>
      <c r="B560" s="6">
        <v>19409537.088100001</v>
      </c>
      <c r="C560" s="6">
        <f t="shared" si="16"/>
        <v>21444537.088100001</v>
      </c>
      <c r="D560" s="6">
        <v>126506.68507199999</v>
      </c>
      <c r="E560" s="2">
        <v>556</v>
      </c>
      <c r="H560" s="8">
        <f t="shared" si="17"/>
        <v>1172.5</v>
      </c>
    </row>
    <row r="561" spans="1:8" x14ac:dyDescent="0.2">
      <c r="A561" s="5">
        <v>1173</v>
      </c>
      <c r="B561" s="6">
        <v>19472881.442699999</v>
      </c>
      <c r="C561" s="6">
        <f t="shared" si="16"/>
        <v>21507881.442699999</v>
      </c>
      <c r="D561" s="6">
        <v>126903.452099</v>
      </c>
      <c r="E561" s="2">
        <v>557</v>
      </c>
      <c r="H561" s="8">
        <f t="shared" si="17"/>
        <v>1173</v>
      </c>
    </row>
    <row r="562" spans="1:8" x14ac:dyDescent="0.2">
      <c r="A562" s="5">
        <v>1173.5</v>
      </c>
      <c r="B562" s="6">
        <v>19536423.464000002</v>
      </c>
      <c r="C562" s="6">
        <f t="shared" si="16"/>
        <v>21571423.464000002</v>
      </c>
      <c r="D562" s="6">
        <v>127257.66207799999</v>
      </c>
      <c r="E562" s="2">
        <v>558</v>
      </c>
      <c r="H562" s="8">
        <f t="shared" si="17"/>
        <v>1173.5</v>
      </c>
    </row>
    <row r="563" spans="1:8" x14ac:dyDescent="0.2">
      <c r="A563" s="5">
        <v>1174</v>
      </c>
      <c r="B563" s="6">
        <v>19600143.501499999</v>
      </c>
      <c r="C563" s="6">
        <f t="shared" si="16"/>
        <v>21635143.501499999</v>
      </c>
      <c r="D563" s="6">
        <v>127655.083703</v>
      </c>
      <c r="E563" s="2">
        <v>559</v>
      </c>
      <c r="H563" s="8">
        <f t="shared" si="17"/>
        <v>1174</v>
      </c>
    </row>
    <row r="564" spans="1:8" x14ac:dyDescent="0.2">
      <c r="A564" s="5">
        <v>1174.5</v>
      </c>
      <c r="B564" s="6">
        <v>19664064.9881</v>
      </c>
      <c r="C564" s="6">
        <f t="shared" si="16"/>
        <v>21699064.9881</v>
      </c>
      <c r="D564" s="6">
        <v>128031.32511600001</v>
      </c>
      <c r="E564" s="2">
        <v>560</v>
      </c>
      <c r="H564" s="8">
        <f t="shared" si="17"/>
        <v>1174.5</v>
      </c>
    </row>
    <row r="565" spans="1:8" x14ac:dyDescent="0.2">
      <c r="A565" s="5">
        <v>1175</v>
      </c>
      <c r="B565" s="6">
        <v>19728171.063000001</v>
      </c>
      <c r="C565" s="6">
        <f t="shared" si="16"/>
        <v>21763171.063000001</v>
      </c>
      <c r="D565" s="6">
        <v>128425.96666999999</v>
      </c>
      <c r="E565" s="2">
        <v>561</v>
      </c>
      <c r="H565" s="8">
        <f t="shared" si="17"/>
        <v>1175</v>
      </c>
    </row>
    <row r="566" spans="1:8" x14ac:dyDescent="0.2">
      <c r="A566" s="5">
        <v>1175.5</v>
      </c>
      <c r="B566" s="6">
        <v>19792458.720100001</v>
      </c>
      <c r="C566" s="6">
        <f t="shared" si="16"/>
        <v>21827458.720100001</v>
      </c>
      <c r="D566" s="6">
        <v>128767.179817</v>
      </c>
      <c r="E566" s="2">
        <v>562</v>
      </c>
      <c r="H566" s="8">
        <f t="shared" si="17"/>
        <v>1175.5</v>
      </c>
    </row>
    <row r="567" spans="1:8" x14ac:dyDescent="0.2">
      <c r="A567" s="5">
        <v>1176</v>
      </c>
      <c r="B567" s="6">
        <v>19856928.153200001</v>
      </c>
      <c r="C567" s="6">
        <f t="shared" si="16"/>
        <v>21891928.153200001</v>
      </c>
      <c r="D567" s="6">
        <v>129147.38808</v>
      </c>
      <c r="E567" s="2">
        <v>563</v>
      </c>
      <c r="H567" s="8">
        <f t="shared" si="17"/>
        <v>1176</v>
      </c>
    </row>
    <row r="568" spans="1:8" x14ac:dyDescent="0.2">
      <c r="A568" s="5">
        <v>1176.5</v>
      </c>
      <c r="B568" s="6">
        <v>19921586.787099998</v>
      </c>
      <c r="C568" s="6">
        <f t="shared" si="16"/>
        <v>21956586.787099998</v>
      </c>
      <c r="D568" s="6">
        <v>129478.171116</v>
      </c>
      <c r="E568" s="2">
        <v>564</v>
      </c>
      <c r="H568" s="8">
        <f t="shared" si="17"/>
        <v>1176.5</v>
      </c>
    </row>
    <row r="569" spans="1:8" x14ac:dyDescent="0.2">
      <c r="A569" s="5">
        <v>1177</v>
      </c>
      <c r="B569" s="6">
        <v>19986408.4531</v>
      </c>
      <c r="C569" s="6">
        <f t="shared" si="16"/>
        <v>22021408.4531</v>
      </c>
      <c r="D569" s="6">
        <v>129833.92337600001</v>
      </c>
      <c r="E569" s="2">
        <v>565</v>
      </c>
      <c r="H569" s="8">
        <f t="shared" si="17"/>
        <v>1177</v>
      </c>
    </row>
    <row r="570" spans="1:8" x14ac:dyDescent="0.2">
      <c r="A570" s="5">
        <v>1177.5</v>
      </c>
      <c r="B570" s="6">
        <v>20051404.169799998</v>
      </c>
      <c r="C570" s="6">
        <f t="shared" si="16"/>
        <v>22086404.169799998</v>
      </c>
      <c r="D570" s="6">
        <v>130139.88281</v>
      </c>
      <c r="E570" s="2">
        <v>566</v>
      </c>
      <c r="H570" s="8">
        <f t="shared" si="17"/>
        <v>1177.5</v>
      </c>
    </row>
    <row r="571" spans="1:8" x14ac:dyDescent="0.2">
      <c r="A571" s="5">
        <v>1178</v>
      </c>
      <c r="B571" s="6">
        <v>20116552.044399999</v>
      </c>
      <c r="C571" s="6">
        <f t="shared" si="16"/>
        <v>22151552.044399999</v>
      </c>
      <c r="D571" s="6">
        <v>130489.589272</v>
      </c>
      <c r="E571" s="2">
        <v>567</v>
      </c>
      <c r="H571" s="8">
        <f t="shared" si="17"/>
        <v>1178</v>
      </c>
    </row>
    <row r="572" spans="1:8" x14ac:dyDescent="0.2">
      <c r="A572" s="5">
        <v>1178.5</v>
      </c>
      <c r="B572" s="6">
        <v>20181862.099199999</v>
      </c>
      <c r="C572" s="6">
        <f t="shared" si="16"/>
        <v>22216862.099199999</v>
      </c>
      <c r="D572" s="6">
        <v>130795.107789</v>
      </c>
      <c r="E572" s="2">
        <v>568</v>
      </c>
      <c r="H572" s="8">
        <f t="shared" si="17"/>
        <v>1178.5</v>
      </c>
    </row>
    <row r="573" spans="1:8" x14ac:dyDescent="0.2">
      <c r="A573" s="5">
        <v>1179</v>
      </c>
      <c r="B573" s="6">
        <v>20247345.6039</v>
      </c>
      <c r="C573" s="6">
        <f t="shared" si="16"/>
        <v>22282345.6039</v>
      </c>
      <c r="D573" s="6">
        <v>131158.29837599999</v>
      </c>
      <c r="E573" s="2">
        <v>569</v>
      </c>
      <c r="H573" s="8">
        <f t="shared" si="17"/>
        <v>1179</v>
      </c>
    </row>
    <row r="574" spans="1:8" x14ac:dyDescent="0.2">
      <c r="A574" s="5">
        <v>1179.5</v>
      </c>
      <c r="B574" s="6">
        <v>20313002.2443</v>
      </c>
      <c r="C574" s="6">
        <f t="shared" si="16"/>
        <v>22348002.2443</v>
      </c>
      <c r="D574" s="6">
        <v>131459.75364899999</v>
      </c>
      <c r="E574" s="2">
        <v>570</v>
      </c>
      <c r="H574" s="8">
        <f t="shared" si="17"/>
        <v>1179.5</v>
      </c>
    </row>
    <row r="575" spans="1:8" x14ac:dyDescent="0.2">
      <c r="A575" s="5">
        <v>1180</v>
      </c>
      <c r="B575" s="6">
        <v>20378809.302000001</v>
      </c>
      <c r="C575" s="6">
        <f t="shared" si="16"/>
        <v>22413809.302000001</v>
      </c>
      <c r="D575" s="6">
        <v>131791.78388800001</v>
      </c>
      <c r="E575" s="2">
        <v>571</v>
      </c>
      <c r="H575" s="8">
        <f t="shared" si="17"/>
        <v>1180</v>
      </c>
    </row>
    <row r="576" spans="1:8" x14ac:dyDescent="0.2">
      <c r="A576" s="5">
        <v>1180.5</v>
      </c>
      <c r="B576" s="6">
        <v>20444779.695900001</v>
      </c>
      <c r="C576" s="6">
        <f t="shared" si="16"/>
        <v>22479779.695900001</v>
      </c>
      <c r="D576" s="6">
        <v>132080.8726</v>
      </c>
      <c r="E576" s="2">
        <v>572</v>
      </c>
      <c r="H576" s="8">
        <f t="shared" si="17"/>
        <v>1180.5</v>
      </c>
    </row>
    <row r="577" spans="1:8" x14ac:dyDescent="0.2">
      <c r="A577" s="5">
        <v>1181</v>
      </c>
      <c r="B577" s="6">
        <v>20510893.336100001</v>
      </c>
      <c r="C577" s="6">
        <f t="shared" si="16"/>
        <v>22545893.336100001</v>
      </c>
      <c r="D577" s="6">
        <v>132402.35274599999</v>
      </c>
      <c r="E577" s="2">
        <v>573</v>
      </c>
      <c r="H577" s="8">
        <f t="shared" si="17"/>
        <v>1181</v>
      </c>
    </row>
    <row r="578" spans="1:8" x14ac:dyDescent="0.2">
      <c r="A578" s="5">
        <v>1181.5</v>
      </c>
      <c r="B578" s="6">
        <v>20577156.063000001</v>
      </c>
      <c r="C578" s="6">
        <f t="shared" si="16"/>
        <v>22612156.063000001</v>
      </c>
      <c r="D578" s="6">
        <v>132693.90641900001</v>
      </c>
      <c r="E578" s="2">
        <v>574</v>
      </c>
      <c r="H578" s="8">
        <f t="shared" si="17"/>
        <v>1181.5</v>
      </c>
    </row>
    <row r="579" spans="1:8" x14ac:dyDescent="0.2">
      <c r="A579" s="5">
        <v>1182</v>
      </c>
      <c r="B579" s="6">
        <v>20643603.706599999</v>
      </c>
      <c r="C579" s="6">
        <f t="shared" si="16"/>
        <v>22678603.706599999</v>
      </c>
      <c r="D579" s="6">
        <v>133085.74060700001</v>
      </c>
      <c r="E579" s="2">
        <v>575</v>
      </c>
      <c r="H579" s="8">
        <f t="shared" si="17"/>
        <v>1182</v>
      </c>
    </row>
    <row r="580" spans="1:8" x14ac:dyDescent="0.2">
      <c r="A580" s="5">
        <v>1182.5</v>
      </c>
      <c r="B580" s="6">
        <v>20710222.403999999</v>
      </c>
      <c r="C580" s="6">
        <f t="shared" si="16"/>
        <v>22745222.403999999</v>
      </c>
      <c r="D580" s="6">
        <v>133380.36274400001</v>
      </c>
      <c r="E580" s="2">
        <v>576</v>
      </c>
      <c r="H580" s="8">
        <f t="shared" si="17"/>
        <v>1182.5</v>
      </c>
    </row>
    <row r="581" spans="1:8" x14ac:dyDescent="0.2">
      <c r="A581" s="5">
        <v>1183</v>
      </c>
      <c r="B581" s="6">
        <v>20776987.057700001</v>
      </c>
      <c r="C581" s="6">
        <f t="shared" si="16"/>
        <v>22811987.057700001</v>
      </c>
      <c r="D581" s="6">
        <v>133699.336977</v>
      </c>
      <c r="E581" s="2">
        <v>577</v>
      </c>
      <c r="H581" s="8">
        <f t="shared" si="17"/>
        <v>1183</v>
      </c>
    </row>
    <row r="582" spans="1:8" x14ac:dyDescent="0.2">
      <c r="A582" s="5">
        <v>1183.5</v>
      </c>
      <c r="B582" s="6">
        <v>20843911.985599998</v>
      </c>
      <c r="C582" s="6">
        <f t="shared" ref="C582:C645" si="18">B582+$C$3</f>
        <v>22878911.985599998</v>
      </c>
      <c r="D582" s="6">
        <v>133992.44931200001</v>
      </c>
      <c r="E582" s="2">
        <v>578</v>
      </c>
      <c r="H582" s="8">
        <f t="shared" ref="H582:H645" si="19">A582</f>
        <v>1183.5</v>
      </c>
    </row>
    <row r="583" spans="1:8" x14ac:dyDescent="0.2">
      <c r="A583" s="5">
        <v>1184</v>
      </c>
      <c r="B583" s="6">
        <v>20910985.065200001</v>
      </c>
      <c r="C583" s="6">
        <f t="shared" si="18"/>
        <v>22945985.065200001</v>
      </c>
      <c r="D583" s="6">
        <v>134311.76993400001</v>
      </c>
      <c r="E583" s="2">
        <v>579</v>
      </c>
      <c r="H583" s="8">
        <f t="shared" si="19"/>
        <v>1184</v>
      </c>
    </row>
    <row r="584" spans="1:8" x14ac:dyDescent="0.2">
      <c r="A584" s="5">
        <v>1184.5</v>
      </c>
      <c r="B584" s="6">
        <v>20978218.539700001</v>
      </c>
      <c r="C584" s="6">
        <f t="shared" si="18"/>
        <v>23013218.539700001</v>
      </c>
      <c r="D584" s="6">
        <v>134615.19719400001</v>
      </c>
      <c r="E584" s="2">
        <v>580</v>
      </c>
      <c r="H584" s="8">
        <f t="shared" si="19"/>
        <v>1184.5</v>
      </c>
    </row>
    <row r="585" spans="1:8" x14ac:dyDescent="0.2">
      <c r="A585" s="5">
        <v>1185</v>
      </c>
      <c r="B585" s="6">
        <v>21045591.480099998</v>
      </c>
      <c r="C585" s="6">
        <f t="shared" si="18"/>
        <v>23080591.480099998</v>
      </c>
      <c r="D585" s="6">
        <v>134923.27619800001</v>
      </c>
      <c r="E585" s="2">
        <v>581</v>
      </c>
      <c r="H585" s="8">
        <f t="shared" si="19"/>
        <v>1185</v>
      </c>
    </row>
    <row r="586" spans="1:8" x14ac:dyDescent="0.2">
      <c r="A586" s="5">
        <v>1185.5</v>
      </c>
      <c r="B586" s="6">
        <v>21113142.578400001</v>
      </c>
      <c r="C586" s="6">
        <f t="shared" si="18"/>
        <v>23148142.578400001</v>
      </c>
      <c r="D586" s="6">
        <v>135256.34584200001</v>
      </c>
      <c r="E586" s="2">
        <v>582</v>
      </c>
      <c r="H586" s="8">
        <f t="shared" si="19"/>
        <v>1185.5</v>
      </c>
    </row>
    <row r="587" spans="1:8" x14ac:dyDescent="0.2">
      <c r="A587" s="5">
        <v>1186</v>
      </c>
      <c r="B587" s="6">
        <v>21180851.024500001</v>
      </c>
      <c r="C587" s="6">
        <f t="shared" si="18"/>
        <v>23215851.024500001</v>
      </c>
      <c r="D587" s="6">
        <v>135597.952292</v>
      </c>
      <c r="E587" s="2">
        <v>583</v>
      </c>
      <c r="H587" s="8">
        <f t="shared" si="19"/>
        <v>1186</v>
      </c>
    </row>
    <row r="588" spans="1:8" x14ac:dyDescent="0.2">
      <c r="A588" s="5">
        <v>1186.5</v>
      </c>
      <c r="B588" s="6">
        <v>21248730.337099999</v>
      </c>
      <c r="C588" s="6">
        <f t="shared" si="18"/>
        <v>23283730.337099999</v>
      </c>
      <c r="D588" s="6">
        <v>135912.31758599999</v>
      </c>
      <c r="E588" s="2">
        <v>584</v>
      </c>
      <c r="H588" s="8">
        <f t="shared" si="19"/>
        <v>1186.5</v>
      </c>
    </row>
    <row r="589" spans="1:8" x14ac:dyDescent="0.2">
      <c r="A589" s="5">
        <v>1187</v>
      </c>
      <c r="B589" s="6">
        <v>21316767.159000002</v>
      </c>
      <c r="C589" s="6">
        <f t="shared" si="18"/>
        <v>23351767.159000002</v>
      </c>
      <c r="D589" s="6">
        <v>136249.37223899999</v>
      </c>
      <c r="E589" s="2">
        <v>585</v>
      </c>
      <c r="H589" s="8">
        <f t="shared" si="19"/>
        <v>1187</v>
      </c>
    </row>
    <row r="590" spans="1:8" x14ac:dyDescent="0.2">
      <c r="A590" s="5">
        <v>1187.5</v>
      </c>
      <c r="B590" s="6">
        <v>21384972.4652</v>
      </c>
      <c r="C590" s="6">
        <f t="shared" si="18"/>
        <v>23419972.4652</v>
      </c>
      <c r="D590" s="6">
        <v>136567.133179</v>
      </c>
      <c r="E590" s="2">
        <v>586</v>
      </c>
      <c r="H590" s="8">
        <f t="shared" si="19"/>
        <v>1187.5</v>
      </c>
    </row>
    <row r="591" spans="1:8" x14ac:dyDescent="0.2">
      <c r="A591" s="5">
        <v>1188</v>
      </c>
      <c r="B591" s="6">
        <v>21453331.086800002</v>
      </c>
      <c r="C591" s="6">
        <f t="shared" si="18"/>
        <v>23488331.086800002</v>
      </c>
      <c r="D591" s="6">
        <v>136896.57291700001</v>
      </c>
      <c r="E591" s="2">
        <v>587</v>
      </c>
      <c r="H591" s="8">
        <f t="shared" si="19"/>
        <v>1188</v>
      </c>
    </row>
    <row r="592" spans="1:8" x14ac:dyDescent="0.2">
      <c r="A592" s="5">
        <v>1188.5</v>
      </c>
      <c r="B592" s="6">
        <v>21521871.173099998</v>
      </c>
      <c r="C592" s="6">
        <f t="shared" si="18"/>
        <v>23556871.173099998</v>
      </c>
      <c r="D592" s="6">
        <v>137232.55636300001</v>
      </c>
      <c r="E592" s="2">
        <v>588</v>
      </c>
      <c r="H592" s="8">
        <f t="shared" si="19"/>
        <v>1188.5</v>
      </c>
    </row>
    <row r="593" spans="1:8" x14ac:dyDescent="0.2">
      <c r="A593" s="5">
        <v>1189</v>
      </c>
      <c r="B593" s="6">
        <v>21590568.3706</v>
      </c>
      <c r="C593" s="6">
        <f t="shared" si="18"/>
        <v>23625568.3706</v>
      </c>
      <c r="D593" s="6">
        <v>137569.81226100001</v>
      </c>
      <c r="E593" s="2">
        <v>589</v>
      </c>
      <c r="H593" s="8">
        <f t="shared" si="19"/>
        <v>1189</v>
      </c>
    </row>
    <row r="594" spans="1:8" x14ac:dyDescent="0.2">
      <c r="A594" s="5">
        <v>1189.5</v>
      </c>
      <c r="B594" s="6">
        <v>21659432.8059</v>
      </c>
      <c r="C594" s="6">
        <f t="shared" si="18"/>
        <v>23694432.8059</v>
      </c>
      <c r="D594" s="6">
        <v>137909.76736100001</v>
      </c>
      <c r="E594" s="2">
        <v>590</v>
      </c>
      <c r="H594" s="8">
        <f t="shared" si="19"/>
        <v>1189.5</v>
      </c>
    </row>
    <row r="595" spans="1:8" x14ac:dyDescent="0.2">
      <c r="A595" s="5">
        <v>1190</v>
      </c>
      <c r="B595" s="6">
        <v>21728468.618099999</v>
      </c>
      <c r="C595" s="6">
        <f t="shared" si="18"/>
        <v>23763468.618099999</v>
      </c>
      <c r="D595" s="6">
        <v>138245.64280500001</v>
      </c>
      <c r="E595" s="2">
        <v>591</v>
      </c>
      <c r="H595" s="8">
        <f t="shared" si="19"/>
        <v>1190</v>
      </c>
    </row>
    <row r="596" spans="1:8" x14ac:dyDescent="0.2">
      <c r="A596" s="5">
        <v>1190.5</v>
      </c>
      <c r="B596" s="6">
        <v>21797669.268300001</v>
      </c>
      <c r="C596" s="6">
        <f t="shared" si="18"/>
        <v>23832669.268300001</v>
      </c>
      <c r="D596" s="6">
        <v>138549.03915600001</v>
      </c>
      <c r="E596" s="2">
        <v>592</v>
      </c>
      <c r="H596" s="8">
        <f t="shared" si="19"/>
        <v>1190.5</v>
      </c>
    </row>
    <row r="597" spans="1:8" x14ac:dyDescent="0.2">
      <c r="A597" s="5">
        <v>1191</v>
      </c>
      <c r="B597" s="6">
        <v>21867021.7597</v>
      </c>
      <c r="C597" s="6">
        <f t="shared" si="18"/>
        <v>23902021.7597</v>
      </c>
      <c r="D597" s="6">
        <v>138873.096544</v>
      </c>
      <c r="E597" s="2">
        <v>593</v>
      </c>
      <c r="H597" s="8">
        <f t="shared" si="19"/>
        <v>1191</v>
      </c>
    </row>
    <row r="598" spans="1:8" x14ac:dyDescent="0.2">
      <c r="A598" s="5">
        <v>1191.5</v>
      </c>
      <c r="B598" s="6">
        <v>21936522.5242</v>
      </c>
      <c r="C598" s="6">
        <f t="shared" si="18"/>
        <v>23971522.5242</v>
      </c>
      <c r="D598" s="6">
        <v>139178.999411</v>
      </c>
      <c r="E598" s="2">
        <v>594</v>
      </c>
      <c r="H598" s="8">
        <f t="shared" si="19"/>
        <v>1191.5</v>
      </c>
    </row>
    <row r="599" spans="1:8" x14ac:dyDescent="0.2">
      <c r="A599" s="5">
        <v>1192</v>
      </c>
      <c r="B599" s="6">
        <v>22006193.914700001</v>
      </c>
      <c r="C599" s="6">
        <f t="shared" si="18"/>
        <v>24041193.914700001</v>
      </c>
      <c r="D599" s="6">
        <v>139519.051764</v>
      </c>
      <c r="E599" s="2">
        <v>595</v>
      </c>
      <c r="H599" s="8">
        <f t="shared" si="19"/>
        <v>1192</v>
      </c>
    </row>
    <row r="600" spans="1:8" x14ac:dyDescent="0.2">
      <c r="A600" s="5">
        <v>1192.5</v>
      </c>
      <c r="B600" s="6">
        <v>22076036.441199999</v>
      </c>
      <c r="C600" s="6">
        <f t="shared" si="18"/>
        <v>24111036.441199999</v>
      </c>
      <c r="D600" s="6">
        <v>139842.36098500001</v>
      </c>
      <c r="E600" s="2">
        <v>596</v>
      </c>
      <c r="H600" s="8">
        <f t="shared" si="19"/>
        <v>1192.5</v>
      </c>
    </row>
    <row r="601" spans="1:8" x14ac:dyDescent="0.2">
      <c r="A601" s="5">
        <v>1193</v>
      </c>
      <c r="B601" s="6">
        <v>22146040.282200001</v>
      </c>
      <c r="C601" s="6">
        <f t="shared" si="18"/>
        <v>24181040.282200001</v>
      </c>
      <c r="D601" s="6">
        <v>140183.33291299999</v>
      </c>
      <c r="E601" s="2">
        <v>597</v>
      </c>
      <c r="H601" s="8">
        <f t="shared" si="19"/>
        <v>1193</v>
      </c>
    </row>
    <row r="602" spans="1:8" x14ac:dyDescent="0.2">
      <c r="A602" s="5">
        <v>1193.5</v>
      </c>
      <c r="B602" s="6">
        <v>22216214.886500001</v>
      </c>
      <c r="C602" s="6">
        <f t="shared" si="18"/>
        <v>24251214.886500001</v>
      </c>
      <c r="D602" s="6">
        <v>140506.72496799999</v>
      </c>
      <c r="E602" s="2">
        <v>598</v>
      </c>
      <c r="H602" s="8">
        <f t="shared" si="19"/>
        <v>1193.5</v>
      </c>
    </row>
    <row r="603" spans="1:8" x14ac:dyDescent="0.2">
      <c r="A603" s="5">
        <v>1194</v>
      </c>
      <c r="B603" s="6">
        <v>22286551.899700001</v>
      </c>
      <c r="C603" s="6">
        <f t="shared" si="18"/>
        <v>24321551.899700001</v>
      </c>
      <c r="D603" s="6">
        <v>140854.930154</v>
      </c>
      <c r="E603" s="2">
        <v>599</v>
      </c>
      <c r="H603" s="8">
        <f t="shared" si="19"/>
        <v>1194</v>
      </c>
    </row>
    <row r="604" spans="1:8" x14ac:dyDescent="0.2">
      <c r="A604" s="5">
        <v>1194.5</v>
      </c>
      <c r="B604" s="6">
        <v>22357051.8761</v>
      </c>
      <c r="C604" s="6">
        <f t="shared" si="18"/>
        <v>24392051.8761</v>
      </c>
      <c r="D604" s="6">
        <v>141193.471811</v>
      </c>
      <c r="E604" s="2">
        <v>600</v>
      </c>
      <c r="H604" s="8">
        <f t="shared" si="19"/>
        <v>1194.5</v>
      </c>
    </row>
    <row r="605" spans="1:8" x14ac:dyDescent="0.2">
      <c r="A605" s="5">
        <v>1195</v>
      </c>
      <c r="B605" s="6">
        <v>22427735.826299999</v>
      </c>
      <c r="C605" s="6">
        <f t="shared" si="18"/>
        <v>24462735.826299999</v>
      </c>
      <c r="D605" s="6">
        <v>141553.99366199999</v>
      </c>
      <c r="E605" s="2">
        <v>601</v>
      </c>
      <c r="H605" s="8">
        <f t="shared" si="19"/>
        <v>1195</v>
      </c>
    </row>
    <row r="606" spans="1:8" x14ac:dyDescent="0.2">
      <c r="A606" s="5">
        <v>1195.5</v>
      </c>
      <c r="B606" s="6">
        <v>22498597.8607</v>
      </c>
      <c r="C606" s="6">
        <f t="shared" si="18"/>
        <v>24533597.8607</v>
      </c>
      <c r="D606" s="6">
        <v>141885.12083199999</v>
      </c>
      <c r="E606" s="2">
        <v>602</v>
      </c>
      <c r="H606" s="8">
        <f t="shared" si="19"/>
        <v>1195.5</v>
      </c>
    </row>
    <row r="607" spans="1:8" x14ac:dyDescent="0.2">
      <c r="A607" s="5">
        <v>1196</v>
      </c>
      <c r="B607" s="6">
        <v>22569624.080400001</v>
      </c>
      <c r="C607" s="6">
        <f t="shared" si="18"/>
        <v>24604624.080400001</v>
      </c>
      <c r="D607" s="6">
        <v>142223.74648999999</v>
      </c>
      <c r="E607" s="2">
        <v>603</v>
      </c>
      <c r="H607" s="8">
        <f t="shared" si="19"/>
        <v>1196</v>
      </c>
    </row>
    <row r="608" spans="1:8" x14ac:dyDescent="0.2">
      <c r="A608" s="5">
        <v>1196.5</v>
      </c>
      <c r="B608" s="6">
        <v>22640816.464000002</v>
      </c>
      <c r="C608" s="6">
        <f t="shared" si="18"/>
        <v>24675816.464000002</v>
      </c>
      <c r="D608" s="6">
        <v>142536.32829899999</v>
      </c>
      <c r="E608" s="2">
        <v>604</v>
      </c>
      <c r="H608" s="8">
        <f t="shared" si="19"/>
        <v>1196.5</v>
      </c>
    </row>
    <row r="609" spans="1:8" x14ac:dyDescent="0.2">
      <c r="A609" s="5">
        <v>1197</v>
      </c>
      <c r="B609" s="6">
        <v>22712165.759799998</v>
      </c>
      <c r="C609" s="6">
        <f t="shared" si="18"/>
        <v>24747165.759799998</v>
      </c>
      <c r="D609" s="6">
        <v>142870.39796</v>
      </c>
      <c r="E609" s="2">
        <v>605</v>
      </c>
      <c r="H609" s="8">
        <f t="shared" si="19"/>
        <v>1197</v>
      </c>
    </row>
    <row r="610" spans="1:8" x14ac:dyDescent="0.2">
      <c r="A610" s="5">
        <v>1197.5</v>
      </c>
      <c r="B610" s="6">
        <v>22783668.333299998</v>
      </c>
      <c r="C610" s="6">
        <f t="shared" si="18"/>
        <v>24818668.333299998</v>
      </c>
      <c r="D610" s="6">
        <v>143189.34828499999</v>
      </c>
      <c r="E610" s="2">
        <v>606</v>
      </c>
      <c r="H610" s="8">
        <f t="shared" si="19"/>
        <v>1197.5</v>
      </c>
    </row>
    <row r="611" spans="1:8" x14ac:dyDescent="0.2">
      <c r="A611" s="5">
        <v>1198</v>
      </c>
      <c r="B611" s="6">
        <v>22855346.373500001</v>
      </c>
      <c r="C611" s="6">
        <f t="shared" si="18"/>
        <v>24890346.373500001</v>
      </c>
      <c r="D611" s="6">
        <v>143531.319162</v>
      </c>
      <c r="E611" s="2">
        <v>607</v>
      </c>
      <c r="H611" s="8">
        <f t="shared" si="19"/>
        <v>1198</v>
      </c>
    </row>
    <row r="612" spans="1:8" x14ac:dyDescent="0.2">
      <c r="A612" s="5">
        <v>1198.5</v>
      </c>
      <c r="B612" s="6">
        <v>22927195.683400001</v>
      </c>
      <c r="C612" s="6">
        <f t="shared" si="18"/>
        <v>24962195.683400001</v>
      </c>
      <c r="D612" s="6">
        <v>143855.38641400001</v>
      </c>
      <c r="E612" s="2">
        <v>608</v>
      </c>
      <c r="H612" s="8">
        <f t="shared" si="19"/>
        <v>1198.5</v>
      </c>
    </row>
    <row r="613" spans="1:8" x14ac:dyDescent="0.2">
      <c r="A613" s="5">
        <v>1199</v>
      </c>
      <c r="B613" s="6">
        <v>22999205.030299999</v>
      </c>
      <c r="C613" s="6">
        <f t="shared" si="18"/>
        <v>25034205.030299999</v>
      </c>
      <c r="D613" s="6">
        <v>144191.48427300001</v>
      </c>
      <c r="E613" s="2">
        <v>609</v>
      </c>
      <c r="H613" s="8">
        <f t="shared" si="19"/>
        <v>1199</v>
      </c>
    </row>
    <row r="614" spans="1:8" x14ac:dyDescent="0.2">
      <c r="A614" s="5">
        <v>1199.5</v>
      </c>
      <c r="B614" s="6">
        <v>23071381.2962</v>
      </c>
      <c r="C614" s="6">
        <f t="shared" si="18"/>
        <v>25106381.2962</v>
      </c>
      <c r="D614" s="6">
        <v>144503.710891</v>
      </c>
      <c r="E614" s="2">
        <v>610</v>
      </c>
      <c r="H614" s="8">
        <f t="shared" si="19"/>
        <v>1199.5</v>
      </c>
    </row>
    <row r="615" spans="1:8" x14ac:dyDescent="0.2">
      <c r="A615" s="5">
        <v>1200</v>
      </c>
      <c r="B615" s="6">
        <v>23143713.5704</v>
      </c>
      <c r="C615" s="6">
        <f t="shared" si="18"/>
        <v>25178713.5704</v>
      </c>
      <c r="D615" s="6">
        <v>144834.11603800001</v>
      </c>
      <c r="E615" s="2">
        <v>611</v>
      </c>
      <c r="H615" s="8">
        <f t="shared" si="19"/>
        <v>1200</v>
      </c>
    </row>
    <row r="616" spans="1:8" x14ac:dyDescent="0.2">
      <c r="A616" s="5">
        <v>1200.5</v>
      </c>
      <c r="B616" s="6">
        <v>23216210.3752</v>
      </c>
      <c r="C616" s="6">
        <f t="shared" si="18"/>
        <v>25251210.3752</v>
      </c>
      <c r="D616" s="6">
        <v>145144.152294</v>
      </c>
      <c r="E616" s="2">
        <v>612</v>
      </c>
      <c r="H616" s="8">
        <f t="shared" si="19"/>
        <v>1200.5</v>
      </c>
    </row>
    <row r="617" spans="1:8" x14ac:dyDescent="0.2">
      <c r="A617" s="5">
        <v>1201</v>
      </c>
      <c r="B617" s="6">
        <v>23288848.8968</v>
      </c>
      <c r="C617" s="6">
        <f t="shared" si="18"/>
        <v>25323848.8968</v>
      </c>
      <c r="D617" s="6">
        <v>145458.02342700001</v>
      </c>
      <c r="E617" s="2">
        <v>613</v>
      </c>
      <c r="H617" s="8">
        <f t="shared" si="19"/>
        <v>1201</v>
      </c>
    </row>
    <row r="618" spans="1:8" x14ac:dyDescent="0.2">
      <c r="A618" s="5">
        <v>1201.5</v>
      </c>
      <c r="B618" s="6">
        <v>23361678.5308</v>
      </c>
      <c r="C618" s="6">
        <f t="shared" si="18"/>
        <v>25396678.5308</v>
      </c>
      <c r="D618" s="6">
        <v>145852.82971399999</v>
      </c>
      <c r="E618" s="2">
        <v>614</v>
      </c>
      <c r="H618" s="8">
        <f t="shared" si="19"/>
        <v>1201.5</v>
      </c>
    </row>
    <row r="619" spans="1:8" x14ac:dyDescent="0.2">
      <c r="A619" s="5">
        <v>1202</v>
      </c>
      <c r="B619" s="6">
        <v>23434687.9553</v>
      </c>
      <c r="C619" s="6">
        <f t="shared" si="18"/>
        <v>25469687.9553</v>
      </c>
      <c r="D619" s="6">
        <v>146196.888419</v>
      </c>
      <c r="E619" s="2">
        <v>615</v>
      </c>
      <c r="H619" s="8">
        <f t="shared" si="19"/>
        <v>1202</v>
      </c>
    </row>
    <row r="620" spans="1:8" x14ac:dyDescent="0.2">
      <c r="A620" s="5">
        <v>1202.5</v>
      </c>
      <c r="B620" s="6">
        <v>23507875.030699998</v>
      </c>
      <c r="C620" s="6">
        <f t="shared" si="18"/>
        <v>25542875.030699998</v>
      </c>
      <c r="D620" s="6">
        <v>146560.869309</v>
      </c>
      <c r="E620" s="2">
        <v>616</v>
      </c>
      <c r="H620" s="8">
        <f t="shared" si="19"/>
        <v>1202.5</v>
      </c>
    </row>
    <row r="621" spans="1:8" x14ac:dyDescent="0.2">
      <c r="A621" s="5">
        <v>1203</v>
      </c>
      <c r="B621" s="6">
        <v>23581326.434599999</v>
      </c>
      <c r="C621" s="6">
        <f t="shared" si="18"/>
        <v>25616326.434599999</v>
      </c>
      <c r="D621" s="6">
        <v>147143.769027</v>
      </c>
      <c r="E621" s="2">
        <v>617</v>
      </c>
      <c r="H621" s="8">
        <f t="shared" si="19"/>
        <v>1203</v>
      </c>
    </row>
    <row r="622" spans="1:8" x14ac:dyDescent="0.2">
      <c r="A622" s="5">
        <v>1203.5</v>
      </c>
      <c r="B622" s="6">
        <v>23654986.152100001</v>
      </c>
      <c r="C622" s="6">
        <f t="shared" si="18"/>
        <v>25689986.152100001</v>
      </c>
      <c r="D622" s="6">
        <v>147480.39845400001</v>
      </c>
      <c r="E622" s="2">
        <v>618</v>
      </c>
      <c r="H622" s="8">
        <f t="shared" si="19"/>
        <v>1203.5</v>
      </c>
    </row>
    <row r="623" spans="1:8" x14ac:dyDescent="0.2">
      <c r="A623" s="5">
        <v>1204</v>
      </c>
      <c r="B623" s="6">
        <v>23728794.510699999</v>
      </c>
      <c r="C623" s="6">
        <f t="shared" si="18"/>
        <v>25763794.510699999</v>
      </c>
      <c r="D623" s="6">
        <v>147803.168649</v>
      </c>
      <c r="E623" s="2">
        <v>619</v>
      </c>
      <c r="H623" s="8">
        <f t="shared" si="19"/>
        <v>1204</v>
      </c>
    </row>
    <row r="624" spans="1:8" x14ac:dyDescent="0.2">
      <c r="A624" s="5">
        <v>1204.5</v>
      </c>
      <c r="B624" s="6">
        <v>23802788.094300002</v>
      </c>
      <c r="C624" s="6">
        <f t="shared" si="18"/>
        <v>25837788.094300002</v>
      </c>
      <c r="D624" s="6">
        <v>148147.671845</v>
      </c>
      <c r="E624" s="2">
        <v>620</v>
      </c>
      <c r="H624" s="8">
        <f t="shared" si="19"/>
        <v>1204.5</v>
      </c>
    </row>
    <row r="625" spans="1:8" x14ac:dyDescent="0.2">
      <c r="A625" s="5">
        <v>1205</v>
      </c>
      <c r="B625" s="6">
        <v>23876949.508499999</v>
      </c>
      <c r="C625" s="6">
        <f t="shared" si="18"/>
        <v>25911949.508499999</v>
      </c>
      <c r="D625" s="6">
        <v>148511.01850199999</v>
      </c>
      <c r="E625" s="2">
        <v>621</v>
      </c>
      <c r="H625" s="8">
        <f t="shared" si="19"/>
        <v>1205</v>
      </c>
    </row>
    <row r="626" spans="1:8" x14ac:dyDescent="0.2">
      <c r="A626" s="5">
        <v>1205.5</v>
      </c>
      <c r="B626" s="6">
        <v>23951313.9736</v>
      </c>
      <c r="C626" s="6">
        <f t="shared" si="18"/>
        <v>25986313.9736</v>
      </c>
      <c r="D626" s="6">
        <v>148937.65563600001</v>
      </c>
      <c r="E626" s="2">
        <v>622</v>
      </c>
      <c r="H626" s="8">
        <f t="shared" si="19"/>
        <v>1205.5</v>
      </c>
    </row>
    <row r="627" spans="1:8" x14ac:dyDescent="0.2">
      <c r="A627" s="5">
        <v>1206</v>
      </c>
      <c r="B627" s="6">
        <v>24025868.873</v>
      </c>
      <c r="C627" s="6">
        <f t="shared" si="18"/>
        <v>26060868.873</v>
      </c>
      <c r="D627" s="6">
        <v>149292.45340100001</v>
      </c>
      <c r="E627" s="2">
        <v>623</v>
      </c>
      <c r="H627" s="8">
        <f t="shared" si="19"/>
        <v>1206</v>
      </c>
    </row>
    <row r="628" spans="1:8" x14ac:dyDescent="0.2">
      <c r="A628" s="5">
        <v>1206.5</v>
      </c>
      <c r="B628" s="6">
        <v>24100601.711599998</v>
      </c>
      <c r="C628" s="6">
        <f t="shared" si="18"/>
        <v>26135601.711599998</v>
      </c>
      <c r="D628" s="6">
        <v>149631.10982499999</v>
      </c>
      <c r="E628" s="2">
        <v>624</v>
      </c>
      <c r="H628" s="8">
        <f t="shared" si="19"/>
        <v>1206.5</v>
      </c>
    </row>
    <row r="629" spans="1:8" x14ac:dyDescent="0.2">
      <c r="A629" s="5">
        <v>1207</v>
      </c>
      <c r="B629" s="6">
        <v>24175487.388900001</v>
      </c>
      <c r="C629" s="6">
        <f t="shared" si="18"/>
        <v>26210487.388900001</v>
      </c>
      <c r="D629" s="6">
        <v>149961.59009700001</v>
      </c>
      <c r="E629" s="2">
        <v>625</v>
      </c>
      <c r="H629" s="8">
        <f t="shared" si="19"/>
        <v>1207</v>
      </c>
    </row>
    <row r="630" spans="1:8" x14ac:dyDescent="0.2">
      <c r="A630" s="5">
        <v>1207.5</v>
      </c>
      <c r="B630" s="6">
        <v>24250561.023800001</v>
      </c>
      <c r="C630" s="6">
        <f t="shared" si="18"/>
        <v>26285561.023800001</v>
      </c>
      <c r="D630" s="6">
        <v>150302.99506099999</v>
      </c>
      <c r="E630" s="2">
        <v>626</v>
      </c>
      <c r="H630" s="8">
        <f t="shared" si="19"/>
        <v>1207.5</v>
      </c>
    </row>
    <row r="631" spans="1:8" x14ac:dyDescent="0.2">
      <c r="A631" s="5">
        <v>1208</v>
      </c>
      <c r="B631" s="6">
        <v>24325795.0973</v>
      </c>
      <c r="C631" s="6">
        <f t="shared" si="18"/>
        <v>26360795.0973</v>
      </c>
      <c r="D631" s="6">
        <v>150642.93330199999</v>
      </c>
      <c r="E631" s="2">
        <v>627</v>
      </c>
      <c r="H631" s="8">
        <f t="shared" si="19"/>
        <v>1208</v>
      </c>
    </row>
    <row r="632" spans="1:8" x14ac:dyDescent="0.2">
      <c r="A632" s="5">
        <v>1208.5</v>
      </c>
      <c r="B632" s="6">
        <v>24401198.677999999</v>
      </c>
      <c r="C632" s="6">
        <f t="shared" si="18"/>
        <v>26436198.677999999</v>
      </c>
      <c r="D632" s="6">
        <v>150961.188536</v>
      </c>
      <c r="E632" s="2">
        <v>628</v>
      </c>
      <c r="H632" s="8">
        <f t="shared" si="19"/>
        <v>1208.5</v>
      </c>
    </row>
    <row r="633" spans="1:8" x14ac:dyDescent="0.2">
      <c r="A633" s="5">
        <v>1209</v>
      </c>
      <c r="B633" s="6">
        <v>24476760.188999999</v>
      </c>
      <c r="C633" s="6">
        <f t="shared" si="18"/>
        <v>26511760.188999999</v>
      </c>
      <c r="D633" s="6">
        <v>151297.72655200001</v>
      </c>
      <c r="E633" s="2">
        <v>629</v>
      </c>
      <c r="H633" s="8">
        <f t="shared" si="19"/>
        <v>1209</v>
      </c>
    </row>
    <row r="634" spans="1:8" x14ac:dyDescent="0.2">
      <c r="A634" s="5">
        <v>1209.5</v>
      </c>
      <c r="B634" s="6">
        <v>24552489.7267</v>
      </c>
      <c r="C634" s="6">
        <f t="shared" si="18"/>
        <v>26587489.7267</v>
      </c>
      <c r="D634" s="6">
        <v>151609.70419700001</v>
      </c>
      <c r="E634" s="2">
        <v>630</v>
      </c>
      <c r="H634" s="8">
        <f t="shared" si="19"/>
        <v>1209.5</v>
      </c>
    </row>
    <row r="635" spans="1:8" x14ac:dyDescent="0.2">
      <c r="A635" s="5">
        <v>1210</v>
      </c>
      <c r="B635" s="6">
        <v>24628375.120900001</v>
      </c>
      <c r="C635" s="6">
        <f t="shared" si="18"/>
        <v>26663375.120900001</v>
      </c>
      <c r="D635" s="6">
        <v>151940.854659</v>
      </c>
      <c r="E635" s="2">
        <v>631</v>
      </c>
      <c r="H635" s="8">
        <f t="shared" si="19"/>
        <v>1210</v>
      </c>
    </row>
    <row r="636" spans="1:8" x14ac:dyDescent="0.2">
      <c r="A636" s="5">
        <v>1210.5</v>
      </c>
      <c r="B636" s="6">
        <v>24704411.035300002</v>
      </c>
      <c r="C636" s="6">
        <f t="shared" si="18"/>
        <v>26739411.035300002</v>
      </c>
      <c r="D636" s="6">
        <v>152254.15213</v>
      </c>
      <c r="E636" s="2">
        <v>632</v>
      </c>
      <c r="H636" s="8">
        <f t="shared" si="19"/>
        <v>1210.5</v>
      </c>
    </row>
    <row r="637" spans="1:8" x14ac:dyDescent="0.2">
      <c r="A637" s="5">
        <v>1211</v>
      </c>
      <c r="B637" s="6">
        <v>24780617.3303</v>
      </c>
      <c r="C637" s="6">
        <f t="shared" si="18"/>
        <v>26815617.3303</v>
      </c>
      <c r="D637" s="6">
        <v>152579.70266800001</v>
      </c>
      <c r="E637" s="2">
        <v>633</v>
      </c>
      <c r="H637" s="8">
        <f t="shared" si="19"/>
        <v>1211</v>
      </c>
    </row>
    <row r="638" spans="1:8" x14ac:dyDescent="0.2">
      <c r="A638" s="5">
        <v>1211.5</v>
      </c>
      <c r="B638" s="6">
        <v>24856985.701299999</v>
      </c>
      <c r="C638" s="6">
        <f t="shared" si="18"/>
        <v>26891985.701299999</v>
      </c>
      <c r="D638" s="6">
        <v>152883.614673</v>
      </c>
      <c r="E638" s="2">
        <v>634</v>
      </c>
      <c r="H638" s="8">
        <f t="shared" si="19"/>
        <v>1211.5</v>
      </c>
    </row>
    <row r="639" spans="1:8" x14ac:dyDescent="0.2">
      <c r="A639" s="5">
        <v>1212</v>
      </c>
      <c r="B639" s="6">
        <v>24933504.313099999</v>
      </c>
      <c r="C639" s="6">
        <f t="shared" si="18"/>
        <v>26968504.313099999</v>
      </c>
      <c r="D639" s="6">
        <v>153196.46788000001</v>
      </c>
      <c r="E639" s="2">
        <v>635</v>
      </c>
      <c r="H639" s="8">
        <f t="shared" si="19"/>
        <v>1212</v>
      </c>
    </row>
    <row r="640" spans="1:8" x14ac:dyDescent="0.2">
      <c r="A640" s="5">
        <v>1212.5</v>
      </c>
      <c r="B640" s="6">
        <v>25010178.227000002</v>
      </c>
      <c r="C640" s="6">
        <f t="shared" si="18"/>
        <v>27045178.227000002</v>
      </c>
      <c r="D640" s="6">
        <v>153489.53056099999</v>
      </c>
      <c r="E640" s="2">
        <v>636</v>
      </c>
      <c r="H640" s="8">
        <f t="shared" si="19"/>
        <v>1212.5</v>
      </c>
    </row>
    <row r="641" spans="1:8" x14ac:dyDescent="0.2">
      <c r="A641" s="5">
        <v>1213</v>
      </c>
      <c r="B641" s="6">
        <v>25086998.123799998</v>
      </c>
      <c r="C641" s="6">
        <f t="shared" si="18"/>
        <v>27121998.123799998</v>
      </c>
      <c r="D641" s="6">
        <v>153793.12508699999</v>
      </c>
      <c r="E641" s="2">
        <v>637</v>
      </c>
      <c r="H641" s="8">
        <f t="shared" si="19"/>
        <v>1213</v>
      </c>
    </row>
    <row r="642" spans="1:8" x14ac:dyDescent="0.2">
      <c r="A642" s="5">
        <v>1213.5</v>
      </c>
      <c r="B642" s="6">
        <v>25163954.092500001</v>
      </c>
      <c r="C642" s="6">
        <f t="shared" si="18"/>
        <v>27198954.092500001</v>
      </c>
      <c r="D642" s="6">
        <v>154082.10887900001</v>
      </c>
      <c r="E642" s="2">
        <v>638</v>
      </c>
      <c r="H642" s="8">
        <f t="shared" si="19"/>
        <v>1213.5</v>
      </c>
    </row>
    <row r="643" spans="1:8" x14ac:dyDescent="0.2">
      <c r="A643" s="5">
        <v>1214</v>
      </c>
      <c r="B643" s="6">
        <v>25241070.289900001</v>
      </c>
      <c r="C643" s="6">
        <f t="shared" si="18"/>
        <v>27276070.289900001</v>
      </c>
      <c r="D643" s="6">
        <v>154385.31062100001</v>
      </c>
      <c r="E643" s="2">
        <v>639</v>
      </c>
      <c r="H643" s="8">
        <f t="shared" si="19"/>
        <v>1214</v>
      </c>
    </row>
    <row r="644" spans="1:8" x14ac:dyDescent="0.2">
      <c r="A644" s="5">
        <v>1214.5</v>
      </c>
      <c r="B644" s="6">
        <v>25318337.044500001</v>
      </c>
      <c r="C644" s="6">
        <f t="shared" si="18"/>
        <v>27353337.044500001</v>
      </c>
      <c r="D644" s="6">
        <v>154672.072025</v>
      </c>
      <c r="E644" s="2">
        <v>640</v>
      </c>
      <c r="H644" s="8">
        <f t="shared" si="19"/>
        <v>1214.5</v>
      </c>
    </row>
    <row r="645" spans="1:8" x14ac:dyDescent="0.2">
      <c r="A645" s="5">
        <v>1215</v>
      </c>
      <c r="B645" s="6">
        <v>25395747.1699</v>
      </c>
      <c r="C645" s="6">
        <f t="shared" si="18"/>
        <v>27430747.1699</v>
      </c>
      <c r="D645" s="6">
        <v>154967.79023899999</v>
      </c>
      <c r="E645" s="2">
        <v>641</v>
      </c>
      <c r="H645" s="8">
        <f t="shared" si="19"/>
        <v>1215</v>
      </c>
    </row>
    <row r="646" spans="1:8" x14ac:dyDescent="0.2">
      <c r="A646" s="5">
        <v>1215.5</v>
      </c>
      <c r="B646" s="6">
        <v>25473302.182500001</v>
      </c>
      <c r="C646" s="6">
        <f t="shared" ref="C646:C676" si="20">B646+$C$3</f>
        <v>27508302.182500001</v>
      </c>
      <c r="D646" s="6">
        <v>155241.25707299999</v>
      </c>
      <c r="E646" s="2">
        <v>642</v>
      </c>
      <c r="H646" s="8">
        <f t="shared" ref="H646:H676" si="21">A646</f>
        <v>1215.5</v>
      </c>
    </row>
    <row r="647" spans="1:8" x14ac:dyDescent="0.2">
      <c r="A647" s="5">
        <v>1216</v>
      </c>
      <c r="B647" s="6">
        <v>25550991.9003</v>
      </c>
      <c r="C647" s="6">
        <f t="shared" si="20"/>
        <v>27585991.9003</v>
      </c>
      <c r="D647" s="6">
        <v>155517.10630700001</v>
      </c>
      <c r="E647" s="2">
        <v>643</v>
      </c>
      <c r="H647" s="8">
        <f t="shared" si="21"/>
        <v>1216</v>
      </c>
    </row>
    <row r="648" spans="1:8" x14ac:dyDescent="0.2">
      <c r="A648" s="5">
        <v>1216.5</v>
      </c>
      <c r="B648" s="6">
        <v>25628819.463599999</v>
      </c>
      <c r="C648" s="6">
        <f t="shared" si="20"/>
        <v>27663819.463599999</v>
      </c>
      <c r="D648" s="6">
        <v>155782.47257899999</v>
      </c>
      <c r="E648" s="2">
        <v>644</v>
      </c>
      <c r="H648" s="8">
        <f t="shared" si="21"/>
        <v>1216.5</v>
      </c>
    </row>
    <row r="649" spans="1:8" x14ac:dyDescent="0.2">
      <c r="A649" s="5">
        <v>1217</v>
      </c>
      <c r="B649" s="6">
        <v>25706763.5984</v>
      </c>
      <c r="C649" s="6">
        <f t="shared" si="20"/>
        <v>27741763.5984</v>
      </c>
      <c r="D649" s="6">
        <v>156056.57308500001</v>
      </c>
      <c r="E649" s="2">
        <v>645</v>
      </c>
      <c r="H649" s="8">
        <f t="shared" si="21"/>
        <v>1217</v>
      </c>
    </row>
    <row r="650" spans="1:8" x14ac:dyDescent="0.2">
      <c r="A650" s="5">
        <v>1217.5</v>
      </c>
      <c r="B650" s="6">
        <v>25784860.274900001</v>
      </c>
      <c r="C650" s="6">
        <f t="shared" si="20"/>
        <v>27819860.274900001</v>
      </c>
      <c r="D650" s="6">
        <v>156321.02223800001</v>
      </c>
      <c r="E650" s="2">
        <v>646</v>
      </c>
      <c r="H650" s="8">
        <f t="shared" si="21"/>
        <v>1217.5</v>
      </c>
    </row>
    <row r="651" spans="1:8" x14ac:dyDescent="0.2">
      <c r="A651" s="5">
        <v>1218</v>
      </c>
      <c r="B651" s="6">
        <v>25863089.953400001</v>
      </c>
      <c r="C651" s="6">
        <f t="shared" si="20"/>
        <v>27898089.953400001</v>
      </c>
      <c r="D651" s="6">
        <v>156597.72964800001</v>
      </c>
      <c r="E651" s="2">
        <v>647</v>
      </c>
      <c r="H651" s="8">
        <f t="shared" si="21"/>
        <v>1218</v>
      </c>
    </row>
    <row r="652" spans="1:8" x14ac:dyDescent="0.2">
      <c r="A652" s="5">
        <v>1218.5</v>
      </c>
      <c r="B652" s="6">
        <v>25941458.096799999</v>
      </c>
      <c r="C652" s="6">
        <f t="shared" si="20"/>
        <v>27976458.096799999</v>
      </c>
      <c r="D652" s="6">
        <v>156865.599843</v>
      </c>
      <c r="E652" s="2">
        <v>648</v>
      </c>
      <c r="H652" s="8">
        <f t="shared" si="21"/>
        <v>1218.5</v>
      </c>
    </row>
    <row r="653" spans="1:8" x14ac:dyDescent="0.2">
      <c r="A653" s="5">
        <v>1219</v>
      </c>
      <c r="B653" s="6">
        <v>26019960.1525</v>
      </c>
      <c r="C653" s="6">
        <f t="shared" si="20"/>
        <v>28054960.1525</v>
      </c>
      <c r="D653" s="6">
        <v>157142.03816299999</v>
      </c>
      <c r="E653" s="2">
        <v>649</v>
      </c>
      <c r="H653" s="8">
        <f t="shared" si="21"/>
        <v>1219</v>
      </c>
    </row>
    <row r="654" spans="1:8" x14ac:dyDescent="0.2">
      <c r="A654" s="5">
        <v>1219.5</v>
      </c>
      <c r="B654" s="6">
        <v>26098601.137400001</v>
      </c>
      <c r="C654" s="6">
        <f t="shared" si="20"/>
        <v>28133601.137400001</v>
      </c>
      <c r="D654" s="6">
        <v>157411.95591600001</v>
      </c>
      <c r="E654" s="2">
        <v>650</v>
      </c>
      <c r="H654" s="8">
        <f t="shared" si="21"/>
        <v>1219.5</v>
      </c>
    </row>
    <row r="655" spans="1:8" x14ac:dyDescent="0.2">
      <c r="A655" s="5">
        <v>1220</v>
      </c>
      <c r="B655" s="6">
        <v>26177361.3303</v>
      </c>
      <c r="C655" s="6">
        <f t="shared" si="20"/>
        <v>28212361.3303</v>
      </c>
      <c r="D655" s="6">
        <v>157682.938543</v>
      </c>
      <c r="E655" s="2">
        <v>651</v>
      </c>
      <c r="H655" s="8">
        <f t="shared" si="21"/>
        <v>1220</v>
      </c>
    </row>
    <row r="656" spans="1:8" x14ac:dyDescent="0.2">
      <c r="A656" s="5">
        <v>1220.5</v>
      </c>
      <c r="B656" s="6">
        <v>26256279.734900001</v>
      </c>
      <c r="C656" s="6">
        <f t="shared" si="20"/>
        <v>28291279.734900001</v>
      </c>
      <c r="D656" s="6">
        <v>157972.240937</v>
      </c>
      <c r="E656" s="2">
        <v>652</v>
      </c>
      <c r="H656" s="8">
        <f t="shared" si="21"/>
        <v>1220.5</v>
      </c>
    </row>
    <row r="657" spans="1:8" x14ac:dyDescent="0.2">
      <c r="A657" s="5">
        <v>1221</v>
      </c>
      <c r="B657" s="6">
        <v>26335338.448899999</v>
      </c>
      <c r="C657" s="6">
        <f t="shared" si="20"/>
        <v>28370338.448899999</v>
      </c>
      <c r="D657" s="6">
        <v>158262.41940899999</v>
      </c>
      <c r="E657" s="2">
        <v>653</v>
      </c>
      <c r="H657" s="8">
        <f t="shared" si="21"/>
        <v>1221</v>
      </c>
    </row>
    <row r="658" spans="1:8" x14ac:dyDescent="0.2">
      <c r="A658" s="5">
        <v>1221.5</v>
      </c>
      <c r="B658" s="6">
        <v>26414542.661400001</v>
      </c>
      <c r="C658" s="6">
        <f t="shared" si="20"/>
        <v>28449542.661400001</v>
      </c>
      <c r="D658" s="6">
        <v>158545.36327999999</v>
      </c>
      <c r="E658" s="2">
        <v>654</v>
      </c>
      <c r="H658" s="8">
        <f t="shared" si="21"/>
        <v>1221.5</v>
      </c>
    </row>
    <row r="659" spans="1:8" x14ac:dyDescent="0.2">
      <c r="A659" s="5">
        <v>1222</v>
      </c>
      <c r="B659" s="6">
        <v>26493891.876200002</v>
      </c>
      <c r="C659" s="6">
        <f t="shared" si="20"/>
        <v>28528891.876200002</v>
      </c>
      <c r="D659" s="6">
        <v>158853.27848000001</v>
      </c>
      <c r="E659" s="2">
        <v>655</v>
      </c>
      <c r="H659" s="8">
        <f t="shared" si="21"/>
        <v>1222</v>
      </c>
    </row>
    <row r="660" spans="1:8" x14ac:dyDescent="0.2">
      <c r="A660" s="5">
        <v>1222.5</v>
      </c>
      <c r="B660" s="6">
        <v>26573396.6897</v>
      </c>
      <c r="C660" s="6">
        <f t="shared" si="20"/>
        <v>28608396.6897</v>
      </c>
      <c r="D660" s="6">
        <v>159156.66864700001</v>
      </c>
      <c r="E660" s="2">
        <v>656</v>
      </c>
      <c r="H660" s="8">
        <f t="shared" si="21"/>
        <v>1222.5</v>
      </c>
    </row>
    <row r="661" spans="1:8" x14ac:dyDescent="0.2">
      <c r="A661" s="5">
        <v>1223</v>
      </c>
      <c r="B661" s="6">
        <v>26653037.7258</v>
      </c>
      <c r="C661" s="6">
        <f t="shared" si="20"/>
        <v>28688037.7258</v>
      </c>
      <c r="D661" s="6">
        <v>159461.08498700001</v>
      </c>
      <c r="E661" s="2">
        <v>657</v>
      </c>
      <c r="H661" s="8">
        <f t="shared" si="21"/>
        <v>1223</v>
      </c>
    </row>
    <row r="662" spans="1:8" x14ac:dyDescent="0.2">
      <c r="A662" s="5">
        <v>1223.5</v>
      </c>
      <c r="B662" s="6">
        <v>26732851.6098</v>
      </c>
      <c r="C662" s="6">
        <f t="shared" si="20"/>
        <v>28767851.6098</v>
      </c>
      <c r="D662" s="6">
        <v>159773.79995399999</v>
      </c>
      <c r="E662" s="2">
        <v>658</v>
      </c>
      <c r="H662" s="8">
        <f t="shared" si="21"/>
        <v>1223.5</v>
      </c>
    </row>
    <row r="663" spans="1:8" x14ac:dyDescent="0.2">
      <c r="A663" s="5">
        <v>1224</v>
      </c>
      <c r="B663" s="6">
        <v>26812815.841800001</v>
      </c>
      <c r="C663" s="6">
        <f t="shared" si="20"/>
        <v>28847815.841800001</v>
      </c>
      <c r="D663" s="6">
        <v>160079.090975</v>
      </c>
      <c r="E663" s="2">
        <v>659</v>
      </c>
      <c r="H663" s="8">
        <f t="shared" si="21"/>
        <v>1224</v>
      </c>
    </row>
    <row r="664" spans="1:8" x14ac:dyDescent="0.2">
      <c r="A664" s="5">
        <v>1224.5</v>
      </c>
      <c r="B664" s="6">
        <v>26892930.1094</v>
      </c>
      <c r="C664" s="6">
        <f t="shared" si="20"/>
        <v>28927930.1094</v>
      </c>
      <c r="D664" s="6">
        <v>160367.378501</v>
      </c>
      <c r="E664" s="2">
        <v>660</v>
      </c>
      <c r="H664" s="8">
        <f t="shared" si="21"/>
        <v>1224.5</v>
      </c>
    </row>
    <row r="665" spans="1:8" x14ac:dyDescent="0.2">
      <c r="A665" s="5">
        <v>1225</v>
      </c>
      <c r="B665" s="6">
        <v>26973186.650800001</v>
      </c>
      <c r="C665" s="6">
        <f t="shared" si="20"/>
        <v>29008186.650800001</v>
      </c>
      <c r="D665" s="6">
        <v>160654.95617699999</v>
      </c>
      <c r="E665" s="2">
        <v>661</v>
      </c>
      <c r="H665" s="8">
        <f t="shared" si="21"/>
        <v>1225</v>
      </c>
    </row>
    <row r="666" spans="1:8" x14ac:dyDescent="0.2">
      <c r="A666" s="5">
        <v>1225.5</v>
      </c>
      <c r="B666" s="6">
        <v>27053585.979600001</v>
      </c>
      <c r="C666" s="6">
        <f t="shared" si="20"/>
        <v>29088585.979600001</v>
      </c>
      <c r="D666" s="6">
        <v>160931.24398100001</v>
      </c>
      <c r="E666" s="2">
        <v>662</v>
      </c>
      <c r="H666" s="8">
        <f t="shared" si="21"/>
        <v>1225.5</v>
      </c>
    </row>
    <row r="667" spans="1:8" x14ac:dyDescent="0.2">
      <c r="A667" s="5">
        <v>1226</v>
      </c>
      <c r="B667" s="6">
        <v>27134123.5506</v>
      </c>
      <c r="C667" s="6">
        <f t="shared" si="20"/>
        <v>29169123.5506</v>
      </c>
      <c r="D667" s="6">
        <v>161217.73053</v>
      </c>
      <c r="E667" s="2">
        <v>663</v>
      </c>
      <c r="H667" s="8">
        <f t="shared" si="21"/>
        <v>1226</v>
      </c>
    </row>
    <row r="668" spans="1:8" x14ac:dyDescent="0.2">
      <c r="A668" s="5">
        <v>1226.5</v>
      </c>
      <c r="B668" s="6">
        <v>27214787.504500002</v>
      </c>
      <c r="C668" s="6">
        <f t="shared" si="20"/>
        <v>29249787.504500002</v>
      </c>
      <c r="D668" s="6">
        <v>161493.20363</v>
      </c>
      <c r="E668" s="2">
        <v>664</v>
      </c>
      <c r="H668" s="8">
        <f t="shared" si="21"/>
        <v>1226.5</v>
      </c>
    </row>
    <row r="669" spans="1:8" x14ac:dyDescent="0.2">
      <c r="A669" s="5">
        <v>1227</v>
      </c>
      <c r="B669" s="6">
        <v>27295605.9036</v>
      </c>
      <c r="C669" s="6">
        <f t="shared" si="20"/>
        <v>29330605.9036</v>
      </c>
      <c r="D669" s="6">
        <v>161777.41010000001</v>
      </c>
      <c r="E669" s="2">
        <v>665</v>
      </c>
      <c r="H669" s="8">
        <f t="shared" si="21"/>
        <v>1227</v>
      </c>
    </row>
    <row r="670" spans="1:8" x14ac:dyDescent="0.2">
      <c r="A670" s="5">
        <v>1227.5</v>
      </c>
      <c r="B670" s="6">
        <v>27376565.713599999</v>
      </c>
      <c r="C670" s="6">
        <f t="shared" si="20"/>
        <v>29411565.713599999</v>
      </c>
      <c r="D670" s="6">
        <v>162052.72404</v>
      </c>
      <c r="E670" s="2">
        <v>666</v>
      </c>
      <c r="H670" s="8">
        <f t="shared" si="21"/>
        <v>1227.5</v>
      </c>
    </row>
    <row r="671" spans="1:8" x14ac:dyDescent="0.2">
      <c r="A671" s="5">
        <v>1228</v>
      </c>
      <c r="B671" s="6">
        <v>27457664.4102</v>
      </c>
      <c r="C671" s="6">
        <f t="shared" si="20"/>
        <v>29492664.4102</v>
      </c>
      <c r="D671" s="6">
        <v>162341.39403900001</v>
      </c>
      <c r="E671" s="2">
        <v>667</v>
      </c>
      <c r="H671" s="8">
        <f t="shared" si="21"/>
        <v>1228</v>
      </c>
    </row>
    <row r="672" spans="1:8" x14ac:dyDescent="0.2">
      <c r="A672" s="5">
        <v>1228.5</v>
      </c>
      <c r="B672" s="6">
        <v>27538908.649500001</v>
      </c>
      <c r="C672" s="6">
        <f t="shared" si="20"/>
        <v>29573908.649500001</v>
      </c>
      <c r="D672" s="6">
        <v>162624.46834399999</v>
      </c>
      <c r="E672" s="2">
        <v>668</v>
      </c>
      <c r="H672" s="8">
        <f t="shared" si="21"/>
        <v>1228.5</v>
      </c>
    </row>
    <row r="673" spans="1:8" x14ac:dyDescent="0.2">
      <c r="A673" s="5">
        <v>1229</v>
      </c>
      <c r="B673" s="6">
        <v>27620294.123799998</v>
      </c>
      <c r="C673" s="6">
        <f t="shared" si="20"/>
        <v>29655294.123799998</v>
      </c>
      <c r="D673" s="6">
        <v>162915.78763800001</v>
      </c>
      <c r="E673" s="2">
        <v>669</v>
      </c>
      <c r="H673" s="8">
        <f t="shared" si="21"/>
        <v>1229</v>
      </c>
    </row>
    <row r="674" spans="1:8" x14ac:dyDescent="0.2">
      <c r="A674" s="5">
        <v>1229.5</v>
      </c>
      <c r="B674" s="6">
        <v>27701810.300500002</v>
      </c>
      <c r="C674" s="6">
        <f t="shared" si="20"/>
        <v>29736810.300500002</v>
      </c>
      <c r="D674" s="6">
        <v>163204.877389</v>
      </c>
      <c r="E674" s="2">
        <v>670</v>
      </c>
      <c r="H674" s="8">
        <f t="shared" si="21"/>
        <v>1229.5</v>
      </c>
    </row>
    <row r="675" spans="1:8" x14ac:dyDescent="0.2">
      <c r="A675" s="5">
        <v>1230</v>
      </c>
      <c r="B675" s="6">
        <v>27783488.287099998</v>
      </c>
      <c r="C675" s="6">
        <f t="shared" si="20"/>
        <v>29818488.287099998</v>
      </c>
      <c r="D675" s="6">
        <v>163503.986947</v>
      </c>
      <c r="E675" s="2">
        <v>671</v>
      </c>
      <c r="H675" s="8">
        <f t="shared" si="21"/>
        <v>1230</v>
      </c>
    </row>
    <row r="676" spans="1:8" x14ac:dyDescent="0.2">
      <c r="A676" s="5">
        <v>1250</v>
      </c>
      <c r="B676" s="6">
        <v>30809525</v>
      </c>
      <c r="C676" s="6">
        <f t="shared" si="20"/>
        <v>32844525</v>
      </c>
      <c r="D676" s="6">
        <v>175800</v>
      </c>
      <c r="E676" s="2">
        <v>672</v>
      </c>
      <c r="H676" s="8">
        <f t="shared" si="21"/>
        <v>1250</v>
      </c>
    </row>
    <row r="677" spans="1:8" x14ac:dyDescent="0.2">
      <c r="A677" s="5"/>
      <c r="B677" s="6"/>
      <c r="C677" s="6"/>
      <c r="D677" s="6"/>
      <c r="E677" s="2"/>
    </row>
    <row r="678" spans="1:8" x14ac:dyDescent="0.2">
      <c r="A678" s="5"/>
      <c r="B678" s="6"/>
      <c r="C678" s="6"/>
      <c r="D678" s="6"/>
      <c r="E678" s="2"/>
    </row>
    <row r="679" spans="1:8" x14ac:dyDescent="0.2">
      <c r="A679" s="5"/>
      <c r="B679" s="6"/>
      <c r="C679" s="6"/>
      <c r="D679" s="6"/>
      <c r="E679" s="2"/>
    </row>
    <row r="680" spans="1:8" x14ac:dyDescent="0.2">
      <c r="A680" s="5"/>
      <c r="B680" s="6"/>
      <c r="C680" s="6"/>
      <c r="E680" s="2"/>
    </row>
    <row r="681" spans="1:8" x14ac:dyDescent="0.2">
      <c r="A681" s="5"/>
      <c r="B681" s="6"/>
      <c r="C681" s="6"/>
      <c r="E681" s="2"/>
    </row>
    <row r="682" spans="1:8" x14ac:dyDescent="0.2">
      <c r="A682" s="5"/>
      <c r="B682" s="6"/>
      <c r="C682" s="6"/>
      <c r="E682" s="2"/>
    </row>
    <row r="683" spans="1:8" x14ac:dyDescent="0.2">
      <c r="A683" s="5"/>
      <c r="B683" s="6"/>
      <c r="C683" s="6"/>
      <c r="E683" s="2"/>
    </row>
    <row r="684" spans="1:8" x14ac:dyDescent="0.2">
      <c r="A684" s="5"/>
      <c r="B684" s="6"/>
      <c r="C684" s="6"/>
      <c r="E684" s="2"/>
    </row>
    <row r="685" spans="1:8" x14ac:dyDescent="0.2">
      <c r="A685" s="5"/>
      <c r="B685" s="6"/>
      <c r="C685" s="6"/>
      <c r="E685" s="2"/>
    </row>
    <row r="686" spans="1:8" x14ac:dyDescent="0.2">
      <c r="A686" s="5"/>
      <c r="B686" s="6"/>
      <c r="C686" s="6"/>
      <c r="E686" s="2"/>
    </row>
    <row r="687" spans="1:8" x14ac:dyDescent="0.2">
      <c r="A687" s="5"/>
      <c r="B687" s="6"/>
      <c r="C687" s="6"/>
      <c r="E687" s="2"/>
    </row>
    <row r="688" spans="1:8" x14ac:dyDescent="0.2">
      <c r="A688" s="5"/>
      <c r="B688" s="6"/>
      <c r="C688" s="6"/>
      <c r="E688" s="2"/>
    </row>
    <row r="689" spans="1:5" x14ac:dyDescent="0.2">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Anabelle Myers</cp:lastModifiedBy>
  <dcterms:created xsi:type="dcterms:W3CDTF">2021-03-26T20:44:10Z</dcterms:created>
  <dcterms:modified xsi:type="dcterms:W3CDTF">2025-05-20T22:17:13Z</dcterms:modified>
</cp:coreProperties>
</file>