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6DE655D3-23F6-7046-86F6-7C988F259722}" xr6:coauthVersionLast="47" xr6:coauthVersionMax="47" xr10:uidLastSave="{00000000-0000-0000-0000-000000000000}"/>
  <bookViews>
    <workbookView xWindow="0" yWindow="0" windowWidth="28800" windowHeight="180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6" i="61" l="1"/>
  <c r="L27" i="61"/>
  <c r="L28" i="61"/>
  <c r="L29" i="61"/>
  <c r="L30" i="61"/>
  <c r="L31" i="61"/>
  <c r="L32" i="61"/>
  <c r="L33" i="61"/>
  <c r="L34" i="61"/>
  <c r="L25" i="61"/>
  <c r="N26" i="61"/>
  <c r="N27" i="61"/>
  <c r="N28" i="61"/>
  <c r="N29" i="61"/>
  <c r="N30" i="61"/>
  <c r="N31" i="61"/>
  <c r="N32" i="61"/>
  <c r="N33" i="61"/>
  <c r="N34" i="61"/>
  <c r="N25" i="61"/>
  <c r="F15" i="61"/>
  <c r="F16" i="61"/>
  <c r="F17" i="61"/>
  <c r="E17" i="61"/>
  <c r="E15" i="61"/>
  <c r="N9" i="61" s="1"/>
  <c r="T27" i="61" s="1"/>
  <c r="E16" i="61"/>
  <c r="D15" i="61"/>
  <c r="D16" i="61"/>
  <c r="M10" i="61" s="1"/>
  <c r="D17" i="61"/>
  <c r="D14" i="61"/>
  <c r="E14" i="61"/>
  <c r="F14" i="61"/>
  <c r="C15" i="61"/>
  <c r="C16" i="61"/>
  <c r="C17" i="61"/>
  <c r="C14" i="61"/>
  <c r="R25" i="61"/>
  <c r="Q7" i="61"/>
  <c r="U7" i="61" s="1"/>
  <c r="V25" i="61"/>
  <c r="J14" i="61"/>
  <c r="J15" i="61"/>
  <c r="J13" i="61"/>
  <c r="I27" i="64"/>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6" i="61"/>
  <c r="H45" i="47"/>
  <c r="I45" i="47"/>
  <c r="J45" i="47"/>
  <c r="K45" i="47"/>
  <c r="L45" i="47"/>
  <c r="D43" i="47"/>
  <c r="E43" i="47"/>
  <c r="F43" i="47"/>
  <c r="G43" i="47"/>
  <c r="A56" i="47"/>
  <c r="A57" i="47"/>
  <c r="A58" i="47"/>
  <c r="A59" i="47"/>
  <c r="E59" i="47" s="1"/>
  <c r="A55" i="47"/>
  <c r="D52" i="47"/>
  <c r="E52" i="47"/>
  <c r="F52" i="47"/>
  <c r="G52" i="47"/>
  <c r="M9" i="61"/>
  <c r="O11" i="61"/>
  <c r="N11" i="61"/>
  <c r="M11" i="61"/>
  <c r="K12" i="61"/>
  <c r="G13" i="61"/>
  <c r="J11" i="61"/>
  <c r="K11" i="61" s="1"/>
  <c r="J10" i="61"/>
  <c r="K10" i="61" s="1"/>
  <c r="G10" i="61"/>
  <c r="J9" i="61"/>
  <c r="K9" i="61" s="1"/>
  <c r="G9" i="61"/>
  <c r="O8" i="61"/>
  <c r="N8" i="61"/>
  <c r="M8" i="61"/>
  <c r="J8" i="61"/>
  <c r="K8" i="61" s="1"/>
  <c r="R8" i="61" s="1"/>
  <c r="G8" i="61"/>
  <c r="T7" i="61"/>
  <c r="S7" i="61"/>
  <c r="R7" i="61"/>
  <c r="P7" i="61"/>
  <c r="J7" i="61"/>
  <c r="C19" i="47"/>
  <c r="Q25" i="61" l="1"/>
  <c r="O14" i="61"/>
  <c r="T14" i="61" s="1"/>
  <c r="T25" i="61"/>
  <c r="W25" i="61" s="1"/>
  <c r="S8" i="61"/>
  <c r="T8" i="61"/>
  <c r="N14" i="61"/>
  <c r="S14" i="61" s="1"/>
  <c r="M14" i="61"/>
  <c r="R14" i="61" s="1"/>
  <c r="O15" i="61"/>
  <c r="T15" i="61" s="1"/>
  <c r="M15" i="61"/>
  <c r="R15" i="61" s="1"/>
  <c r="M13" i="61"/>
  <c r="R13" i="61" s="1"/>
  <c r="T29" i="61"/>
  <c r="O13" i="61"/>
  <c r="T13" i="61" s="1"/>
  <c r="T26" i="61"/>
  <c r="N15" i="61"/>
  <c r="N13" i="61"/>
  <c r="L8" i="61"/>
  <c r="G17" i="61"/>
  <c r="B59" i="47"/>
  <c r="D59" i="47"/>
  <c r="G59" i="47"/>
  <c r="F59" i="47"/>
  <c r="L10" i="61"/>
  <c r="M12" i="61"/>
  <c r="R12" i="61" s="1"/>
  <c r="R16" i="61" s="1"/>
  <c r="M16" i="61" s="1"/>
  <c r="R11" i="61"/>
  <c r="T11" i="61"/>
  <c r="O12" i="61"/>
  <c r="T12" i="61" s="1"/>
  <c r="T16" i="61" s="1"/>
  <c r="O16" i="61" s="1"/>
  <c r="S11" i="61"/>
  <c r="N12" i="61"/>
  <c r="R10" i="61"/>
  <c r="S9" i="61"/>
  <c r="R9" i="61"/>
  <c r="G14" i="61"/>
  <c r="N10" i="61"/>
  <c r="O10" i="61"/>
  <c r="T10" i="61" s="1"/>
  <c r="P8" i="61"/>
  <c r="O9" i="61"/>
  <c r="T9" i="61" s="1"/>
  <c r="T32" i="61" l="1"/>
  <c r="S12" i="61"/>
  <c r="S16" i="61" s="1"/>
  <c r="N16" i="61" s="1"/>
  <c r="T34" i="61" s="1"/>
  <c r="T30" i="61"/>
  <c r="T31" i="61"/>
  <c r="S13" i="61"/>
  <c r="T33" i="61"/>
  <c r="S15" i="61"/>
  <c r="S10" i="61"/>
  <c r="T28" i="61"/>
  <c r="L11" i="61"/>
  <c r="P28" i="61"/>
  <c r="V28" i="61" s="1"/>
  <c r="Q8" i="61"/>
  <c r="U8" i="61" s="1"/>
  <c r="P26" i="61"/>
  <c r="V26" i="61" s="1"/>
  <c r="Q10" i="61"/>
  <c r="U10" i="61" s="1"/>
  <c r="P10" i="61"/>
  <c r="G15" i="61"/>
  <c r="L9" i="61"/>
  <c r="L12" i="61"/>
  <c r="Q11" i="61"/>
  <c r="U11" i="61" s="1"/>
  <c r="P11" i="61"/>
  <c r="G16" i="61"/>
  <c r="Q12" i="61" l="1"/>
  <c r="Q16" i="61" s="1"/>
  <c r="L16" i="61" s="1"/>
  <c r="R30" i="61"/>
  <c r="P30" i="61"/>
  <c r="V30" i="61" s="1"/>
  <c r="P27" i="61"/>
  <c r="V27" i="61" s="1"/>
  <c r="P12" i="61"/>
  <c r="P15" i="61"/>
  <c r="P13" i="61"/>
  <c r="P14" i="61"/>
  <c r="R26" i="61"/>
  <c r="W26" i="61" s="1"/>
  <c r="Q26" i="61"/>
  <c r="Q28" i="61"/>
  <c r="R28" i="61"/>
  <c r="W28" i="61" s="1"/>
  <c r="L15" i="61"/>
  <c r="P29" i="61"/>
  <c r="V29" i="61" s="1"/>
  <c r="L13" i="61"/>
  <c r="L14" i="61"/>
  <c r="Q9" i="61"/>
  <c r="U9" i="61" s="1"/>
  <c r="P9" i="61"/>
  <c r="R33" i="61" l="1"/>
  <c r="P33" i="61"/>
  <c r="V33" i="61" s="1"/>
  <c r="Q15" i="61"/>
  <c r="U15" i="61" s="1"/>
  <c r="W30" i="61"/>
  <c r="R34" i="61"/>
  <c r="P34" i="61"/>
  <c r="V34" i="61" s="1"/>
  <c r="R27" i="61"/>
  <c r="W27" i="61" s="1"/>
  <c r="Q27" i="61"/>
  <c r="R32" i="61"/>
  <c r="Q14" i="61"/>
  <c r="U14" i="61" s="1"/>
  <c r="P32" i="61"/>
  <c r="V32" i="61" s="1"/>
  <c r="Q29" i="61"/>
  <c r="R29" i="61"/>
  <c r="W29" i="61" s="1"/>
  <c r="R31" i="61"/>
  <c r="P31" i="61"/>
  <c r="V31" i="61" s="1"/>
  <c r="Q13" i="61"/>
  <c r="U13" i="61" s="1"/>
  <c r="U12" i="61"/>
  <c r="U16" i="61" s="1"/>
  <c r="P16" i="61" s="1"/>
  <c r="B36" i="47"/>
  <c r="W31" i="61" l="1"/>
  <c r="W34" i="61"/>
  <c r="W32" i="61"/>
  <c r="W33" i="6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<sst xmlns="http://schemas.openxmlformats.org/spreadsheetml/2006/main" count="606" uniqueCount="424">
  <si>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</si>
  <si>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</si>
  <si>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</si>
  <si>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</si>
  <si>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</si>
  <si>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</si>
  <si>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</si>
  <si>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</si>
  <si>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</si>
  <si>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</si>
  <si>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</si>
  <si>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</si>
  <si>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</si>
  <si>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</si>
  <si>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</si>
  <si>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</si>
  <si>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</si>
  <si>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</si>
  <si>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</si>
  <si>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</si>
  <si>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</si>
  <si>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</si>
  <si>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</si>
  <si>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</si>
  <si>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</si>
  <si>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</si>
  <si>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</si>
  <si>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</si>
  <si>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</si>
  <si>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</si>
  <si>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</si>
  <si>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</si>
  <si>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</si>
  <si>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</si>
  <si>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</si>
  <si>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</si>
  <si>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</si>
  <si>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</si>
  <si>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</si>
  <si>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</si>
  <si>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</si>
  <si>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</si>
  <si>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</si>
  <si>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</si>
  <si>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</si>
  <si>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</si>
  <si>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</si>
  <si>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</si>
  <si>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</si>
  <si>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</si>
  <si>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</si>
  <si>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</si>
  <si>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</si>
  <si>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</si>
  <si>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</si>
  <si>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</si>
  <si>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</si>
  <si>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</si>
  <si>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</si>
  <si>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</si>
  <si>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</si>
  <si>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</si>
  <si>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</si>
  <si>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</si>
  <si>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</si>
  <si>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</si>
  <si>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</si>
  <si>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</si>
  <si>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</si>
  <si>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</si>
  <si>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</si>
  <si>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</si>
  <si>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</si>
  <si>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</si>
  <si>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</si>
  <si>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</si>
  <si>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</si>
  <si>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</si>
  <si>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</si>
  <si>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</si>
  <si>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</si>
  <si>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</si>
  <si>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</si>
  <si>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</si>
  <si>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</si>
  <si>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</si>
  <si>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</si>
  <si>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</si>
  <si>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</si>
  <si>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</si>
  <si>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</si>
  <si>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</si>
  <si>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</si>
  <si>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</si>
  <si>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</si>
  <si>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</si>
  <si>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</si>
  <si>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</si>
  <si>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</si>
  <si>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</si>
  <si>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</si>
  <si>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</si>
  <si>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</si>
  <si>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</si>
  <si>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</si>
  <si>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</si>
  <si>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</si>
  <si>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</si>
  <si>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</si>
  <si>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</si>
  <si>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</si>
  <si>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</si>
  <si>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</si>
  <si>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</si>
  <si>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</si>
  <si>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</si>
  <si>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</si>
  <si>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</si>
  <si>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</si>
  <si>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</si>
  <si>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</si>
  <si>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</si>
  <si>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</si>
  <si>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</si>
  <si>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</si>
  <si>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</si>
  <si>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</si>
  <si>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</si>
  <si>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</si>
  <si>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</si>
  <si>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</si>
  <si>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</si>
  <si>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</si>
  <si>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</si>
  <si>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</si>
  <si>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</si>
  <si>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</si>
  <si>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</si>
  <si>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</si>
  <si>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</si>
  <si>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</si>
  <si>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</si>
  <si>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</si>
  <si>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</si>
  <si>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</si>
  <si>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</si>
  <si>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</si>
  <si>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</si>
  <si>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</si>
  <si>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</si>
  <si>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</si>
  <si>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</si>
  <si>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</si>
  <si>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</si>
  <si>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</si>
  <si>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</si>
  <si>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</si>
  <si>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</si>
  <si>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</si>
  <si>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</si>
  <si>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</si>
  <si>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</si>
  <si>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</si>
  <si>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</si>
  <si>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</si>
  <si>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</si>
  <si>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</si>
  <si>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</si>
  <si>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</si>
  <si>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</si>
  <si>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</si>
  <si>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</si>
  <si>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</si>
  <si>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</si>
  <si>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</si>
  <si>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</si>
  <si>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</si>
  <si>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</si>
  <si>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</si>
  <si>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</si>
  <si>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</si>
  <si>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</si>
  <si>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</si>
  <si>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</si>
  <si>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</si>
  <si>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</si>
  <si>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</si>
  <si>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</si>
  <si>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</si>
  <si>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</si>
  <si>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</si>
  <si>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</si>
  <si>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</si>
  <si>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</si>
  <si>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</si>
  <si>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</si>
  <si>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</si>
  <si>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</si>
  <si>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</si>
  <si>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</si>
  <si>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</si>
  <si>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</si>
  <si>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</si>
  <si>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</si>
  <si>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</si>
  <si>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</si>
  <si>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</si>
  <si>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</si>
  <si>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</si>
  <si>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</si>
  <si>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</si>
  <si>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</si>
  <si>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</si>
  <si>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</si>
  <si>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</si>
  <si>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</si>
  <si>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</si>
  <si>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</si>
  <si>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</si>
  <si>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</si>
  <si>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</si>
  <si>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</si>
  <si>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</si>
  <si>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</si>
  <si>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</si>
  <si>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</si>
  <si>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</si>
  <si>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</si>
  <si>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</si>
  <si>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</si>
  <si>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</si>
  <si>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</si>
  <si>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</si>
  <si>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</si>
  <si>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</si>
  <si>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</si>
  <si>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</si>
  <si>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</si>
  <si>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</si>
  <si>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</si>
  <si>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</si>
  <si>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</si>
  <si>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</si>
  <si>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</si>
  <si>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</si>
  <si>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</si>
  <si>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</si>
  <si>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</si>
  <si>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</si>
  <si>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</si>
  <si>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</si>
  <si>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</si>
  <si>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</si>
  <si>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</si>
  <si>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</si>
  <si>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</si>
  <si>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</si>
  <si>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</si>
  <si>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</si>
  <si>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</si>
  <si>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</si>
  <si>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</si>
  <si>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</si>
  <si>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</si>
  <si>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</si>
  <si>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</si>
  <si>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</si>
  <si>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</si>
  <si>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</si>
  <si>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</si>
  <si>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</si>
  <si>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</si>
  <si>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</si>
  <si>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</si>
  <si>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</si>
  <si>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</si>
  <si>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</si>
  <si>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</si>
  <si>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</si>
  <si>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</si>
  <si>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</si>
  <si>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</si>
  <si>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</si>
  <si>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</si>
  <si>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</si>
  <si>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</si>
  <si>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</si>
  <si>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</si>
  <si>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</si>
  <si>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</si>
  <si>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</si>
  <si>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</si>
  <si>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</si>
  <si>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</si>
  <si>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</si>
  <si>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</si>
  <si>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</si>
  <si>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</si>
  <si>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</si>
  <si>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</si>
  <si>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</si>
  <si>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</si>
  <si>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</si>
  <si>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</si>
  <si>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</si>
  <si>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</si>
  <si>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</si>
  <si>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</si>
  <si>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</si>
  <si>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</si>
  <si>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</si>
  <si>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</si>
  <si>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</si>
  <si>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</si>
  <si>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</si>
  <si>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</si>
  <si>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</si>
  <si>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</si>
  <si>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</si>
  <si>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</si>
  <si>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</si>
  <si>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</si>
  <si>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</si>
  <si>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</si>
  <si>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</si>
  <si>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</si>
  <si>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</si>
  <si>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</si>
  <si>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</si>
  <si>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</si>
  <si>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</si>
  <si>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</si>
  <si>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</si>
  <si>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</si>
  <si>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</si>
  <si>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</si>
  <si>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</si>
  <si>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</si>
  <si>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</si>
  <si>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</si>
  <si>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</si>
  <si>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</si>
  <si>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</si>
  <si>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</si>
  <si>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</si>
  <si>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</si>
  <si>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</si>
  <si>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</si>
  <si>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</si>
  <si>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</si>
  <si>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</si>
  <si>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</si>
  <si>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</si>
  <si>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</si>
  <si>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</si>
  <si>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</si>
  <si>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</si>
  <si>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</si>
  <si>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</si>
  <si>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</si>
  <si>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</si>
  <si>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</si>
  <si>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</si>
  <si>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</si>
  <si>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</si>
  <si>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</si>
  <si>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</si>
  <si>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</si>
  <si>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</si>
  <si>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</si>
  <si>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</si>
  <si>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</si>
  <si>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</si>
  <si>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</si>
  <si>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</si>
  <si>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</si>
  <si>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</si>
  <si>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</si>
  <si>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</si>
  <si>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</si>
  <si>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</si>
  <si>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</si>
  <si>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</si>
  <si>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</si>
  <si>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</si>
  <si>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</si>
  <si>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</si>
  <si>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</si>
  <si>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</si>
  <si>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</si>
  <si>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</si>
  <si>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</si>
  <si>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</si>
  <si>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</si>
  <si>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</si>
  <si>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</si>
  <si>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</si>
  <si>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</si>
  <si>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</si>
  <si>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</si>
  <si>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</si>
  <si>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rPr>
      <t xml:space="preserve">HydrologicScenarios </t>
    </r>
    <r>
      <rPr>
        <sz val="12"/>
        <color theme="1"/>
        <rFont val="Aptos"/>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</si>
  <si>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</si>
  <si>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</si>
  <si>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</si>
  <si>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</si>
  <si>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</si>
  <si>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</si>
  <si>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</si>
  <si>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</si>
  <si>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</si>
  <si>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</si>
  <si>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</si>
  <si>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</si>
  <si>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</si>
  <si>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</si>
  <si>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</si>
  <si>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</si>
  <si>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</si>
  <si>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</si>
  <si>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</si>
  <si>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</si>
  <si>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</si>
  <si>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Tribal Nations Included in Lake Mead Inflow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</si>
</sst>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7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7" borderId="9" xfId="0" applyFont="1" applyFill="1" applyBorder="1" applyAlignment="1">
      <alignment horizontal="center" vertical="center"/>
    </xf>
    <xf numFmtId="0" fontId="18" fillId="21" borderId="9" xfId="0" applyFont="1" applyFill="1" applyBorder="1" applyAlignment="1">
      <alignment horizontal="center" vertical="center"/>
    </xf>
    <xf numFmtId="0" fontId="18" fillId="19" borderId="9"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9" fillId="0" borderId="0" xfId="0" applyFont="1" applyBorder="1"/>
    <xf numFmtId="164" fontId="19" fillId="0" borderId="0" xfId="0" applyNumberFormat="1" applyFont="1" applyBorder="1"/>
    <xf numFmtId="2" fontId="19" fillId="0" borderId="0" xfId="0" applyNumberFormat="1" applyFont="1" applyBorder="1" applyAlignment="1">
      <alignment horizontal="center" vertical="top"/>
    </xf>
    <xf numFmtId="2" fontId="19" fillId="0" borderId="0" xfId="0" applyNumberFormat="1" applyFont="1" applyBorder="1"/>
    <xf numFmtId="172" fontId="19" fillId="0" borderId="0" xfId="4" applyNumberFormat="1" applyFont="1" applyBorder="1"/>
    <xf numFmtId="0" fontId="20" fillId="0" borderId="0" xfId="0" applyFont="1" applyBorder="1" applyAlignment="1">
      <alignment horizontal="left"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75" t="s">
        <v>302</v>
      </c>
      <c r="B1" s="275"/>
      <c r="C1" s="275"/>
      <c r="D1" s="275"/>
      <c r="E1" s="275"/>
      <c r="F1" s="275"/>
      <c r="G1" s="275"/>
      <c r="H1" s="275"/>
      <c r="I1" s="275"/>
      <c r="J1" s="275"/>
      <c r="K1" s="275"/>
      <c r="L1" s="275"/>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276" t="s">
        <v>303</v>
      </c>
      <c r="B4" s="277"/>
      <c r="C4" s="277"/>
      <c r="D4" s="277"/>
      <c r="E4" s="277"/>
      <c r="F4" s="277"/>
      <c r="G4" s="277"/>
      <c r="H4" s="277"/>
      <c r="I4" s="277"/>
      <c r="J4" s="277"/>
      <c r="K4" s="277"/>
      <c r="L4" s="278"/>
      <c r="N4" s="279"/>
      <c r="O4" s="279"/>
      <c r="P4" s="279"/>
      <c r="Q4" s="279"/>
      <c r="R4" s="279"/>
    </row>
    <row r="5" spans="1:18" s="54" customFormat="1" ht="35" customHeight="1" x14ac:dyDescent="0.2">
      <c r="A5" s="280" t="s">
        <v>286</v>
      </c>
      <c r="B5" s="281"/>
      <c r="C5" s="281"/>
      <c r="D5" s="281"/>
      <c r="E5" s="281"/>
      <c r="F5" s="281"/>
      <c r="G5" s="281"/>
      <c r="H5" s="281"/>
      <c r="I5" s="281"/>
      <c r="J5" s="281"/>
      <c r="K5" s="281"/>
      <c r="L5" s="282"/>
      <c r="N5" s="113"/>
      <c r="O5" s="113"/>
      <c r="P5" s="113"/>
      <c r="Q5" s="113"/>
      <c r="R5" s="113"/>
    </row>
    <row r="6" spans="1:18" s="54" customFormat="1" ht="14" customHeight="1" x14ac:dyDescent="0.2">
      <c r="A6" s="280" t="s">
        <v>304</v>
      </c>
      <c r="B6" s="281"/>
      <c r="C6" s="281"/>
      <c r="D6" s="281"/>
      <c r="E6" s="281"/>
      <c r="F6" s="281"/>
      <c r="G6" s="281"/>
      <c r="H6" s="281"/>
      <c r="I6" s="281"/>
      <c r="J6" s="281"/>
      <c r="K6" s="281"/>
      <c r="L6" s="282"/>
      <c r="N6" s="113"/>
      <c r="O6" s="113"/>
      <c r="P6" s="113"/>
      <c r="Q6" s="113"/>
      <c r="R6" s="113"/>
    </row>
    <row r="7" spans="1:18" s="54" customFormat="1" ht="14" customHeight="1" x14ac:dyDescent="0.2">
      <c r="A7" s="227"/>
      <c r="B7" s="281" t="s">
        <v>305</v>
      </c>
      <c r="C7" s="281"/>
      <c r="D7" s="281"/>
      <c r="E7" s="281"/>
      <c r="F7" s="281"/>
      <c r="G7" s="281"/>
      <c r="H7" s="281"/>
      <c r="I7" s="281"/>
      <c r="J7" s="281"/>
      <c r="K7" s="281"/>
      <c r="L7" s="282"/>
      <c r="N7" s="113"/>
      <c r="O7" s="113"/>
      <c r="P7" s="113"/>
      <c r="Q7" s="113"/>
      <c r="R7" s="113"/>
    </row>
    <row r="8" spans="1:18" s="54" customFormat="1" ht="14" customHeight="1" x14ac:dyDescent="0.2">
      <c r="A8" s="228"/>
      <c r="B8" s="298" t="s">
        <v>306</v>
      </c>
      <c r="C8" s="298"/>
      <c r="D8" s="298"/>
      <c r="E8" s="298"/>
      <c r="F8" s="298"/>
      <c r="G8" s="298"/>
      <c r="H8" s="298"/>
      <c r="I8" s="298"/>
      <c r="J8" s="298"/>
      <c r="K8" s="298"/>
      <c r="L8" s="299"/>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00" t="s">
        <v>341</v>
      </c>
      <c r="B10" s="301"/>
      <c r="C10" s="301"/>
      <c r="D10" s="301"/>
      <c r="E10" s="301"/>
      <c r="F10" s="301"/>
      <c r="G10" s="301"/>
      <c r="H10" s="301"/>
      <c r="I10" s="301"/>
      <c r="J10" s="301"/>
      <c r="K10" s="301"/>
      <c r="L10" s="302"/>
    </row>
    <row r="11" spans="1:18" s="58" customFormat="1" ht="14.5" customHeight="1" x14ac:dyDescent="0.2">
      <c r="A11" s="248" t="s">
        <v>342</v>
      </c>
      <c r="B11" s="303" t="s">
        <v>345</v>
      </c>
      <c r="C11" s="303"/>
      <c r="D11" s="303"/>
      <c r="E11" s="303"/>
      <c r="F11" s="303"/>
      <c r="G11" s="303"/>
      <c r="H11" s="303"/>
      <c r="I11" s="303"/>
      <c r="J11" s="303"/>
      <c r="K11" s="303"/>
      <c r="L11" s="304"/>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343</v>
      </c>
      <c r="B13" s="303" t="s">
        <v>346</v>
      </c>
      <c r="C13" s="303"/>
      <c r="D13" s="303"/>
      <c r="E13" s="303"/>
      <c r="F13" s="303"/>
      <c r="G13" s="303"/>
      <c r="H13" s="303"/>
      <c r="I13" s="303"/>
      <c r="J13" s="303"/>
      <c r="K13" s="303"/>
      <c r="L13" s="304"/>
    </row>
    <row r="14" spans="1:18" s="59" customFormat="1" ht="90.5" customHeight="1" x14ac:dyDescent="0.2">
      <c r="A14" s="240"/>
      <c r="B14" s="314"/>
      <c r="C14" s="314"/>
      <c r="D14" s="314"/>
      <c r="E14" s="314"/>
      <c r="F14" s="314"/>
      <c r="G14" s="314"/>
      <c r="H14" s="314"/>
      <c r="I14" s="314"/>
      <c r="J14" s="314"/>
      <c r="K14" s="314"/>
      <c r="L14" s="315"/>
    </row>
    <row r="15" spans="1:18" s="58" customFormat="1" ht="29" customHeight="1" x14ac:dyDescent="0.2">
      <c r="A15" s="248" t="s">
        <v>344</v>
      </c>
      <c r="B15" s="303" t="s">
        <v>347</v>
      </c>
      <c r="C15" s="303"/>
      <c r="D15" s="303"/>
      <c r="E15" s="303"/>
      <c r="F15" s="303"/>
      <c r="G15" s="303"/>
      <c r="H15" s="303"/>
      <c r="I15" s="303"/>
      <c r="J15" s="303"/>
      <c r="K15" s="303"/>
      <c r="L15" s="304"/>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312" t="s">
        <v>351</v>
      </c>
      <c r="B17" s="313"/>
      <c r="C17" s="313"/>
      <c r="D17" s="313"/>
      <c r="E17" s="245" t="s">
        <v>352</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283" t="s">
        <v>166</v>
      </c>
      <c r="B19" s="284"/>
      <c r="C19" s="284"/>
      <c r="D19" s="284"/>
      <c r="E19" s="284"/>
      <c r="F19" s="284"/>
      <c r="G19" s="284"/>
      <c r="H19" s="284"/>
      <c r="I19" s="284"/>
      <c r="J19" s="284"/>
      <c r="K19" s="284"/>
      <c r="L19" s="285"/>
    </row>
    <row r="20" spans="1:14" s="59" customFormat="1" ht="14.5" customHeight="1" x14ac:dyDescent="0.2">
      <c r="A20" s="286" t="s">
        <v>287</v>
      </c>
      <c r="B20" s="287"/>
      <c r="C20" s="287"/>
      <c r="D20" s="287"/>
      <c r="E20" s="287"/>
      <c r="F20" s="287"/>
      <c r="G20" s="287"/>
      <c r="H20" s="287"/>
      <c r="I20" s="287"/>
      <c r="J20" s="287"/>
      <c r="K20" s="287"/>
      <c r="L20" s="288"/>
    </row>
    <row r="21" spans="1:14" s="59" customFormat="1" ht="14.5" customHeight="1" x14ac:dyDescent="0.2">
      <c r="A21" s="289" t="s">
        <v>288</v>
      </c>
      <c r="B21" s="290"/>
      <c r="C21" s="290"/>
      <c r="D21" s="290"/>
      <c r="E21" s="290"/>
      <c r="F21" s="290"/>
      <c r="G21" s="290"/>
      <c r="H21" s="290"/>
      <c r="I21" s="290"/>
      <c r="J21" s="290"/>
      <c r="K21" s="290"/>
      <c r="L21" s="291"/>
    </row>
    <row r="22" spans="1:14" s="59" customFormat="1" ht="14.5" customHeight="1" x14ac:dyDescent="0.2">
      <c r="A22" s="289" t="s">
        <v>167</v>
      </c>
      <c r="B22" s="290"/>
      <c r="C22" s="290"/>
      <c r="D22" s="290"/>
      <c r="E22" s="290"/>
      <c r="F22" s="290"/>
      <c r="G22" s="290"/>
      <c r="H22" s="290"/>
      <c r="I22" s="290"/>
      <c r="J22" s="290"/>
      <c r="K22" s="290"/>
      <c r="L22" s="291"/>
    </row>
    <row r="23" spans="1:14" s="59" customFormat="1" ht="14.5" customHeight="1" x14ac:dyDescent="0.2">
      <c r="A23" s="292" t="s">
        <v>289</v>
      </c>
      <c r="B23" s="293"/>
      <c r="C23" s="293"/>
      <c r="D23" s="293"/>
      <c r="E23" s="293"/>
      <c r="F23" s="293"/>
      <c r="G23" s="293"/>
      <c r="H23" s="293"/>
      <c r="I23" s="293"/>
      <c r="J23" s="293"/>
      <c r="K23" s="293"/>
      <c r="L23" s="294"/>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295" t="s">
        <v>285</v>
      </c>
      <c r="B25" s="296"/>
      <c r="C25" s="296"/>
      <c r="D25" s="296"/>
      <c r="E25" s="296"/>
      <c r="F25" s="296"/>
      <c r="G25" s="296"/>
      <c r="H25" s="296"/>
      <c r="I25" s="296"/>
      <c r="J25" s="296"/>
      <c r="K25" s="296"/>
      <c r="L25" s="297"/>
      <c r="N25" s="1"/>
    </row>
    <row r="26" spans="1:14" s="59" customFormat="1" ht="16.5" customHeight="1" x14ac:dyDescent="0.2">
      <c r="A26" s="272" t="s">
        <v>176</v>
      </c>
      <c r="B26" s="273"/>
      <c r="C26" s="273"/>
      <c r="D26" s="273"/>
      <c r="E26" s="273"/>
      <c r="F26" s="273"/>
      <c r="G26" s="273"/>
      <c r="H26" s="273"/>
      <c r="I26" s="273"/>
      <c r="J26" s="273"/>
      <c r="K26" s="273"/>
      <c r="L26" s="274"/>
      <c r="N26" s="1"/>
    </row>
    <row r="27" spans="1:14" s="59" customFormat="1" ht="15" customHeight="1" x14ac:dyDescent="0.2">
      <c r="A27" s="222">
        <v>1</v>
      </c>
      <c r="B27" s="307" t="s">
        <v>175</v>
      </c>
      <c r="C27" s="307"/>
      <c r="D27" s="307"/>
      <c r="E27" s="307"/>
      <c r="F27" s="307"/>
      <c r="G27" s="307"/>
      <c r="H27" s="307"/>
      <c r="I27" s="307"/>
      <c r="J27" s="307"/>
      <c r="K27" s="307"/>
      <c r="L27" s="308"/>
    </row>
    <row r="28" spans="1:14" s="59" customFormat="1" ht="30" customHeight="1" x14ac:dyDescent="0.2">
      <c r="A28" s="222">
        <v>2</v>
      </c>
      <c r="B28" s="307" t="s">
        <v>281</v>
      </c>
      <c r="C28" s="307"/>
      <c r="D28" s="307"/>
      <c r="E28" s="307"/>
      <c r="F28" s="307"/>
      <c r="G28" s="307"/>
      <c r="H28" s="307"/>
      <c r="I28" s="307"/>
      <c r="J28" s="307"/>
      <c r="K28" s="307"/>
      <c r="L28" s="308"/>
      <c r="N28" s="106"/>
    </row>
    <row r="29" spans="1:14" s="59" customFormat="1" ht="15" customHeight="1" x14ac:dyDescent="0.2">
      <c r="A29" s="222">
        <v>3</v>
      </c>
      <c r="B29" s="307" t="s">
        <v>168</v>
      </c>
      <c r="C29" s="307"/>
      <c r="D29" s="307"/>
      <c r="E29" s="307"/>
      <c r="F29" s="307"/>
      <c r="G29" s="307"/>
      <c r="H29" s="307"/>
      <c r="I29" s="307"/>
      <c r="J29" s="307"/>
      <c r="K29" s="307"/>
      <c r="L29" s="308"/>
      <c r="N29" s="106"/>
    </row>
    <row r="30" spans="1:14" s="59" customFormat="1" ht="15" customHeight="1" x14ac:dyDescent="0.2">
      <c r="A30" s="222">
        <v>4</v>
      </c>
      <c r="B30" s="307" t="s">
        <v>290</v>
      </c>
      <c r="C30" s="307"/>
      <c r="D30" s="307"/>
      <c r="E30" s="307"/>
      <c r="F30" s="307"/>
      <c r="G30" s="307"/>
      <c r="H30" s="307"/>
      <c r="I30" s="307"/>
      <c r="J30" s="307"/>
      <c r="K30" s="307"/>
      <c r="L30" s="308"/>
      <c r="N30" s="106"/>
    </row>
    <row r="31" spans="1:14" s="59" customFormat="1" ht="15" customHeight="1" x14ac:dyDescent="0.2">
      <c r="A31" s="222">
        <v>5</v>
      </c>
      <c r="B31" s="307" t="s">
        <v>169</v>
      </c>
      <c r="C31" s="307"/>
      <c r="D31" s="307"/>
      <c r="E31" s="307"/>
      <c r="F31" s="307"/>
      <c r="G31" s="307"/>
      <c r="H31" s="307"/>
      <c r="I31" s="307"/>
      <c r="J31" s="307"/>
      <c r="K31" s="307"/>
      <c r="L31" s="308"/>
      <c r="N31" s="106"/>
    </row>
    <row r="32" spans="1:14" s="59" customFormat="1" ht="15" customHeight="1" x14ac:dyDescent="0.2">
      <c r="A32" s="222"/>
      <c r="B32" s="307" t="s">
        <v>170</v>
      </c>
      <c r="C32" s="307"/>
      <c r="D32" s="307"/>
      <c r="E32" s="307"/>
      <c r="F32" s="307"/>
      <c r="G32" s="307"/>
      <c r="H32" s="307"/>
      <c r="I32" s="307"/>
      <c r="J32" s="307"/>
      <c r="K32" s="307"/>
      <c r="L32" s="308"/>
      <c r="N32" s="106"/>
    </row>
    <row r="33" spans="1:14" s="59" customFormat="1" ht="15" customHeight="1" x14ac:dyDescent="0.2">
      <c r="A33" s="222"/>
      <c r="B33" s="307" t="s">
        <v>171</v>
      </c>
      <c r="C33" s="307"/>
      <c r="D33" s="307"/>
      <c r="E33" s="307"/>
      <c r="F33" s="307"/>
      <c r="G33" s="307"/>
      <c r="H33" s="307"/>
      <c r="I33" s="307"/>
      <c r="J33" s="307"/>
      <c r="K33" s="307"/>
      <c r="L33" s="308"/>
      <c r="N33" s="106"/>
    </row>
    <row r="34" spans="1:14" s="59" customFormat="1" ht="15" customHeight="1" x14ac:dyDescent="0.2">
      <c r="A34" s="309" t="s">
        <v>177</v>
      </c>
      <c r="B34" s="310"/>
      <c r="C34" s="310"/>
      <c r="D34" s="310"/>
      <c r="E34" s="310"/>
      <c r="F34" s="310"/>
      <c r="G34" s="310"/>
      <c r="H34" s="310"/>
      <c r="I34" s="310"/>
      <c r="J34" s="310"/>
      <c r="K34" s="310"/>
      <c r="L34" s="311"/>
      <c r="N34" s="106"/>
    </row>
    <row r="35" spans="1:14" s="59" customFormat="1" ht="15" customHeight="1" x14ac:dyDescent="0.2">
      <c r="A35" s="222">
        <v>1</v>
      </c>
      <c r="B35" s="307" t="s">
        <v>172</v>
      </c>
      <c r="C35" s="307"/>
      <c r="D35" s="307"/>
      <c r="E35" s="307"/>
      <c r="F35" s="307"/>
      <c r="G35" s="307"/>
      <c r="H35" s="307"/>
      <c r="I35" s="307"/>
      <c r="J35" s="307"/>
      <c r="K35" s="307"/>
      <c r="L35" s="308"/>
      <c r="N35" s="106"/>
    </row>
    <row r="36" spans="1:14" s="59" customFormat="1" ht="30.75" customHeight="1" x14ac:dyDescent="0.2">
      <c r="A36" s="222"/>
      <c r="B36" s="305" t="s">
        <v>291</v>
      </c>
      <c r="C36" s="305"/>
      <c r="D36" s="305"/>
      <c r="E36" s="305"/>
      <c r="F36" s="305"/>
      <c r="G36" s="305"/>
      <c r="H36" s="305"/>
      <c r="I36" s="305"/>
      <c r="J36" s="305"/>
      <c r="K36" s="305"/>
      <c r="L36" s="306"/>
      <c r="N36" s="106"/>
    </row>
    <row r="37" spans="1:14" s="59" customFormat="1" ht="29.5" customHeight="1" x14ac:dyDescent="0.2">
      <c r="A37" s="222">
        <v>2</v>
      </c>
      <c r="B37" s="307" t="s">
        <v>284</v>
      </c>
      <c r="C37" s="307"/>
      <c r="D37" s="307"/>
      <c r="E37" s="307"/>
      <c r="F37" s="307"/>
      <c r="G37" s="307"/>
      <c r="H37" s="307"/>
      <c r="I37" s="307"/>
      <c r="J37" s="307"/>
      <c r="K37" s="307"/>
      <c r="L37" s="308"/>
      <c r="N37" s="106"/>
    </row>
    <row r="38" spans="1:14" s="59" customFormat="1" ht="26.5" customHeight="1" x14ac:dyDescent="0.2">
      <c r="A38" s="222">
        <v>3</v>
      </c>
      <c r="B38" s="307" t="s">
        <v>273</v>
      </c>
      <c r="C38" s="307"/>
      <c r="D38" s="307"/>
      <c r="E38" s="307"/>
      <c r="F38" s="307"/>
      <c r="G38" s="307"/>
      <c r="H38" s="307"/>
      <c r="I38" s="307"/>
      <c r="J38" s="307"/>
      <c r="K38" s="307"/>
      <c r="L38" s="308"/>
      <c r="N38" s="106"/>
    </row>
    <row r="39" spans="1:14" s="59" customFormat="1" ht="26.5" customHeight="1" x14ac:dyDescent="0.2">
      <c r="A39" s="222">
        <v>4</v>
      </c>
      <c r="B39" s="307" t="s">
        <v>292</v>
      </c>
      <c r="C39" s="307"/>
      <c r="D39" s="307"/>
      <c r="E39" s="307"/>
      <c r="F39" s="307"/>
      <c r="G39" s="307"/>
      <c r="H39" s="307"/>
      <c r="I39" s="307"/>
      <c r="J39" s="307"/>
      <c r="K39" s="307"/>
      <c r="L39" s="308"/>
      <c r="N39" s="106"/>
    </row>
    <row r="40" spans="1:14" s="59" customFormat="1" ht="15" customHeight="1" x14ac:dyDescent="0.2">
      <c r="A40" s="222">
        <v>5</v>
      </c>
      <c r="B40" s="305" t="s">
        <v>274</v>
      </c>
      <c r="C40" s="305"/>
      <c r="D40" s="305"/>
      <c r="E40" s="305"/>
      <c r="F40" s="305"/>
      <c r="G40" s="305"/>
      <c r="H40" s="305"/>
      <c r="I40" s="305"/>
      <c r="J40" s="305"/>
      <c r="K40" s="305"/>
      <c r="L40" s="306"/>
      <c r="N40" s="106"/>
    </row>
    <row r="41" spans="1:14" s="59" customFormat="1" ht="28.5" customHeight="1" x14ac:dyDescent="0.2">
      <c r="A41" s="222">
        <v>6</v>
      </c>
      <c r="B41" s="305" t="s">
        <v>279</v>
      </c>
      <c r="C41" s="305"/>
      <c r="D41" s="305"/>
      <c r="E41" s="305"/>
      <c r="F41" s="305"/>
      <c r="G41" s="305"/>
      <c r="H41" s="305"/>
      <c r="I41" s="305"/>
      <c r="J41" s="305"/>
      <c r="K41" s="305"/>
      <c r="L41" s="306"/>
      <c r="N41" s="106"/>
    </row>
    <row r="42" spans="1:14" s="59" customFormat="1" ht="16.5" customHeight="1" x14ac:dyDescent="0.2">
      <c r="A42" s="222">
        <v>7</v>
      </c>
      <c r="B42" s="307" t="s">
        <v>275</v>
      </c>
      <c r="C42" s="307"/>
      <c r="D42" s="307"/>
      <c r="E42" s="307"/>
      <c r="F42" s="307"/>
      <c r="G42" s="307"/>
      <c r="H42" s="307"/>
      <c r="I42" s="307"/>
      <c r="J42" s="307"/>
      <c r="K42" s="307"/>
      <c r="L42" s="308"/>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309" t="s">
        <v>278</v>
      </c>
      <c r="B44" s="310"/>
      <c r="C44" s="310"/>
      <c r="D44" s="310"/>
      <c r="E44" s="310"/>
      <c r="F44" s="310"/>
      <c r="G44" s="310"/>
      <c r="H44" s="310"/>
      <c r="I44" s="310"/>
      <c r="J44" s="310"/>
      <c r="K44" s="310"/>
      <c r="L44" s="311"/>
    </row>
    <row r="45" spans="1:14" s="59" customFormat="1" ht="15" customHeight="1" x14ac:dyDescent="0.2">
      <c r="A45" s="225" t="s">
        <v>276</v>
      </c>
      <c r="B45" s="307" t="s">
        <v>173</v>
      </c>
      <c r="C45" s="307"/>
      <c r="D45" s="307"/>
      <c r="E45" s="307"/>
      <c r="F45" s="307"/>
      <c r="G45" s="307"/>
      <c r="H45" s="307"/>
      <c r="I45" s="307"/>
      <c r="J45" s="307"/>
      <c r="K45" s="307"/>
      <c r="L45" s="308"/>
    </row>
    <row r="46" spans="1:14" s="59" customFormat="1" ht="30.75" customHeight="1" x14ac:dyDescent="0.2">
      <c r="A46" s="226" t="s">
        <v>277</v>
      </c>
      <c r="B46" s="317" t="s">
        <v>280</v>
      </c>
      <c r="C46" s="317"/>
      <c r="D46" s="317"/>
      <c r="E46" s="317"/>
      <c r="F46" s="317"/>
      <c r="G46" s="317"/>
      <c r="H46" s="317"/>
      <c r="I46" s="317"/>
      <c r="J46" s="317"/>
      <c r="K46" s="317"/>
      <c r="L46" s="318"/>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19" t="s">
        <v>201</v>
      </c>
      <c r="B48" s="320"/>
      <c r="C48" s="320"/>
      <c r="D48" s="320"/>
      <c r="E48" s="320"/>
      <c r="F48" s="320"/>
      <c r="G48" s="320"/>
      <c r="H48" s="320"/>
      <c r="I48" s="320"/>
      <c r="J48" s="320"/>
      <c r="K48" s="320"/>
      <c r="L48" s="321"/>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290" t="s">
        <v>265</v>
      </c>
      <c r="D54" s="290"/>
      <c r="E54" s="290"/>
      <c r="F54" s="290"/>
      <c r="G54" s="290"/>
      <c r="H54" s="290"/>
      <c r="I54" s="290"/>
      <c r="J54" s="290"/>
      <c r="K54" s="290"/>
      <c r="L54" s="291"/>
    </row>
    <row r="55" spans="1:12" s="58" customFormat="1" ht="33.75" customHeight="1" x14ac:dyDescent="0.2">
      <c r="A55" s="167"/>
      <c r="B55" s="168" t="s">
        <v>266</v>
      </c>
      <c r="C55" s="290" t="s">
        <v>267</v>
      </c>
      <c r="D55" s="290"/>
      <c r="E55" s="290"/>
      <c r="F55" s="290"/>
      <c r="G55" s="290"/>
      <c r="H55" s="290"/>
      <c r="I55" s="290"/>
      <c r="J55" s="290"/>
      <c r="K55" s="290"/>
      <c r="L55" s="291"/>
    </row>
    <row r="56" spans="1:12" s="58" customFormat="1" ht="33.75" customHeight="1" x14ac:dyDescent="0.2">
      <c r="A56" s="167"/>
      <c r="B56" s="168" t="s">
        <v>334</v>
      </c>
      <c r="C56" s="290" t="s">
        <v>335</v>
      </c>
      <c r="D56" s="290"/>
      <c r="E56" s="290"/>
      <c r="F56" s="290"/>
      <c r="G56" s="290"/>
      <c r="H56" s="290"/>
      <c r="I56" s="290"/>
      <c r="J56" s="290"/>
      <c r="K56" s="290"/>
      <c r="L56" s="291"/>
    </row>
    <row r="57" spans="1:12" ht="30.75" customHeight="1" x14ac:dyDescent="0.2">
      <c r="A57" s="167"/>
      <c r="B57" s="168" t="s">
        <v>99</v>
      </c>
      <c r="C57" s="290" t="s">
        <v>100</v>
      </c>
      <c r="D57" s="290"/>
      <c r="E57" s="290"/>
      <c r="F57" s="290"/>
      <c r="G57" s="290"/>
      <c r="H57" s="290"/>
      <c r="I57" s="290"/>
      <c r="J57" s="290"/>
      <c r="K57" s="290"/>
      <c r="L57" s="291"/>
    </row>
    <row r="58" spans="1:12" ht="30.75" customHeight="1" x14ac:dyDescent="0.2">
      <c r="A58" s="167"/>
      <c r="B58" s="168" t="s">
        <v>199</v>
      </c>
      <c r="C58" s="290" t="s">
        <v>200</v>
      </c>
      <c r="D58" s="290"/>
      <c r="E58" s="290"/>
      <c r="F58" s="290"/>
      <c r="G58" s="290"/>
      <c r="H58" s="290"/>
      <c r="I58" s="290"/>
      <c r="J58" s="290"/>
      <c r="K58" s="290"/>
      <c r="L58" s="291"/>
    </row>
    <row r="59" spans="1:12" x14ac:dyDescent="0.2">
      <c r="A59" s="167"/>
      <c r="B59" s="168" t="s">
        <v>164</v>
      </c>
      <c r="C59" s="169" t="s">
        <v>268</v>
      </c>
      <c r="D59" s="169"/>
      <c r="E59" s="169"/>
      <c r="F59" s="169"/>
      <c r="G59" s="169"/>
      <c r="H59" s="169"/>
      <c r="I59" s="169"/>
      <c r="J59" s="169"/>
      <c r="K59" s="169"/>
      <c r="L59" s="170"/>
    </row>
    <row r="60" spans="1:12" ht="14.5" customHeight="1" x14ac:dyDescent="0.2">
      <c r="A60" s="167"/>
      <c r="B60" s="168" t="s">
        <v>403</v>
      </c>
      <c r="C60" s="290" t="s">
        <v>404</v>
      </c>
      <c r="D60" s="290"/>
      <c r="E60" s="290"/>
      <c r="F60" s="290"/>
      <c r="G60" s="290"/>
      <c r="H60" s="290"/>
      <c r="I60" s="290"/>
      <c r="J60" s="290"/>
      <c r="K60" s="290"/>
      <c r="L60" s="291"/>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405</v>
      </c>
    </row>
    <row r="71" spans="1:2" x14ac:dyDescent="0.2">
      <c r="A71" s="45"/>
      <c r="B71" t="s">
        <v>55</v>
      </c>
    </row>
    <row r="72" spans="1:2" x14ac:dyDescent="0.2">
      <c r="A72" s="45"/>
      <c r="B72" s="45" t="s">
        <v>406</v>
      </c>
    </row>
    <row r="73" spans="1:2" x14ac:dyDescent="0.2">
      <c r="A73" s="45"/>
    </row>
    <row r="74" spans="1:2" x14ac:dyDescent="0.2">
      <c r="A74" s="242" t="s">
        <v>348</v>
      </c>
    </row>
    <row r="75" spans="1:2" x14ac:dyDescent="0.2">
      <c r="A75" s="241" t="s">
        <v>349</v>
      </c>
    </row>
    <row r="76" spans="1:2" x14ac:dyDescent="0.2">
      <c r="A76" s="45" t="s">
        <v>350</v>
      </c>
    </row>
    <row r="77" spans="1:2" x14ac:dyDescent="0.2">
      <c r="A77" s="45"/>
    </row>
    <row r="78" spans="1:2" x14ac:dyDescent="0.2">
      <c r="A78" s="1" t="s">
        <v>162</v>
      </c>
    </row>
    <row r="79" spans="1:2" x14ac:dyDescent="0.2">
      <c r="A79" s="45" t="s">
        <v>269</v>
      </c>
    </row>
    <row r="81" spans="1:12" x14ac:dyDescent="0.2">
      <c r="A81" s="1" t="s">
        <v>23</v>
      </c>
    </row>
    <row r="82" spans="1:12" ht="29.25" customHeight="1" x14ac:dyDescent="0.2">
      <c r="A82" s="316" t="s">
        <v>407</v>
      </c>
      <c r="B82" s="316"/>
      <c r="C82" s="316"/>
      <c r="D82" s="316"/>
      <c r="E82" s="316"/>
      <c r="F82" s="316"/>
      <c r="G82" s="316"/>
      <c r="H82" s="316"/>
      <c r="I82" s="316"/>
      <c r="J82" s="316"/>
      <c r="K82" s="316"/>
      <c r="L82" s="316"/>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59" t="s">
        <v>117</v>
      </c>
      <c r="B3" s="359"/>
      <c r="C3" s="359"/>
      <c r="D3" s="128" t="s">
        <v>116</v>
      </c>
    </row>
    <row r="4" spans="1:4" ht="30" customHeight="1" x14ac:dyDescent="0.2">
      <c r="A4" s="360" t="s">
        <v>113</v>
      </c>
      <c r="B4" s="360"/>
      <c r="C4" s="360"/>
      <c r="D4" s="175" t="s">
        <v>183</v>
      </c>
    </row>
    <row r="5" spans="1:4" ht="48" x14ac:dyDescent="0.2">
      <c r="A5" s="364" t="s">
        <v>184</v>
      </c>
      <c r="B5" s="361"/>
      <c r="C5" s="361"/>
      <c r="D5" s="176" t="s">
        <v>202</v>
      </c>
    </row>
    <row r="6" spans="1:4" ht="57.5" customHeight="1" x14ac:dyDescent="0.2">
      <c r="A6" s="362" t="s">
        <v>185</v>
      </c>
      <c r="B6" s="362"/>
      <c r="C6" s="362"/>
      <c r="D6" s="177" t="s">
        <v>186</v>
      </c>
    </row>
    <row r="7" spans="1:4" ht="32" x14ac:dyDescent="0.2">
      <c r="A7" s="363" t="s">
        <v>21</v>
      </c>
      <c r="B7" s="363"/>
      <c r="C7" s="363"/>
      <c r="D7" s="178" t="s">
        <v>187</v>
      </c>
    </row>
    <row r="11" spans="1:4" x14ac:dyDescent="0.2">
      <c r="A11" s="360" t="s">
        <v>113</v>
      </c>
      <c r="B11" s="360"/>
      <c r="C11" s="360"/>
    </row>
    <row r="12" spans="1:4" x14ac:dyDescent="0.2">
      <c r="A12" s="361" t="s">
        <v>114</v>
      </c>
      <c r="B12" s="361"/>
      <c r="C12" s="361"/>
    </row>
    <row r="13" spans="1:4" x14ac:dyDescent="0.2">
      <c r="A13" s="362" t="s">
        <v>115</v>
      </c>
      <c r="B13" s="362"/>
      <c r="C13" s="362"/>
    </row>
    <row r="14" spans="1:4" x14ac:dyDescent="0.2">
      <c r="A14" s="363" t="s">
        <v>21</v>
      </c>
      <c r="B14" s="363"/>
      <c r="C14" s="363"/>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baseColWidth="10" defaultRowHeight="15" x14ac:dyDescent="0.2"/>
  <sheetData>
    <row r="1" spans="1:9" x14ac:dyDescent="0.2">
      <c r="A1" s="1" t="s">
        <v>402</v>
      </c>
    </row>
    <row r="2" spans="1:9" ht="16" x14ac:dyDescent="0.2">
      <c r="A2" s="263" t="s">
        <v>401</v>
      </c>
    </row>
    <row r="4" spans="1:9" ht="16" thickBot="1" x14ac:dyDescent="0.25"/>
    <row r="5" spans="1:9" x14ac:dyDescent="0.2">
      <c r="A5" s="250" t="s">
        <v>359</v>
      </c>
      <c r="B5" s="251" t="s">
        <v>360</v>
      </c>
      <c r="C5" s="252" t="s">
        <v>361</v>
      </c>
      <c r="D5" s="252" t="s">
        <v>362</v>
      </c>
      <c r="E5" s="252" t="s">
        <v>363</v>
      </c>
      <c r="F5" s="252" t="s">
        <v>364</v>
      </c>
      <c r="G5" s="252" t="s">
        <v>365</v>
      </c>
      <c r="H5" s="252" t="s">
        <v>366</v>
      </c>
      <c r="I5" s="253" t="s">
        <v>367</v>
      </c>
    </row>
    <row r="6" spans="1:9" x14ac:dyDescent="0.2">
      <c r="A6" s="254" t="s">
        <v>368</v>
      </c>
      <c r="B6" s="255">
        <v>64</v>
      </c>
      <c r="C6">
        <v>0</v>
      </c>
      <c r="D6" s="2">
        <v>8</v>
      </c>
      <c r="E6">
        <v>122</v>
      </c>
      <c r="F6">
        <v>0</v>
      </c>
      <c r="G6">
        <v>0</v>
      </c>
      <c r="H6">
        <v>0</v>
      </c>
      <c r="I6" s="256">
        <f t="shared" ref="I6:I27" si="0">AVERAGE(F6:H6)</f>
        <v>0</v>
      </c>
    </row>
    <row r="7" spans="1:9" x14ac:dyDescent="0.2">
      <c r="A7" s="254" t="s">
        <v>369</v>
      </c>
      <c r="B7" s="255">
        <v>112</v>
      </c>
      <c r="C7" s="255">
        <v>11.6</v>
      </c>
      <c r="D7" s="2" t="s">
        <v>370</v>
      </c>
      <c r="E7">
        <v>81</v>
      </c>
      <c r="F7">
        <v>2.8</v>
      </c>
      <c r="G7">
        <v>4.7</v>
      </c>
      <c r="H7">
        <v>4.2</v>
      </c>
      <c r="I7" s="256">
        <f t="shared" si="0"/>
        <v>3.9</v>
      </c>
    </row>
    <row r="8" spans="1:9" x14ac:dyDescent="0.2">
      <c r="A8" s="254" t="s">
        <v>371</v>
      </c>
      <c r="B8" s="255">
        <v>100</v>
      </c>
      <c r="C8">
        <v>14.1</v>
      </c>
      <c r="D8" s="2" t="s">
        <v>370</v>
      </c>
      <c r="E8">
        <v>13</v>
      </c>
      <c r="F8">
        <v>10</v>
      </c>
      <c r="G8">
        <v>-1.3</v>
      </c>
      <c r="H8">
        <v>5.4</v>
      </c>
      <c r="I8" s="256">
        <f t="shared" si="0"/>
        <v>4.7</v>
      </c>
    </row>
    <row r="9" spans="1:9" x14ac:dyDescent="0.2">
      <c r="A9" s="254" t="s">
        <v>372</v>
      </c>
      <c r="B9" s="255">
        <v>97</v>
      </c>
      <c r="C9">
        <v>14.1</v>
      </c>
      <c r="D9" s="2" t="s">
        <v>373</v>
      </c>
      <c r="E9">
        <v>147</v>
      </c>
      <c r="F9">
        <v>3.8</v>
      </c>
      <c r="G9">
        <v>6.3</v>
      </c>
      <c r="H9">
        <v>4</v>
      </c>
      <c r="I9" s="256">
        <f t="shared" si="0"/>
        <v>4.7</v>
      </c>
    </row>
    <row r="10" spans="1:9" x14ac:dyDescent="0.2">
      <c r="A10" s="254" t="s">
        <v>374</v>
      </c>
      <c r="B10" s="255">
        <v>112</v>
      </c>
      <c r="C10">
        <v>16.5</v>
      </c>
      <c r="D10" s="2" t="s">
        <v>375</v>
      </c>
      <c r="E10">
        <v>103</v>
      </c>
      <c r="F10">
        <v>5.9</v>
      </c>
      <c r="G10">
        <v>5.0999999999999996</v>
      </c>
      <c r="H10">
        <v>5.5</v>
      </c>
      <c r="I10" s="256">
        <f t="shared" si="0"/>
        <v>5.5</v>
      </c>
    </row>
    <row r="11" spans="1:9" x14ac:dyDescent="0.2">
      <c r="A11" s="254" t="s">
        <v>376</v>
      </c>
      <c r="B11" s="255">
        <v>100</v>
      </c>
      <c r="C11">
        <v>16.600000000000001</v>
      </c>
      <c r="D11" s="2" t="s">
        <v>377</v>
      </c>
      <c r="E11">
        <v>26</v>
      </c>
      <c r="F11">
        <v>5.5</v>
      </c>
      <c r="G11">
        <v>5.5</v>
      </c>
      <c r="H11">
        <v>5.5</v>
      </c>
      <c r="I11" s="256">
        <f t="shared" si="0"/>
        <v>5.5</v>
      </c>
    </row>
    <row r="12" spans="1:9" x14ac:dyDescent="0.2">
      <c r="A12" s="254" t="s">
        <v>378</v>
      </c>
      <c r="B12" s="255">
        <v>112</v>
      </c>
      <c r="C12" s="255">
        <v>16.600000000000001</v>
      </c>
      <c r="D12" s="2" t="s">
        <v>370</v>
      </c>
      <c r="E12">
        <v>81</v>
      </c>
      <c r="F12">
        <v>3.8</v>
      </c>
      <c r="G12">
        <v>6.6</v>
      </c>
      <c r="H12">
        <v>6.1</v>
      </c>
      <c r="I12" s="256">
        <f t="shared" si="0"/>
        <v>5.5</v>
      </c>
    </row>
    <row r="13" spans="1:9" x14ac:dyDescent="0.2">
      <c r="A13" s="254" t="s">
        <v>379</v>
      </c>
      <c r="B13" s="255">
        <v>100</v>
      </c>
      <c r="C13" s="255">
        <v>17.8</v>
      </c>
      <c r="D13" s="2" t="s">
        <v>380</v>
      </c>
      <c r="E13">
        <v>31</v>
      </c>
      <c r="F13">
        <v>5.9</v>
      </c>
      <c r="G13">
        <v>5.9</v>
      </c>
      <c r="H13">
        <v>5.9</v>
      </c>
      <c r="I13" s="256">
        <f t="shared" si="0"/>
        <v>5.9000000000000012</v>
      </c>
    </row>
    <row r="14" spans="1:9" x14ac:dyDescent="0.2">
      <c r="A14" s="254" t="s">
        <v>381</v>
      </c>
      <c r="B14" s="255">
        <v>100</v>
      </c>
      <c r="C14">
        <v>18</v>
      </c>
      <c r="D14" s="2" t="s">
        <v>382</v>
      </c>
      <c r="E14">
        <v>18</v>
      </c>
      <c r="F14">
        <v>11</v>
      </c>
      <c r="G14">
        <v>5.6</v>
      </c>
      <c r="H14">
        <v>8.1</v>
      </c>
      <c r="I14" s="256">
        <f t="shared" si="0"/>
        <v>8.2333333333333343</v>
      </c>
    </row>
    <row r="15" spans="1:9" x14ac:dyDescent="0.2">
      <c r="A15" s="254" t="s">
        <v>383</v>
      </c>
      <c r="B15" s="255">
        <v>112</v>
      </c>
      <c r="C15" s="255">
        <v>19.3</v>
      </c>
      <c r="D15" s="2" t="s">
        <v>370</v>
      </c>
      <c r="E15">
        <v>81</v>
      </c>
      <c r="F15">
        <v>4.4000000000000004</v>
      </c>
      <c r="G15">
        <v>7.8</v>
      </c>
      <c r="H15">
        <v>7.2</v>
      </c>
      <c r="I15" s="256">
        <f t="shared" si="0"/>
        <v>6.4666666666666659</v>
      </c>
    </row>
    <row r="16" spans="1:9" x14ac:dyDescent="0.2">
      <c r="A16" s="254" t="s">
        <v>384</v>
      </c>
      <c r="B16" s="255">
        <v>100</v>
      </c>
      <c r="C16">
        <v>20.399999999999999</v>
      </c>
      <c r="D16" s="2" t="s">
        <v>385</v>
      </c>
      <c r="E16">
        <v>48</v>
      </c>
      <c r="F16">
        <v>5.9</v>
      </c>
      <c r="G16">
        <v>5.9</v>
      </c>
      <c r="H16">
        <v>8.5</v>
      </c>
      <c r="I16" s="256">
        <f t="shared" si="0"/>
        <v>6.7666666666666666</v>
      </c>
    </row>
    <row r="17" spans="1:9" x14ac:dyDescent="0.2">
      <c r="A17" s="254" t="s">
        <v>386</v>
      </c>
      <c r="B17" s="255">
        <v>100</v>
      </c>
      <c r="C17" s="255">
        <v>20.399999999999999</v>
      </c>
      <c r="D17" s="2" t="s">
        <v>387</v>
      </c>
      <c r="E17">
        <v>45</v>
      </c>
      <c r="F17">
        <v>8.3000000000000007</v>
      </c>
      <c r="G17">
        <v>6.6</v>
      </c>
      <c r="H17">
        <v>5.5</v>
      </c>
      <c r="I17" s="256">
        <f t="shared" si="0"/>
        <v>6.8</v>
      </c>
    </row>
    <row r="18" spans="1:9" x14ac:dyDescent="0.2">
      <c r="A18" s="254" t="s">
        <v>388</v>
      </c>
      <c r="B18" s="255">
        <v>100</v>
      </c>
      <c r="C18" s="255">
        <v>20.5</v>
      </c>
      <c r="D18" s="2" t="s">
        <v>389</v>
      </c>
      <c r="E18">
        <v>2</v>
      </c>
      <c r="F18">
        <v>8.6</v>
      </c>
      <c r="G18">
        <v>5.9</v>
      </c>
      <c r="H18">
        <v>5.9</v>
      </c>
      <c r="I18" s="256">
        <f t="shared" si="0"/>
        <v>6.8</v>
      </c>
    </row>
    <row r="19" spans="1:9" x14ac:dyDescent="0.2">
      <c r="A19" s="254" t="s">
        <v>390</v>
      </c>
      <c r="B19" s="255">
        <v>1</v>
      </c>
      <c r="C19">
        <v>20.9</v>
      </c>
      <c r="D19" s="2" t="s">
        <v>380</v>
      </c>
      <c r="E19">
        <v>430</v>
      </c>
      <c r="F19">
        <v>6.4</v>
      </c>
      <c r="G19">
        <v>8.4</v>
      </c>
      <c r="H19">
        <v>6.1</v>
      </c>
      <c r="I19" s="256">
        <f t="shared" si="0"/>
        <v>6.9666666666666659</v>
      </c>
    </row>
    <row r="20" spans="1:9" x14ac:dyDescent="0.2">
      <c r="A20" s="254" t="s">
        <v>391</v>
      </c>
      <c r="B20" s="255">
        <v>1</v>
      </c>
      <c r="C20">
        <v>20.9</v>
      </c>
      <c r="D20" s="2" t="s">
        <v>380</v>
      </c>
      <c r="E20">
        <v>430</v>
      </c>
      <c r="F20">
        <v>6.4</v>
      </c>
      <c r="G20">
        <v>8.4</v>
      </c>
      <c r="H20">
        <v>6.1</v>
      </c>
      <c r="I20" s="256">
        <f t="shared" si="0"/>
        <v>6.9666666666666659</v>
      </c>
    </row>
    <row r="21" spans="1:9" x14ac:dyDescent="0.2">
      <c r="A21" s="254" t="s">
        <v>392</v>
      </c>
      <c r="B21" s="255">
        <v>112</v>
      </c>
      <c r="C21" s="255">
        <v>21.7</v>
      </c>
      <c r="D21" s="2" t="s">
        <v>370</v>
      </c>
      <c r="E21">
        <v>81</v>
      </c>
      <c r="F21">
        <v>4.9000000000000004</v>
      </c>
      <c r="G21">
        <v>8.6999999999999993</v>
      </c>
      <c r="H21">
        <v>8.1</v>
      </c>
      <c r="I21" s="256">
        <f t="shared" si="0"/>
        <v>7.2333333333333334</v>
      </c>
    </row>
    <row r="22" spans="1:9" x14ac:dyDescent="0.2">
      <c r="A22" s="254" t="s">
        <v>393</v>
      </c>
      <c r="B22" s="255">
        <v>112</v>
      </c>
      <c r="C22" s="255">
        <v>21.8</v>
      </c>
      <c r="D22" s="2" t="s">
        <v>370</v>
      </c>
      <c r="E22">
        <v>81</v>
      </c>
      <c r="F22">
        <v>5</v>
      </c>
      <c r="G22">
        <v>8.6999999999999993</v>
      </c>
      <c r="H22">
        <v>8.1</v>
      </c>
      <c r="I22" s="256">
        <f t="shared" si="0"/>
        <v>7.2666666666666657</v>
      </c>
    </row>
    <row r="23" spans="1:9" x14ac:dyDescent="0.2">
      <c r="A23" s="254" t="s">
        <v>394</v>
      </c>
      <c r="B23" s="255">
        <v>112</v>
      </c>
      <c r="C23" s="255">
        <v>24.2</v>
      </c>
      <c r="D23" s="2" t="s">
        <v>395</v>
      </c>
      <c r="E23">
        <v>80</v>
      </c>
      <c r="F23">
        <v>5.5</v>
      </c>
      <c r="G23">
        <v>9.6999999999999993</v>
      </c>
      <c r="H23">
        <v>9</v>
      </c>
      <c r="I23" s="256">
        <f t="shared" si="0"/>
        <v>8.0666666666666664</v>
      </c>
    </row>
    <row r="24" spans="1:9" x14ac:dyDescent="0.2">
      <c r="A24" s="254" t="s">
        <v>396</v>
      </c>
      <c r="B24" s="255">
        <v>100</v>
      </c>
      <c r="C24" s="255">
        <v>24.8</v>
      </c>
      <c r="D24" s="2" t="s">
        <v>397</v>
      </c>
      <c r="E24">
        <v>5</v>
      </c>
      <c r="F24">
        <v>8.4</v>
      </c>
      <c r="G24">
        <v>5.9</v>
      </c>
      <c r="H24">
        <v>10.5</v>
      </c>
      <c r="I24" s="256">
        <f t="shared" si="0"/>
        <v>8.2666666666666675</v>
      </c>
    </row>
    <row r="25" spans="1:9" x14ac:dyDescent="0.2">
      <c r="A25" s="254" t="s">
        <v>398</v>
      </c>
      <c r="B25" s="255">
        <v>1</v>
      </c>
      <c r="C25" s="255">
        <v>26.1</v>
      </c>
      <c r="D25" s="257" t="s">
        <v>380</v>
      </c>
      <c r="E25" s="255">
        <v>97</v>
      </c>
      <c r="F25" s="255">
        <v>5.9</v>
      </c>
      <c r="G25" s="255">
        <v>10.5</v>
      </c>
      <c r="H25" s="255">
        <v>9.6</v>
      </c>
      <c r="I25" s="256">
        <f t="shared" si="0"/>
        <v>8.6666666666666661</v>
      </c>
    </row>
    <row r="26" spans="1:9" x14ac:dyDescent="0.2">
      <c r="A26" s="254" t="s">
        <v>399</v>
      </c>
      <c r="B26" s="255">
        <v>1</v>
      </c>
      <c r="C26">
        <v>26.1</v>
      </c>
      <c r="D26" s="2" t="s">
        <v>380</v>
      </c>
      <c r="E26">
        <v>72</v>
      </c>
      <c r="F26">
        <v>5.9</v>
      </c>
      <c r="G26">
        <v>10.5</v>
      </c>
      <c r="H26">
        <v>9.6</v>
      </c>
      <c r="I26" s="256">
        <f t="shared" si="0"/>
        <v>8.6666666666666661</v>
      </c>
    </row>
    <row r="27" spans="1:9" ht="16" thickBot="1" x14ac:dyDescent="0.25">
      <c r="A27" s="258" t="s">
        <v>400</v>
      </c>
      <c r="B27" s="259">
        <v>1</v>
      </c>
      <c r="C27" s="260">
        <v>26.1</v>
      </c>
      <c r="D27" s="261" t="s">
        <v>380</v>
      </c>
      <c r="E27" s="260">
        <v>15</v>
      </c>
      <c r="F27" s="260">
        <v>5.9</v>
      </c>
      <c r="G27" s="260">
        <v>10.5</v>
      </c>
      <c r="H27" s="260">
        <v>9.6</v>
      </c>
      <c r="I27" s="262">
        <f t="shared" si="0"/>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G12" sqref="G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270</v>
      </c>
      <c r="D3" s="55">
        <v>4</v>
      </c>
      <c r="E3" s="55" t="s">
        <v>241</v>
      </c>
      <c r="F3" s="55" t="s">
        <v>241</v>
      </c>
      <c r="G3" s="57"/>
      <c r="I3" s="38"/>
      <c r="J3" s="38"/>
      <c r="K3" s="39"/>
    </row>
    <row r="4" spans="1:11" ht="16" x14ac:dyDescent="0.2">
      <c r="A4" s="57">
        <v>45611</v>
      </c>
      <c r="B4" s="149" t="s">
        <v>271</v>
      </c>
      <c r="C4" s="56" t="s">
        <v>272</v>
      </c>
      <c r="D4" s="55">
        <v>0.3</v>
      </c>
      <c r="E4" s="55" t="s">
        <v>241</v>
      </c>
      <c r="F4" s="55" t="s">
        <v>241</v>
      </c>
      <c r="G4" s="57"/>
      <c r="I4" s="38"/>
      <c r="J4" s="38"/>
      <c r="K4" s="40"/>
    </row>
    <row r="5" spans="1:11" ht="40.5" customHeight="1" x14ac:dyDescent="0.2">
      <c r="A5" s="57">
        <v>45622</v>
      </c>
      <c r="B5" s="149" t="s">
        <v>298</v>
      </c>
      <c r="C5" s="56" t="s">
        <v>299</v>
      </c>
      <c r="D5" s="55">
        <v>4</v>
      </c>
      <c r="E5" s="55" t="s">
        <v>241</v>
      </c>
      <c r="F5" s="55" t="s">
        <v>241</v>
      </c>
      <c r="G5" s="57"/>
      <c r="I5" s="38"/>
      <c r="J5" s="38"/>
      <c r="K5" s="40"/>
    </row>
    <row r="6" spans="1:11" ht="38.5" customHeight="1" x14ac:dyDescent="0.2">
      <c r="A6" s="57">
        <v>45666</v>
      </c>
      <c r="B6" s="149" t="s">
        <v>307</v>
      </c>
      <c r="C6" s="56" t="s">
        <v>308</v>
      </c>
      <c r="D6" s="55">
        <v>3</v>
      </c>
      <c r="E6" s="55" t="s">
        <v>241</v>
      </c>
      <c r="F6" s="55" t="s">
        <v>241</v>
      </c>
      <c r="G6" s="57"/>
      <c r="I6" s="38"/>
      <c r="J6" s="38"/>
      <c r="K6" s="39"/>
    </row>
    <row r="7" spans="1:11" ht="64" x14ac:dyDescent="0.2">
      <c r="A7" s="57">
        <v>45670</v>
      </c>
      <c r="B7" s="149" t="s">
        <v>312</v>
      </c>
      <c r="C7" s="38" t="s">
        <v>309</v>
      </c>
      <c r="D7" s="55">
        <v>0.5</v>
      </c>
      <c r="E7" s="55" t="s">
        <v>241</v>
      </c>
      <c r="F7" s="55" t="s">
        <v>241</v>
      </c>
      <c r="G7" s="57"/>
      <c r="I7" s="38"/>
      <c r="J7" s="41"/>
      <c r="K7" s="40"/>
    </row>
    <row r="8" spans="1:11" ht="32" x14ac:dyDescent="0.2">
      <c r="A8" s="57">
        <v>45671</v>
      </c>
      <c r="B8" s="149" t="s">
        <v>339</v>
      </c>
      <c r="C8" s="56" t="s">
        <v>340</v>
      </c>
      <c r="D8" s="55">
        <v>0.5</v>
      </c>
      <c r="E8" s="55" t="s">
        <v>241</v>
      </c>
      <c r="F8" s="55" t="s">
        <v>241</v>
      </c>
      <c r="G8" s="57"/>
      <c r="I8" s="38"/>
      <c r="J8" s="41"/>
      <c r="K8" s="40"/>
    </row>
    <row r="9" spans="1:11" ht="16" x14ac:dyDescent="0.2">
      <c r="A9" s="57">
        <v>45681</v>
      </c>
      <c r="B9" s="149" t="s">
        <v>353</v>
      </c>
      <c r="C9" s="56" t="s">
        <v>354</v>
      </c>
      <c r="D9" s="55">
        <v>0.25</v>
      </c>
      <c r="E9" s="55" t="s">
        <v>241</v>
      </c>
      <c r="F9" s="55" t="s">
        <v>241</v>
      </c>
      <c r="G9" s="57"/>
      <c r="I9" s="38"/>
      <c r="J9" s="38"/>
      <c r="K9" s="40"/>
    </row>
    <row r="10" spans="1:11" ht="32" x14ac:dyDescent="0.2">
      <c r="A10" s="57">
        <v>45681</v>
      </c>
      <c r="B10" s="149" t="s">
        <v>357</v>
      </c>
      <c r="C10" s="56" t="s">
        <v>358</v>
      </c>
      <c r="D10" s="55">
        <v>1</v>
      </c>
      <c r="E10" s="55" t="s">
        <v>241</v>
      </c>
      <c r="F10" s="38" t="s">
        <v>355</v>
      </c>
      <c r="G10" s="57">
        <v>45678</v>
      </c>
      <c r="I10" s="38"/>
      <c r="J10" s="41"/>
      <c r="K10" s="40"/>
    </row>
    <row r="11" spans="1:11" ht="32" x14ac:dyDescent="0.2">
      <c r="A11" s="57">
        <v>45762</v>
      </c>
      <c r="B11" s="149" t="s">
        <v>408</v>
      </c>
      <c r="C11" s="56" t="s">
        <v>409</v>
      </c>
      <c r="D11" s="55">
        <v>12</v>
      </c>
      <c r="E11" s="55" t="s">
        <v>410</v>
      </c>
      <c r="F11" s="55" t="s">
        <v>411</v>
      </c>
      <c r="G11" s="57">
        <v>45702</v>
      </c>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22" t="str">
        <f>'ReadMe-Directions'!A1</f>
        <v>Immersive Model for Lake Mead based on the Principle of Divide Reservoir Inflow</v>
      </c>
      <c r="B1" s="322"/>
      <c r="C1" s="322"/>
      <c r="D1" s="322"/>
      <c r="E1" s="322"/>
      <c r="F1" s="322"/>
      <c r="G1" s="322"/>
    </row>
    <row r="2" spans="1:14" x14ac:dyDescent="0.2">
      <c r="A2" s="1" t="s">
        <v>179</v>
      </c>
      <c r="B2" s="1"/>
    </row>
    <row r="3" spans="1:14" ht="32.25" customHeight="1" x14ac:dyDescent="0.2">
      <c r="A3" s="330" t="s">
        <v>191</v>
      </c>
      <c r="B3" s="330"/>
      <c r="C3" s="330"/>
      <c r="D3" s="330"/>
      <c r="E3" s="330"/>
      <c r="F3" s="330"/>
      <c r="G3" s="330"/>
      <c r="H3" s="84"/>
      <c r="I3" s="84"/>
      <c r="J3" s="84"/>
      <c r="K3" s="84"/>
      <c r="N3" s="137" t="s">
        <v>157</v>
      </c>
    </row>
    <row r="4" spans="1:14" x14ac:dyDescent="0.2">
      <c r="A4" s="127" t="s">
        <v>261</v>
      </c>
      <c r="B4" s="127" t="s">
        <v>19</v>
      </c>
      <c r="C4" s="331" t="s">
        <v>262</v>
      </c>
      <c r="D4" s="332"/>
      <c r="E4" s="332"/>
      <c r="F4" s="332"/>
      <c r="G4" s="333"/>
      <c r="N4" s="141" t="s">
        <v>336</v>
      </c>
    </row>
    <row r="5" spans="1:14" x14ac:dyDescent="0.2">
      <c r="A5" s="90" t="s">
        <v>239</v>
      </c>
      <c r="B5" s="114"/>
      <c r="C5" s="334"/>
      <c r="D5" s="329"/>
      <c r="E5" s="329"/>
      <c r="F5" s="329"/>
      <c r="G5" s="329"/>
      <c r="N5" s="141"/>
    </row>
    <row r="6" spans="1:14" x14ac:dyDescent="0.2">
      <c r="A6" s="90" t="s">
        <v>203</v>
      </c>
      <c r="B6" s="114"/>
      <c r="C6" s="334"/>
      <c r="D6" s="329"/>
      <c r="E6" s="329"/>
      <c r="F6" s="329"/>
      <c r="G6" s="329"/>
      <c r="N6" s="142"/>
    </row>
    <row r="7" spans="1:14" x14ac:dyDescent="0.2">
      <c r="A7" s="90" t="s">
        <v>204</v>
      </c>
      <c r="B7" s="114"/>
      <c r="C7" s="334"/>
      <c r="D7" s="329"/>
      <c r="E7" s="329"/>
      <c r="F7" s="329"/>
      <c r="G7" s="329"/>
      <c r="N7" s="142"/>
    </row>
    <row r="8" spans="1:14" x14ac:dyDescent="0.2">
      <c r="A8" s="114" t="s">
        <v>205</v>
      </c>
      <c r="B8" s="90"/>
      <c r="C8" s="329"/>
      <c r="D8" s="329"/>
      <c r="E8" s="329"/>
      <c r="F8" s="329"/>
      <c r="G8" s="329"/>
      <c r="N8" s="142"/>
    </row>
    <row r="9" spans="1:14" x14ac:dyDescent="0.2">
      <c r="A9" s="114" t="s">
        <v>18</v>
      </c>
      <c r="B9" s="90"/>
      <c r="C9" s="335"/>
      <c r="D9" s="335"/>
      <c r="E9" s="335"/>
      <c r="F9" s="335"/>
      <c r="G9" s="335"/>
      <c r="N9" s="142"/>
    </row>
    <row r="10" spans="1:14" x14ac:dyDescent="0.2">
      <c r="A10" s="90" t="s">
        <v>283</v>
      </c>
      <c r="B10" s="90"/>
      <c r="C10" s="329"/>
      <c r="D10" s="329"/>
      <c r="E10" s="329"/>
      <c r="F10" s="329"/>
      <c r="G10" s="329"/>
      <c r="N10" s="142"/>
    </row>
    <row r="11" spans="1:14" x14ac:dyDescent="0.2">
      <c r="A11" s="13"/>
      <c r="B11" s="2"/>
      <c r="C11"/>
      <c r="N11" s="142"/>
    </row>
    <row r="12" spans="1:14" x14ac:dyDescent="0.2">
      <c r="A12" s="15" t="s">
        <v>111</v>
      </c>
      <c r="B12" s="336" t="s">
        <v>113</v>
      </c>
      <c r="C12" s="337"/>
      <c r="D12" s="338"/>
      <c r="N12" s="141" t="s">
        <v>130</v>
      </c>
    </row>
    <row r="13" spans="1:14" x14ac:dyDescent="0.2">
      <c r="B13" s="339" t="s">
        <v>190</v>
      </c>
      <c r="C13" s="340"/>
      <c r="D13" s="341"/>
    </row>
    <row r="14" spans="1:14" x14ac:dyDescent="0.2">
      <c r="B14" s="323" t="s">
        <v>185</v>
      </c>
      <c r="C14" s="324"/>
      <c r="D14" s="325"/>
      <c r="N14" s="142"/>
    </row>
    <row r="15" spans="1:14" x14ac:dyDescent="0.2">
      <c r="B15" s="326" t="s">
        <v>21</v>
      </c>
      <c r="C15" s="327"/>
      <c r="D15" s="328"/>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356</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294</v>
      </c>
    </row>
    <row r="22" spans="1:14" x14ac:dyDescent="0.2">
      <c r="A22" t="s">
        <v>258</v>
      </c>
      <c r="C22" s="185">
        <v>3.5339999999999998</v>
      </c>
      <c r="D22" s="111" t="s">
        <v>211</v>
      </c>
      <c r="E22" s="28"/>
      <c r="F22" s="28"/>
      <c r="N22" s="141" t="s">
        <v>293</v>
      </c>
    </row>
    <row r="23" spans="1:14" x14ac:dyDescent="0.2">
      <c r="A23" t="s">
        <v>282</v>
      </c>
      <c r="C23" s="12">
        <f>C21-C22</f>
        <v>5.1182179999999997</v>
      </c>
      <c r="D23" s="111"/>
      <c r="E23" s="28"/>
      <c r="N23" s="141" t="s">
        <v>295</v>
      </c>
    </row>
    <row r="24" spans="1:14" x14ac:dyDescent="0.2">
      <c r="A24" t="s">
        <v>311</v>
      </c>
      <c r="B24" s="94">
        <f>TribalWater!H7</f>
        <v>0.16438105840220965</v>
      </c>
      <c r="C24"/>
      <c r="D24" s="111"/>
      <c r="E24" s="28"/>
      <c r="N24" s="141" t="s">
        <v>337</v>
      </c>
    </row>
    <row r="25" spans="1:14" x14ac:dyDescent="0.2">
      <c r="A25" t="s">
        <v>310</v>
      </c>
      <c r="B25" s="230">
        <f>1-B24</f>
        <v>0.83561894159779038</v>
      </c>
      <c r="C25"/>
      <c r="D25" s="111"/>
      <c r="E25" s="28"/>
      <c r="N25" s="141" t="s">
        <v>338</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297</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296</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300</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260</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18" t="e">
        <f>C55/C$54</f>
        <v>#VALUE!</v>
      </c>
      <c r="N55" s="143"/>
      <c r="P55" s="81"/>
    </row>
    <row r="56" spans="1:16" x14ac:dyDescent="0.2">
      <c r="A56" t="str">
        <f>IF(A7="","","       To "&amp;A7)</f>
        <v xml:space="preserve">       To Arizona</v>
      </c>
      <c r="B56" s="95" t="s">
        <v>259</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8" t="e">
        <f t="shared" ref="M56:M58" si="26">C56/C$54</f>
        <v>#VALUE!</v>
      </c>
      <c r="N56" s="143"/>
    </row>
    <row r="57" spans="1:16" x14ac:dyDescent="0.2">
      <c r="A57" t="str">
        <f>IF(A8="","","       To "&amp;A8)</f>
        <v xml:space="preserve">       To Nevada</v>
      </c>
      <c r="B57" s="207">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8" t="e">
        <f t="shared" si="26"/>
        <v>#VALUE!</v>
      </c>
      <c r="N57" s="143"/>
    </row>
    <row r="58" spans="1:16" x14ac:dyDescent="0.2">
      <c r="A58" t="str">
        <f>IF(A9="","","       To "&amp;A9)</f>
        <v xml:space="preserve">       To Mexico</v>
      </c>
      <c r="B58" s="207">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8" t="e">
        <f t="shared" si="26"/>
        <v>#VALUE!</v>
      </c>
      <c r="N58" s="143"/>
    </row>
    <row r="59" spans="1:16" x14ac:dyDescent="0.2">
      <c r="A59" t="str">
        <f>IF(A10="","","       To "&amp;A10)</f>
        <v xml:space="preserve">       To Tribal Nations of the Lower Basin</v>
      </c>
      <c r="B59" s="207">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8"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253</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248</v>
      </c>
      <c r="H134" s="12" t="str">
        <f t="shared" ref="H134:L134" si="85">IF(H$28&lt;&gt;"",SUM(H128:H133),"")</f>
        <v/>
      </c>
      <c r="I134" s="12" t="str">
        <f t="shared" si="85"/>
        <v/>
      </c>
      <c r="J134" s="12" t="str">
        <f t="shared" si="85"/>
        <v/>
      </c>
      <c r="K134" s="12" t="str">
        <f t="shared" si="85"/>
        <v/>
      </c>
      <c r="L134" s="12" t="str">
        <f t="shared" si="85"/>
        <v/>
      </c>
      <c r="N134" s="141" t="s">
        <v>301</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W34"/>
  <sheetViews>
    <sheetView tabSelected="1" topLeftCell="E6" zoomScale="125" zoomScaleNormal="170" workbookViewId="0">
      <selection activeCell="L31" sqref="L31"/>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263</v>
      </c>
    </row>
    <row r="2" spans="1:21" x14ac:dyDescent="0.2">
      <c r="A2" t="s">
        <v>264</v>
      </c>
    </row>
    <row r="3" spans="1:21" x14ac:dyDescent="0.2">
      <c r="A3" t="s">
        <v>213</v>
      </c>
    </row>
    <row r="4" spans="1:21" ht="21" customHeight="1" x14ac:dyDescent="0.2"/>
    <row r="5" spans="1:21" ht="16.5" customHeight="1" x14ac:dyDescent="0.2">
      <c r="I5" s="350" t="s">
        <v>13</v>
      </c>
      <c r="J5" s="350" t="s">
        <v>214</v>
      </c>
      <c r="K5" s="350" t="s">
        <v>215</v>
      </c>
      <c r="L5" s="347" t="s">
        <v>216</v>
      </c>
      <c r="M5" s="348"/>
      <c r="N5" s="348"/>
      <c r="O5" s="348"/>
      <c r="P5" s="349"/>
      <c r="Q5" s="343" t="s">
        <v>217</v>
      </c>
      <c r="R5" s="344"/>
      <c r="S5" s="344"/>
      <c r="T5" s="344"/>
      <c r="U5" s="345"/>
    </row>
    <row r="6" spans="1:21" s="188" customFormat="1" ht="27.5" customHeight="1" x14ac:dyDescent="0.15">
      <c r="B6" s="189" t="s">
        <v>218</v>
      </c>
      <c r="C6" s="189" t="s">
        <v>204</v>
      </c>
      <c r="D6" s="189" t="s">
        <v>205</v>
      </c>
      <c r="E6" s="189" t="s">
        <v>203</v>
      </c>
      <c r="F6" s="189" t="s">
        <v>18</v>
      </c>
      <c r="G6" s="189" t="s">
        <v>25</v>
      </c>
      <c r="I6" s="351"/>
      <c r="J6" s="351"/>
      <c r="K6" s="351"/>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15">
      <c r="B7" s="347" t="s">
        <v>229</v>
      </c>
      <c r="C7" s="348"/>
      <c r="D7" s="348"/>
      <c r="E7" s="348"/>
      <c r="F7" s="348"/>
      <c r="G7" s="349"/>
      <c r="I7" s="192" t="s">
        <v>412</v>
      </c>
      <c r="J7" s="192">
        <f>B13</f>
        <v>0</v>
      </c>
      <c r="K7" s="193">
        <v>9</v>
      </c>
      <c r="L7" s="194">
        <v>2.8</v>
      </c>
      <c r="M7" s="194">
        <v>0.3</v>
      </c>
      <c r="N7" s="194">
        <v>4.4000000000000004</v>
      </c>
      <c r="O7" s="194">
        <v>1.5</v>
      </c>
      <c r="P7" s="194">
        <f>SUM(L7:O7)</f>
        <v>9</v>
      </c>
      <c r="Q7" s="195">
        <f>L7/$K7</f>
        <v>0.31111111111111112</v>
      </c>
      <c r="R7" s="195">
        <f t="shared" ref="Q7:T11" si="0">M7/$K7</f>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230</v>
      </c>
      <c r="J8" s="192">
        <f>B14</f>
        <v>0.3</v>
      </c>
      <c r="K8" s="200">
        <f>K$7-J8</f>
        <v>8.6999999999999993</v>
      </c>
      <c r="L8" s="201">
        <f t="shared" ref="L8:O11" si="1">L$7-C14</f>
        <v>2.67001</v>
      </c>
      <c r="M8" s="201">
        <f t="shared" si="1"/>
        <v>0.29000999999999999</v>
      </c>
      <c r="N8" s="201">
        <f t="shared" si="1"/>
        <v>4.2899900000000004</v>
      </c>
      <c r="O8" s="201">
        <f t="shared" si="1"/>
        <v>1.4499900000000001</v>
      </c>
      <c r="P8" s="194">
        <f t="shared" ref="P8:P11" si="2">SUM(L8:O8)</f>
        <v>8.7000000000000011</v>
      </c>
      <c r="Q8" s="195">
        <f t="shared" si="0"/>
        <v>0.30689770114942533</v>
      </c>
      <c r="R8" s="195">
        <f t="shared" si="0"/>
        <v>3.3334482758620693E-2</v>
      </c>
      <c r="S8" s="195">
        <f t="shared" si="0"/>
        <v>0.49310229885057483</v>
      </c>
      <c r="T8" s="195">
        <f t="shared" si="0"/>
        <v>0.16666551724137935</v>
      </c>
      <c r="U8" s="196">
        <f t="shared" ref="U8:U11" si="3">SUM(Q8:T8)</f>
        <v>1.0000000000000002</v>
      </c>
    </row>
    <row r="9" spans="1:21" s="197" customFormat="1" ht="14" x14ac:dyDescent="0.15">
      <c r="B9" s="198" t="s">
        <v>231</v>
      </c>
      <c r="C9" s="202">
        <v>0.8</v>
      </c>
      <c r="D9" s="202">
        <v>3.3300000000000003E-2</v>
      </c>
      <c r="E9" s="202">
        <v>0</v>
      </c>
      <c r="F9" s="202">
        <v>0.16669999999999999</v>
      </c>
      <c r="G9" s="202">
        <f t="shared" ref="G9:G10" si="4">SUM(C9:F9)</f>
        <v>1</v>
      </c>
      <c r="I9" s="192" t="s">
        <v>232</v>
      </c>
      <c r="J9" s="192">
        <f>B15</f>
        <v>0.4</v>
      </c>
      <c r="K9" s="200">
        <f>K$7-J9</f>
        <v>8.6</v>
      </c>
      <c r="L9" s="201">
        <f t="shared" si="1"/>
        <v>2.6266799999999999</v>
      </c>
      <c r="M9" s="201">
        <f t="shared" si="1"/>
        <v>0.28667999999999999</v>
      </c>
      <c r="N9" s="201">
        <f t="shared" si="1"/>
        <v>4.2533200000000004</v>
      </c>
      <c r="O9" s="201">
        <f t="shared" si="1"/>
        <v>1.4333199999999999</v>
      </c>
      <c r="P9" s="194">
        <f t="shared" si="2"/>
        <v>8.6</v>
      </c>
      <c r="Q9" s="195">
        <f t="shared" si="0"/>
        <v>0.30542790697674421</v>
      </c>
      <c r="R9" s="195">
        <f t="shared" si="0"/>
        <v>3.3334883720930235E-2</v>
      </c>
      <c r="S9" s="195">
        <f t="shared" si="0"/>
        <v>0.49457209302325589</v>
      </c>
      <c r="T9" s="195">
        <f t="shared" si="0"/>
        <v>0.16666511627906977</v>
      </c>
      <c r="U9" s="196">
        <f t="shared" si="3"/>
        <v>1</v>
      </c>
    </row>
    <row r="10" spans="1:21" s="197" customFormat="1" ht="14" x14ac:dyDescent="0.15">
      <c r="B10" s="198" t="s">
        <v>233</v>
      </c>
      <c r="C10" s="202">
        <v>0.43330000000000002</v>
      </c>
      <c r="D10" s="202">
        <v>3.3300000000000003E-2</v>
      </c>
      <c r="E10" s="202">
        <v>0.36670000000000003</v>
      </c>
      <c r="F10" s="202">
        <v>0.16669999999999999</v>
      </c>
      <c r="G10" s="202">
        <f t="shared" si="4"/>
        <v>1</v>
      </c>
      <c r="I10" s="192" t="s">
        <v>234</v>
      </c>
      <c r="J10" s="192">
        <f>B16</f>
        <v>1</v>
      </c>
      <c r="K10" s="200">
        <f>K$7-J10</f>
        <v>8</v>
      </c>
      <c r="L10" s="201">
        <f t="shared" si="1"/>
        <v>2.3666999999999998</v>
      </c>
      <c r="M10" s="201">
        <f t="shared" si="1"/>
        <v>0.26669999999999999</v>
      </c>
      <c r="N10" s="201">
        <f t="shared" si="1"/>
        <v>4.0333000000000006</v>
      </c>
      <c r="O10" s="201">
        <f t="shared" si="1"/>
        <v>1.3332999999999999</v>
      </c>
      <c r="P10" s="194">
        <f t="shared" si="2"/>
        <v>8</v>
      </c>
      <c r="Q10" s="195">
        <f t="shared" si="0"/>
        <v>0.29583749999999998</v>
      </c>
      <c r="R10" s="195">
        <f t="shared" si="0"/>
        <v>3.3337499999999999E-2</v>
      </c>
      <c r="S10" s="195">
        <f t="shared" si="0"/>
        <v>0.50416250000000007</v>
      </c>
      <c r="T10" s="195">
        <f t="shared" si="0"/>
        <v>0.16666249999999999</v>
      </c>
      <c r="U10" s="196">
        <f t="shared" si="3"/>
        <v>1</v>
      </c>
    </row>
    <row r="11" spans="1:21" s="197" customFormat="1" ht="14" x14ac:dyDescent="0.15">
      <c r="B11" s="198" t="s">
        <v>235</v>
      </c>
      <c r="C11" s="342" t="s">
        <v>236</v>
      </c>
      <c r="D11" s="342"/>
      <c r="E11" s="342"/>
      <c r="F11" s="342"/>
      <c r="G11" s="342"/>
      <c r="I11" s="192" t="s">
        <v>237</v>
      </c>
      <c r="J11" s="192">
        <f>B17</f>
        <v>1.5</v>
      </c>
      <c r="K11" s="200">
        <f>K$7-J11</f>
        <v>7.5</v>
      </c>
      <c r="L11" s="201">
        <f t="shared" si="1"/>
        <v>2.1500499999999998</v>
      </c>
      <c r="M11" s="201">
        <f t="shared" si="1"/>
        <v>0.25004999999999999</v>
      </c>
      <c r="N11" s="201">
        <f t="shared" si="1"/>
        <v>3.8499500000000002</v>
      </c>
      <c r="O11" s="201">
        <f t="shared" si="1"/>
        <v>1.2499500000000001</v>
      </c>
      <c r="P11" s="194">
        <f t="shared" si="2"/>
        <v>7.5</v>
      </c>
      <c r="Q11" s="195">
        <f t="shared" si="0"/>
        <v>0.28667333333333328</v>
      </c>
      <c r="R11" s="195">
        <f t="shared" si="0"/>
        <v>3.3340000000000002E-2</v>
      </c>
      <c r="S11" s="195">
        <f t="shared" si="0"/>
        <v>0.51332666666666671</v>
      </c>
      <c r="T11" s="195">
        <f t="shared" si="0"/>
        <v>0.16666</v>
      </c>
      <c r="U11" s="196">
        <f t="shared" si="3"/>
        <v>1</v>
      </c>
    </row>
    <row r="12" spans="1:21" s="197" customFormat="1" ht="14" x14ac:dyDescent="0.15">
      <c r="B12" s="346" t="s">
        <v>238</v>
      </c>
      <c r="C12" s="346"/>
      <c r="D12" s="346"/>
      <c r="E12" s="346"/>
      <c r="F12" s="346"/>
      <c r="G12" s="346"/>
      <c r="I12" s="192" t="s">
        <v>413</v>
      </c>
      <c r="J12" s="192">
        <v>2.7</v>
      </c>
      <c r="K12" s="200">
        <f>K$7-J12</f>
        <v>6.3</v>
      </c>
      <c r="L12" s="201">
        <f>L11-C10*($K11-$K12)</f>
        <v>1.6300899999999996</v>
      </c>
      <c r="M12" s="201">
        <f>M11-D10*($K11-$K12)</f>
        <v>0.21009</v>
      </c>
      <c r="N12" s="201">
        <f>N11-E10*($K11-$K12)</f>
        <v>3.40991</v>
      </c>
      <c r="O12" s="201">
        <f>O11-F10*($K11-$K12)</f>
        <v>1.0499100000000001</v>
      </c>
      <c r="P12" s="201">
        <f>P11-G10*($K11-$K12)</f>
        <v>6.3</v>
      </c>
      <c r="Q12" s="195">
        <f>L12/$K12</f>
        <v>0.25874444444444439</v>
      </c>
      <c r="R12" s="195">
        <f>M12/$K12</f>
        <v>3.334761904761905E-2</v>
      </c>
      <c r="S12" s="195">
        <f>N12/$K12</f>
        <v>0.5412555555555556</v>
      </c>
      <c r="T12" s="195">
        <f>O12/$K12</f>
        <v>0.16665238095238097</v>
      </c>
      <c r="U12" s="196">
        <f>SUM(Q12:T12)</f>
        <v>1</v>
      </c>
    </row>
    <row r="13" spans="1:21" s="197" customFormat="1" ht="14" x14ac:dyDescent="0.15">
      <c r="B13" s="198">
        <v>0</v>
      </c>
      <c r="C13" s="203">
        <v>0</v>
      </c>
      <c r="D13" s="203">
        <v>0</v>
      </c>
      <c r="E13" s="203">
        <v>0</v>
      </c>
      <c r="F13" s="203">
        <v>0</v>
      </c>
      <c r="G13" s="203">
        <f>SUM(C13:F13)</f>
        <v>0</v>
      </c>
      <c r="I13" s="192" t="s">
        <v>414</v>
      </c>
      <c r="J13" s="264">
        <f>9-K13</f>
        <v>4</v>
      </c>
      <c r="K13" s="268">
        <v>5</v>
      </c>
      <c r="L13" s="265">
        <f>L11-C10*($K11-$K13)</f>
        <v>1.0667999999999997</v>
      </c>
      <c r="M13" s="265">
        <f>M11-D10*($K11-$K13)</f>
        <v>0.1668</v>
      </c>
      <c r="N13" s="265">
        <f>N11-E10*($K11-$K13)</f>
        <v>2.9332000000000003</v>
      </c>
      <c r="O13" s="265">
        <f>O11-F10*($K11-$K13)</f>
        <v>0.83320000000000016</v>
      </c>
      <c r="P13" s="265">
        <f>P11-G10*($K11-$K13)</f>
        <v>5</v>
      </c>
      <c r="Q13" s="195">
        <f>L13/$K13</f>
        <v>0.21335999999999994</v>
      </c>
      <c r="R13" s="195">
        <f>M13/$K13</f>
        <v>3.3360000000000001E-2</v>
      </c>
      <c r="S13" s="195">
        <f>N13/$K13</f>
        <v>0.58664000000000005</v>
      </c>
      <c r="T13" s="195">
        <f>O13/$K13</f>
        <v>0.16664000000000004</v>
      </c>
      <c r="U13" s="196">
        <f>SUM(Q13:T13)</f>
        <v>1</v>
      </c>
    </row>
    <row r="14" spans="1:21" s="197" customFormat="1" ht="14" x14ac:dyDescent="0.15">
      <c r="B14" s="198">
        <v>0.3</v>
      </c>
      <c r="C14" s="201">
        <f>$B14*C$10</f>
        <v>0.12998999999999999</v>
      </c>
      <c r="D14" s="201">
        <f t="shared" ref="D14:F17" si="5">$B14*D$10</f>
        <v>9.9900000000000006E-3</v>
      </c>
      <c r="E14" s="201">
        <f t="shared" si="5"/>
        <v>0.11001000000000001</v>
      </c>
      <c r="F14" s="201">
        <f t="shared" si="5"/>
        <v>5.0009999999999992E-2</v>
      </c>
      <c r="G14" s="201">
        <f>SUM(C14:F14)</f>
        <v>0.3</v>
      </c>
      <c r="I14" s="192" t="s">
        <v>415</v>
      </c>
      <c r="J14" s="264">
        <f>9-K14</f>
        <v>4.4000000000000004</v>
      </c>
      <c r="K14" s="264">
        <v>4.5999999999999996</v>
      </c>
      <c r="L14" s="265">
        <f>L11-C10*($K11-$K14)</f>
        <v>0.89347999999999961</v>
      </c>
      <c r="M14" s="265">
        <f>M11-D10*($K11-$K14)</f>
        <v>0.15347999999999998</v>
      </c>
      <c r="N14" s="265">
        <f>N11-E10*($K11-$K14)</f>
        <v>2.7865200000000003</v>
      </c>
      <c r="O14" s="265">
        <f>O11-F10*($K11-$K14)</f>
        <v>0.76652000000000009</v>
      </c>
      <c r="P14" s="265">
        <f>P11-G10*($K11-$K14)</f>
        <v>4.5999999999999996</v>
      </c>
      <c r="Q14" s="195">
        <f>L14/$K14</f>
        <v>0.19423478260869559</v>
      </c>
      <c r="R14" s="195">
        <f>M14/$K14</f>
        <v>3.3365217391304346E-2</v>
      </c>
      <c r="S14" s="195">
        <f>N14/$K14</f>
        <v>0.60576521739130451</v>
      </c>
      <c r="T14" s="195">
        <f>O14/$K14</f>
        <v>0.16663478260869569</v>
      </c>
      <c r="U14" s="196">
        <f>SUM(Q14:T14)</f>
        <v>1</v>
      </c>
    </row>
    <row r="15" spans="1:21" s="197" customFormat="1" ht="14" x14ac:dyDescent="0.15">
      <c r="B15" s="198">
        <v>0.4</v>
      </c>
      <c r="C15" s="201">
        <f t="shared" ref="C15:C17" si="6">$B15*C$10</f>
        <v>0.17332000000000003</v>
      </c>
      <c r="D15" s="201">
        <f t="shared" si="5"/>
        <v>1.3320000000000002E-2</v>
      </c>
      <c r="E15" s="201">
        <f t="shared" si="5"/>
        <v>0.14668</v>
      </c>
      <c r="F15" s="201">
        <f t="shared" si="5"/>
        <v>6.6680000000000003E-2</v>
      </c>
      <c r="G15" s="201">
        <f>SUM(C15:F15)</f>
        <v>0.40000000000000008</v>
      </c>
      <c r="I15" s="192" t="s">
        <v>416</v>
      </c>
      <c r="J15" s="264">
        <f>9-K15</f>
        <v>5.2</v>
      </c>
      <c r="K15" s="264">
        <v>3.8</v>
      </c>
      <c r="L15" s="265">
        <f>L11-C10*($K11-$K15)</f>
        <v>0.54683999999999955</v>
      </c>
      <c r="M15" s="265">
        <f>M11-D10*($K11-$K15)</f>
        <v>0.12683999999999998</v>
      </c>
      <c r="N15" s="265">
        <f>N11-E10*($K11-$K15)</f>
        <v>2.49316</v>
      </c>
      <c r="O15" s="265">
        <f>O11-F10*($K11-$K15)</f>
        <v>0.63316000000000017</v>
      </c>
      <c r="P15" s="265">
        <f>P11-G10*($K11-$K15)</f>
        <v>3.8</v>
      </c>
      <c r="Q15" s="195">
        <f>L15/$K15</f>
        <v>0.14390526315789462</v>
      </c>
      <c r="R15" s="195">
        <f>M15/$K15</f>
        <v>3.337894736842105E-2</v>
      </c>
      <c r="S15" s="195">
        <f>N15/$K15</f>
        <v>0.65609473684210529</v>
      </c>
      <c r="T15" s="195">
        <f>O15/$K15</f>
        <v>0.166621052631579</v>
      </c>
      <c r="U15" s="196">
        <f>SUM(Q15:T15)</f>
        <v>1</v>
      </c>
    </row>
    <row r="16" spans="1:21" s="197" customFormat="1" ht="14" x14ac:dyDescent="0.15">
      <c r="B16" s="198">
        <v>1</v>
      </c>
      <c r="C16" s="201">
        <f t="shared" si="6"/>
        <v>0.43330000000000002</v>
      </c>
      <c r="D16" s="201">
        <f t="shared" si="5"/>
        <v>3.3300000000000003E-2</v>
      </c>
      <c r="E16" s="201">
        <f t="shared" si="5"/>
        <v>0.36670000000000003</v>
      </c>
      <c r="F16" s="201">
        <f t="shared" si="5"/>
        <v>0.16669999999999999</v>
      </c>
      <c r="G16" s="201">
        <f t="shared" ref="G16:G17" si="7">SUM(C16:F16)</f>
        <v>1</v>
      </c>
      <c r="I16" s="192" t="s">
        <v>417</v>
      </c>
      <c r="J16" s="192">
        <v>8</v>
      </c>
      <c r="K16" s="200">
        <f>K$7-J16</f>
        <v>1</v>
      </c>
      <c r="L16" s="201">
        <f>$K16*Q16</f>
        <v>0.25874444444444439</v>
      </c>
      <c r="M16" s="201">
        <f>$K16*R16</f>
        <v>3.334761904761905E-2</v>
      </c>
      <c r="N16" s="201">
        <f>$K16*S16</f>
        <v>0.5412555555555556</v>
      </c>
      <c r="O16" s="201">
        <f>$K16*T16</f>
        <v>0.16665238095238097</v>
      </c>
      <c r="P16" s="201">
        <f>$K16*U16</f>
        <v>1</v>
      </c>
      <c r="Q16" s="195">
        <f>Q12</f>
        <v>0.25874444444444439</v>
      </c>
      <c r="R16" s="195">
        <f>R12</f>
        <v>3.334761904761905E-2</v>
      </c>
      <c r="S16" s="195">
        <f>S12</f>
        <v>0.5412555555555556</v>
      </c>
      <c r="T16" s="195">
        <f>T12</f>
        <v>0.16665238095238097</v>
      </c>
      <c r="U16" s="219">
        <f>U12</f>
        <v>1</v>
      </c>
    </row>
    <row r="17" spans="2:23" s="197" customFormat="1" ht="14" x14ac:dyDescent="0.15">
      <c r="B17" s="198">
        <v>1.5</v>
      </c>
      <c r="C17" s="201">
        <f t="shared" si="6"/>
        <v>0.64995000000000003</v>
      </c>
      <c r="D17" s="201">
        <f t="shared" si="5"/>
        <v>4.9950000000000008E-2</v>
      </c>
      <c r="E17" s="201">
        <f t="shared" si="5"/>
        <v>0.55005000000000004</v>
      </c>
      <c r="F17" s="201">
        <f t="shared" si="5"/>
        <v>0.25004999999999999</v>
      </c>
      <c r="G17" s="201">
        <f t="shared" si="7"/>
        <v>1.5</v>
      </c>
      <c r="I17" s="365"/>
    </row>
    <row r="18" spans="2:23" s="197" customFormat="1" ht="14" x14ac:dyDescent="0.15">
      <c r="B18" s="198" t="s">
        <v>235</v>
      </c>
      <c r="C18" s="342" t="s">
        <v>236</v>
      </c>
      <c r="D18" s="342"/>
      <c r="E18" s="342"/>
      <c r="F18" s="342"/>
      <c r="G18" s="342"/>
      <c r="I18" s="370" t="s">
        <v>418</v>
      </c>
    </row>
    <row r="19" spans="2:23" s="197" customFormat="1" ht="14" x14ac:dyDescent="0.15">
      <c r="I19" s="204" t="s">
        <v>419</v>
      </c>
      <c r="J19" s="205"/>
      <c r="K19" s="205"/>
      <c r="L19" s="206"/>
      <c r="M19" s="206"/>
      <c r="N19" s="206"/>
      <c r="O19" s="206"/>
      <c r="P19" s="206"/>
      <c r="Q19" s="208"/>
      <c r="R19" s="208"/>
      <c r="S19" s="208"/>
      <c r="T19" s="208"/>
      <c r="U19" s="208"/>
    </row>
    <row r="20" spans="2:23" s="197" customFormat="1" ht="14" x14ac:dyDescent="0.15">
      <c r="B20" s="365"/>
      <c r="C20" s="365"/>
      <c r="D20" s="365"/>
      <c r="E20" s="365"/>
      <c r="F20" s="365"/>
      <c r="G20" s="365"/>
      <c r="I20" s="204" t="s">
        <v>420</v>
      </c>
      <c r="J20" s="205"/>
      <c r="K20" s="205"/>
      <c r="L20" s="206"/>
      <c r="M20" s="206"/>
      <c r="N20" s="206"/>
      <c r="O20" s="206"/>
      <c r="P20" s="206"/>
      <c r="Q20" s="208"/>
      <c r="R20" s="208"/>
      <c r="S20" s="208"/>
      <c r="T20" s="208"/>
      <c r="U20" s="208"/>
    </row>
    <row r="21" spans="2:23" s="197" customFormat="1" ht="14" x14ac:dyDescent="0.15">
      <c r="B21" s="366"/>
      <c r="C21" s="367"/>
      <c r="D21" s="367"/>
      <c r="E21" s="367"/>
      <c r="F21" s="367"/>
      <c r="G21" s="367"/>
      <c r="J21" s="205"/>
      <c r="K21" s="205"/>
      <c r="L21" s="206"/>
      <c r="M21" s="206"/>
      <c r="N21" s="206"/>
      <c r="O21" s="206"/>
      <c r="P21" s="206"/>
      <c r="Q21" s="266"/>
      <c r="R21" s="266"/>
      <c r="S21" s="266"/>
      <c r="T21" s="266"/>
      <c r="U21" s="267"/>
    </row>
    <row r="22" spans="2:23" s="197" customFormat="1" ht="17" customHeight="1" x14ac:dyDescent="0.15">
      <c r="B22" s="366"/>
      <c r="C22" s="368"/>
      <c r="D22" s="368"/>
      <c r="E22" s="368"/>
      <c r="F22" s="368"/>
      <c r="G22" s="368"/>
      <c r="I22" s="353" t="s">
        <v>423</v>
      </c>
      <c r="J22" s="353"/>
      <c r="K22" s="353"/>
      <c r="L22" s="353"/>
      <c r="M22" s="353"/>
      <c r="N22" s="353"/>
      <c r="O22" s="353"/>
      <c r="P22" s="353"/>
      <c r="Q22" s="353"/>
      <c r="R22" s="353"/>
      <c r="S22" s="353"/>
      <c r="T22" s="353"/>
      <c r="U22" s="353"/>
      <c r="V22" s="353"/>
      <c r="W22" s="353"/>
    </row>
    <row r="23" spans="2:23" s="197" customFormat="1" ht="15" customHeight="1" x14ac:dyDescent="0.15">
      <c r="B23" s="366"/>
      <c r="C23" s="368"/>
      <c r="D23" s="368"/>
      <c r="E23" s="368"/>
      <c r="F23" s="368"/>
      <c r="G23" s="368"/>
      <c r="I23" s="355" t="s">
        <v>13</v>
      </c>
      <c r="J23" s="355" t="s">
        <v>214</v>
      </c>
      <c r="K23" s="355" t="s">
        <v>215</v>
      </c>
      <c r="L23" s="354" t="s">
        <v>216</v>
      </c>
      <c r="M23" s="354"/>
      <c r="N23" s="354"/>
      <c r="O23" s="354"/>
      <c r="P23" s="354"/>
      <c r="Q23" s="354"/>
      <c r="R23" s="352" t="s">
        <v>217</v>
      </c>
      <c r="S23" s="352"/>
      <c r="T23" s="352"/>
      <c r="U23" s="352"/>
      <c r="V23" s="352"/>
      <c r="W23" s="352"/>
    </row>
    <row r="24" spans="2:23" s="197" customFormat="1" ht="44" customHeight="1" x14ac:dyDescent="0.15">
      <c r="B24" s="366"/>
      <c r="C24" s="368"/>
      <c r="D24" s="368"/>
      <c r="E24" s="368"/>
      <c r="F24" s="368"/>
      <c r="G24" s="368"/>
      <c r="I24" s="355"/>
      <c r="J24" s="355"/>
      <c r="K24" s="355"/>
      <c r="L24" s="190" t="s">
        <v>219</v>
      </c>
      <c r="M24" s="190" t="s">
        <v>220</v>
      </c>
      <c r="N24" s="190" t="s">
        <v>221</v>
      </c>
      <c r="O24" s="190" t="s">
        <v>421</v>
      </c>
      <c r="P24" s="190" t="s">
        <v>422</v>
      </c>
      <c r="Q24" s="190" t="s">
        <v>223</v>
      </c>
      <c r="R24" s="191" t="s">
        <v>224</v>
      </c>
      <c r="S24" s="191" t="s">
        <v>225</v>
      </c>
      <c r="T24" s="191" t="s">
        <v>226</v>
      </c>
      <c r="U24" s="191" t="s">
        <v>227</v>
      </c>
      <c r="V24" s="191" t="s">
        <v>422</v>
      </c>
      <c r="W24" s="191" t="s">
        <v>228</v>
      </c>
    </row>
    <row r="25" spans="2:23" s="197" customFormat="1" ht="14" x14ac:dyDescent="0.15">
      <c r="B25" s="365"/>
      <c r="C25" s="365"/>
      <c r="D25" s="365"/>
      <c r="E25" s="365"/>
      <c r="F25" s="365"/>
      <c r="G25" s="365"/>
      <c r="I25" s="264" t="s">
        <v>412</v>
      </c>
      <c r="J25" s="264">
        <v>0</v>
      </c>
      <c r="K25" s="268">
        <v>9</v>
      </c>
      <c r="L25" s="265">
        <f>L7-(0.824*P25)</f>
        <v>2.0171999999999999</v>
      </c>
      <c r="M25" s="265">
        <v>0.3</v>
      </c>
      <c r="N25" s="265">
        <f>N7-(P25*0.164)</f>
        <v>4.2442000000000002</v>
      </c>
      <c r="O25" s="265">
        <v>1.5</v>
      </c>
      <c r="P25" s="201">
        <v>0.95</v>
      </c>
      <c r="Q25" s="265">
        <f>SUM(L25:P25)</f>
        <v>9.0113999999999983</v>
      </c>
      <c r="R25" s="269">
        <f>L25/K25</f>
        <v>0.22413333333333332</v>
      </c>
      <c r="S25" s="269">
        <v>3.3333333333333333E-2</v>
      </c>
      <c r="T25" s="269">
        <f>N25/K25</f>
        <v>0.47157777777777782</v>
      </c>
      <c r="U25" s="269">
        <v>0.16666666666666666</v>
      </c>
      <c r="V25" s="270">
        <f>P25/K25</f>
        <v>0.10555555555555556</v>
      </c>
      <c r="W25" s="271">
        <f>SUM(R25:V25)</f>
        <v>1.0012666666666667</v>
      </c>
    </row>
    <row r="26" spans="2:23" s="197" customFormat="1" ht="14" x14ac:dyDescent="0.15">
      <c r="B26" s="365"/>
      <c r="C26" s="369"/>
      <c r="D26" s="369"/>
      <c r="E26" s="369"/>
      <c r="F26" s="369"/>
      <c r="G26" s="369"/>
      <c r="I26" s="264" t="s">
        <v>230</v>
      </c>
      <c r="J26" s="264">
        <v>0.3</v>
      </c>
      <c r="K26" s="268">
        <v>8.6999999999999993</v>
      </c>
      <c r="L26" s="265">
        <f t="shared" ref="L26:L34" si="8">L8-(0.824*P26)</f>
        <v>0.27740520160000015</v>
      </c>
      <c r="M26" s="265">
        <v>0.29000999999999999</v>
      </c>
      <c r="N26" s="265">
        <f t="shared" ref="N26:N34" si="9">N8-(P26*0.164)</f>
        <v>3.8137919576000003</v>
      </c>
      <c r="O26" s="265">
        <v>1.4499900000000001</v>
      </c>
      <c r="P26" s="201">
        <f>(0.164*N8)+(0.824*L8)</f>
        <v>2.9036466000000001</v>
      </c>
      <c r="Q26" s="265">
        <f t="shared" ref="Q26:Q28" si="10">SUM(L26:P26)</f>
        <v>8.7348437592000003</v>
      </c>
      <c r="R26" s="269">
        <f t="shared" ref="R26:R29" si="11">L26/K26</f>
        <v>3.188565535632186E-2</v>
      </c>
      <c r="S26" s="269">
        <v>3.3334482758620693E-2</v>
      </c>
      <c r="T26" s="269">
        <f t="shared" ref="T26:T29" si="12">N26/K26</f>
        <v>0.43836689167816101</v>
      </c>
      <c r="U26" s="269">
        <v>0.16666551724137935</v>
      </c>
      <c r="V26" s="270">
        <f t="shared" ref="V26:V29" si="13">P26/K26</f>
        <v>0.33375248275862074</v>
      </c>
      <c r="W26" s="271">
        <f t="shared" ref="W26:W29" si="14">SUM(R26:V26)</f>
        <v>1.0040050297931036</v>
      </c>
    </row>
    <row r="27" spans="2:23" s="197" customFormat="1" ht="14" x14ac:dyDescent="0.15">
      <c r="B27" s="365"/>
      <c r="C27" s="369"/>
      <c r="D27" s="369"/>
      <c r="E27" s="369"/>
      <c r="F27" s="369"/>
      <c r="G27" s="369"/>
      <c r="I27" s="264" t="s">
        <v>232</v>
      </c>
      <c r="J27" s="264">
        <v>0.4</v>
      </c>
      <c r="K27" s="268">
        <v>8.6</v>
      </c>
      <c r="L27" s="265">
        <f t="shared" si="8"/>
        <v>0.2684506687999999</v>
      </c>
      <c r="M27" s="265">
        <v>0.28667999999999999</v>
      </c>
      <c r="N27" s="265">
        <f t="shared" si="9"/>
        <v>3.7839636768000005</v>
      </c>
      <c r="O27" s="265">
        <v>1.4333199999999999</v>
      </c>
      <c r="P27" s="201">
        <f t="shared" ref="P27:P29" si="15">(0.164*N9)+(0.824*L9)</f>
        <v>2.8619288000000003</v>
      </c>
      <c r="Q27" s="265">
        <f t="shared" si="10"/>
        <v>8.6343431456000008</v>
      </c>
      <c r="R27" s="269">
        <f t="shared" si="11"/>
        <v>3.1215194046511619E-2</v>
      </c>
      <c r="S27" s="269">
        <v>3.3334883720930235E-2</v>
      </c>
      <c r="T27" s="269">
        <f t="shared" si="12"/>
        <v>0.43999577637209308</v>
      </c>
      <c r="U27" s="269">
        <v>0.16666511627906977</v>
      </c>
      <c r="V27" s="270">
        <f t="shared" si="13"/>
        <v>0.33278241860465119</v>
      </c>
      <c r="W27" s="271">
        <f t="shared" si="14"/>
        <v>1.0039933890232557</v>
      </c>
    </row>
    <row r="28" spans="2:23" s="197" customFormat="1" ht="14" x14ac:dyDescent="0.15">
      <c r="B28" s="365"/>
      <c r="C28" s="365"/>
      <c r="D28" s="365"/>
      <c r="E28" s="365"/>
      <c r="F28" s="365"/>
      <c r="G28" s="365"/>
      <c r="I28" s="264" t="s">
        <v>234</v>
      </c>
      <c r="J28" s="264">
        <v>1</v>
      </c>
      <c r="K28" s="268">
        <v>8</v>
      </c>
      <c r="L28" s="265">
        <f t="shared" si="8"/>
        <v>0.21472347200000019</v>
      </c>
      <c r="M28" s="265">
        <v>0.26669999999999999</v>
      </c>
      <c r="N28" s="265">
        <f t="shared" si="9"/>
        <v>3.6049939920000007</v>
      </c>
      <c r="O28" s="265">
        <v>1.3332999999999999</v>
      </c>
      <c r="P28" s="201">
        <f t="shared" si="15"/>
        <v>2.6116219999999997</v>
      </c>
      <c r="Q28" s="265">
        <f t="shared" si="10"/>
        <v>8.031339464000002</v>
      </c>
      <c r="R28" s="269">
        <f t="shared" si="11"/>
        <v>2.6840434000000024E-2</v>
      </c>
      <c r="S28" s="269">
        <v>3.3337499999999999E-2</v>
      </c>
      <c r="T28" s="269">
        <f t="shared" si="12"/>
        <v>0.45062424900000009</v>
      </c>
      <c r="U28" s="269">
        <v>0.16666249999999999</v>
      </c>
      <c r="V28" s="270">
        <f t="shared" si="13"/>
        <v>0.32645274999999996</v>
      </c>
      <c r="W28" s="271">
        <f t="shared" si="14"/>
        <v>1.0039174330000002</v>
      </c>
    </row>
    <row r="29" spans="2:23" s="197" customFormat="1" ht="14" x14ac:dyDescent="0.15">
      <c r="B29" s="365"/>
      <c r="C29" s="369"/>
      <c r="D29" s="369"/>
      <c r="E29" s="369"/>
      <c r="F29" s="369"/>
      <c r="G29" s="369"/>
      <c r="I29" s="264" t="s">
        <v>237</v>
      </c>
      <c r="J29" s="264">
        <v>1.5</v>
      </c>
      <c r="K29" s="268">
        <v>7.5</v>
      </c>
      <c r="L29" s="265">
        <f t="shared" si="8"/>
        <v>0.16995080800000006</v>
      </c>
      <c r="M29" s="265">
        <v>0.25004999999999999</v>
      </c>
      <c r="N29" s="265">
        <f t="shared" si="9"/>
        <v>3.4558525880000004</v>
      </c>
      <c r="O29" s="265">
        <v>1.2499500000000001</v>
      </c>
      <c r="P29" s="201">
        <f t="shared" si="15"/>
        <v>2.4030329999999998</v>
      </c>
      <c r="Q29" s="265">
        <f>SUM(L29:P29)</f>
        <v>7.528836396</v>
      </c>
      <c r="R29" s="269">
        <f t="shared" si="11"/>
        <v>2.2660107733333341E-2</v>
      </c>
      <c r="S29" s="269">
        <v>3.3340000000000002E-2</v>
      </c>
      <c r="T29" s="269">
        <f t="shared" si="12"/>
        <v>0.46078034506666671</v>
      </c>
      <c r="U29" s="269">
        <v>0.16666</v>
      </c>
      <c r="V29" s="270">
        <f t="shared" si="13"/>
        <v>0.32040439999999998</v>
      </c>
      <c r="W29" s="271">
        <f t="shared" si="14"/>
        <v>1.0038448528000001</v>
      </c>
    </row>
    <row r="30" spans="2:23" s="197" customFormat="1" ht="14" x14ac:dyDescent="0.15">
      <c r="B30" s="365"/>
      <c r="C30" s="369"/>
      <c r="D30" s="369"/>
      <c r="E30" s="369"/>
      <c r="F30" s="369"/>
      <c r="G30" s="369"/>
      <c r="I30" s="264" t="s">
        <v>413</v>
      </c>
      <c r="J30" s="264">
        <v>2.7</v>
      </c>
      <c r="K30" s="268">
        <v>6.3</v>
      </c>
      <c r="L30" s="265">
        <f t="shared" si="8"/>
        <v>6.2496414399999756E-2</v>
      </c>
      <c r="M30" s="265">
        <v>0.21009</v>
      </c>
      <c r="N30" s="265">
        <f t="shared" si="9"/>
        <v>3.0979132184</v>
      </c>
      <c r="O30" s="265">
        <v>1.0499100000000001</v>
      </c>
      <c r="P30" s="201">
        <f>(N12*0.164)+(L12*0.824)</f>
        <v>1.9024193999999999</v>
      </c>
      <c r="Q30" s="265">
        <v>6.3</v>
      </c>
      <c r="R30" s="269">
        <f>L30/K30</f>
        <v>9.9200657777777385E-3</v>
      </c>
      <c r="S30" s="269">
        <v>3.334761904761905E-2</v>
      </c>
      <c r="T30" s="269">
        <f>N30/K30</f>
        <v>0.49173225688888889</v>
      </c>
      <c r="U30" s="269">
        <v>0.16665238095238097</v>
      </c>
      <c r="V30" s="270">
        <f>P30/K30</f>
        <v>0.30197133333333331</v>
      </c>
      <c r="W30" s="271">
        <f>SUM(R30:V30)</f>
        <v>1.003623656</v>
      </c>
    </row>
    <row r="31" spans="2:23" s="197" customFormat="1" ht="14" x14ac:dyDescent="0.15">
      <c r="B31" s="365"/>
      <c r="C31" s="369"/>
      <c r="D31" s="369"/>
      <c r="E31" s="369"/>
      <c r="F31" s="369"/>
      <c r="G31" s="369"/>
      <c r="I31" s="264" t="s">
        <v>414</v>
      </c>
      <c r="J31" s="264">
        <v>4</v>
      </c>
      <c r="K31" s="268">
        <v>5</v>
      </c>
      <c r="L31" s="265">
        <f t="shared" si="8"/>
        <v>-5.3912511999999913E-2</v>
      </c>
      <c r="M31" s="265">
        <v>0.1668</v>
      </c>
      <c r="N31" s="265">
        <f t="shared" si="9"/>
        <v>2.7101455680000002</v>
      </c>
      <c r="O31" s="265">
        <v>0.83320000000000016</v>
      </c>
      <c r="P31" s="201">
        <f>(N13*0.164)+(L13*0.824)</f>
        <v>1.3600879999999997</v>
      </c>
      <c r="Q31" s="265">
        <v>5</v>
      </c>
      <c r="R31" s="269">
        <f t="shared" ref="R31:R34" si="16">L31/K31</f>
        <v>-1.0782502399999982E-2</v>
      </c>
      <c r="S31" s="269">
        <v>3.3360000000000001E-2</v>
      </c>
      <c r="T31" s="269">
        <f t="shared" ref="T31:T34" si="17">N31/K31</f>
        <v>0.54202911360000006</v>
      </c>
      <c r="U31" s="269">
        <v>0.16664000000000004</v>
      </c>
      <c r="V31" s="270">
        <f t="shared" ref="V31:V34" si="18">P31/K31</f>
        <v>0.27201759999999997</v>
      </c>
      <c r="W31" s="271">
        <f t="shared" ref="W31:W34" si="19">SUM(R31:V31)</f>
        <v>1.0032642112000001</v>
      </c>
    </row>
    <row r="32" spans="2:23" s="197" customFormat="1" ht="14" x14ac:dyDescent="0.15">
      <c r="B32" s="365"/>
      <c r="C32" s="369"/>
      <c r="D32" s="369"/>
      <c r="E32" s="369"/>
      <c r="F32" s="369"/>
      <c r="G32" s="369"/>
      <c r="I32" s="264" t="s">
        <v>415</v>
      </c>
      <c r="J32" s="264">
        <v>4.4000000000000004</v>
      </c>
      <c r="K32" s="268">
        <v>4.5999999999999996</v>
      </c>
      <c r="L32" s="265">
        <f t="shared" si="8"/>
        <v>-8.9730643200000015E-2</v>
      </c>
      <c r="M32" s="265">
        <v>0.15347999999999998</v>
      </c>
      <c r="N32" s="265">
        <f t="shared" si="9"/>
        <v>2.5908324448000002</v>
      </c>
      <c r="O32" s="265">
        <v>0.76652000000000009</v>
      </c>
      <c r="P32" s="201">
        <f>(N14*0.164)+(L14*0.824)</f>
        <v>1.1932167999999996</v>
      </c>
      <c r="Q32" s="265">
        <v>4.5999999999999996</v>
      </c>
      <c r="R32" s="269">
        <f t="shared" si="16"/>
        <v>-1.9506661565217395E-2</v>
      </c>
      <c r="S32" s="269">
        <v>3.3365217391304346E-2</v>
      </c>
      <c r="T32" s="269">
        <f t="shared" si="17"/>
        <v>0.56322444452173925</v>
      </c>
      <c r="U32" s="269">
        <v>0.16663478260869569</v>
      </c>
      <c r="V32" s="270">
        <f t="shared" si="18"/>
        <v>0.25939495652173905</v>
      </c>
      <c r="W32" s="271">
        <f t="shared" si="19"/>
        <v>1.0031127394782611</v>
      </c>
    </row>
    <row r="33" spans="9:23" x14ac:dyDescent="0.2">
      <c r="I33" s="264" t="s">
        <v>416</v>
      </c>
      <c r="J33" s="264">
        <v>5.2</v>
      </c>
      <c r="K33" s="268">
        <v>3.8</v>
      </c>
      <c r="L33" s="265">
        <f t="shared" si="8"/>
        <v>-0.16136690560000011</v>
      </c>
      <c r="M33" s="265">
        <v>0.12683999999999998</v>
      </c>
      <c r="N33" s="265">
        <f t="shared" si="9"/>
        <v>2.3522061984000002</v>
      </c>
      <c r="O33" s="265">
        <v>0.63316000000000017</v>
      </c>
      <c r="P33" s="201">
        <f>(N15*0.164)+(L15*0.824)</f>
        <v>0.85947439999999964</v>
      </c>
      <c r="Q33" s="265">
        <v>3.8</v>
      </c>
      <c r="R33" s="269">
        <f t="shared" si="16"/>
        <v>-4.2464975157894769E-2</v>
      </c>
      <c r="S33" s="269">
        <v>3.337894736842105E-2</v>
      </c>
      <c r="T33" s="269">
        <f t="shared" si="17"/>
        <v>0.61900163115789486</v>
      </c>
      <c r="U33" s="269">
        <v>0.166621052631579</v>
      </c>
      <c r="V33" s="270">
        <f t="shared" si="18"/>
        <v>0.22617747368421043</v>
      </c>
      <c r="W33" s="271">
        <f t="shared" si="19"/>
        <v>1.0027141296842106</v>
      </c>
    </row>
    <row r="34" spans="9:23" x14ac:dyDescent="0.2">
      <c r="I34" s="264" t="s">
        <v>417</v>
      </c>
      <c r="J34" s="264">
        <v>8</v>
      </c>
      <c r="K34" s="268">
        <v>1</v>
      </c>
      <c r="L34" s="265">
        <f t="shared" si="8"/>
        <v>9.9200657777777923E-3</v>
      </c>
      <c r="M34" s="265">
        <v>3.334761904761905E-2</v>
      </c>
      <c r="N34" s="265">
        <f t="shared" si="9"/>
        <v>0.49173225688888894</v>
      </c>
      <c r="O34" s="265">
        <v>0.16665238095238097</v>
      </c>
      <c r="P34" s="201">
        <f>(N16*0.164)+(L16*0.824)</f>
        <v>0.30197133333333326</v>
      </c>
      <c r="Q34" s="265">
        <v>1</v>
      </c>
      <c r="R34" s="269">
        <f t="shared" si="16"/>
        <v>9.9200657777777923E-3</v>
      </c>
      <c r="S34" s="269">
        <v>3.334761904761905E-2</v>
      </c>
      <c r="T34" s="269">
        <f t="shared" si="17"/>
        <v>0.49173225688888894</v>
      </c>
      <c r="U34" s="269">
        <v>0.16665238095238097</v>
      </c>
      <c r="V34" s="270">
        <f t="shared" si="18"/>
        <v>0.30197133333333326</v>
      </c>
      <c r="W34" s="271">
        <f t="shared" si="19"/>
        <v>1.003623656</v>
      </c>
    </row>
  </sheetData>
  <mergeCells count="15">
    <mergeCell ref="R23:W23"/>
    <mergeCell ref="I22:W22"/>
    <mergeCell ref="L23:Q23"/>
    <mergeCell ref="I23:I24"/>
    <mergeCell ref="J23:J24"/>
    <mergeCell ref="K23:K24"/>
    <mergeCell ref="C18:G18"/>
    <mergeCell ref="Q5:U5"/>
    <mergeCell ref="C11:G11"/>
    <mergeCell ref="B12:G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D22" sqref="D2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313</v>
      </c>
    </row>
    <row r="3" spans="1:8" x14ac:dyDescent="0.2">
      <c r="A3" s="1" t="s">
        <v>319</v>
      </c>
    </row>
    <row r="4" spans="1:8" ht="29" customHeight="1" x14ac:dyDescent="0.2">
      <c r="A4" s="231" t="s">
        <v>314</v>
      </c>
      <c r="B4" s="231" t="s">
        <v>315</v>
      </c>
      <c r="C4" s="232" t="s">
        <v>316</v>
      </c>
      <c r="D4" s="232" t="s">
        <v>317</v>
      </c>
      <c r="F4" s="232" t="s">
        <v>315</v>
      </c>
      <c r="G4" s="232" t="s">
        <v>324</v>
      </c>
      <c r="H4" s="232" t="s">
        <v>325</v>
      </c>
    </row>
    <row r="5" spans="1:8" x14ac:dyDescent="0.2">
      <c r="A5" s="23" t="s">
        <v>318</v>
      </c>
      <c r="B5" s="23" t="s">
        <v>205</v>
      </c>
      <c r="C5" s="24">
        <v>12534</v>
      </c>
      <c r="D5" s="24"/>
      <c r="F5" s="22" t="s">
        <v>205</v>
      </c>
      <c r="G5" s="31">
        <f>SUMIFS($C$5:$C$13,$B$5:$B$13,F5)</f>
        <v>12534</v>
      </c>
      <c r="H5" s="235">
        <f>G5/G$8</f>
        <v>1.3163339249519528E-2</v>
      </c>
    </row>
    <row r="6" spans="1:8" x14ac:dyDescent="0.2">
      <c r="A6" s="23" t="s">
        <v>318</v>
      </c>
      <c r="B6" s="23" t="s">
        <v>204</v>
      </c>
      <c r="C6" s="24">
        <v>103535</v>
      </c>
      <c r="D6" s="24"/>
      <c r="F6" s="22" t="s">
        <v>204</v>
      </c>
      <c r="G6" s="31">
        <f t="shared" ref="G6:G7" si="0">SUMIFS($C$5:$C$13,$B$5:$B$13,F6)</f>
        <v>783134</v>
      </c>
      <c r="H6" s="235">
        <f t="shared" ref="H6:H8" si="1">G6/G$8</f>
        <v>0.82245560234827086</v>
      </c>
    </row>
    <row r="7" spans="1:8" x14ac:dyDescent="0.2">
      <c r="A7" s="23" t="s">
        <v>318</v>
      </c>
      <c r="B7" s="23" t="s">
        <v>203</v>
      </c>
      <c r="C7" s="24">
        <v>16720</v>
      </c>
      <c r="D7" s="24"/>
      <c r="F7" s="22" t="s">
        <v>203</v>
      </c>
      <c r="G7" s="31">
        <f t="shared" si="0"/>
        <v>156522</v>
      </c>
      <c r="H7" s="235">
        <f t="shared" si="1"/>
        <v>0.16438105840220965</v>
      </c>
    </row>
    <row r="8" spans="1:8" x14ac:dyDescent="0.2">
      <c r="A8" s="23" t="s">
        <v>320</v>
      </c>
      <c r="B8" s="23" t="s">
        <v>203</v>
      </c>
      <c r="C8" s="24">
        <v>11340</v>
      </c>
      <c r="D8" s="24"/>
      <c r="F8" s="238" t="s">
        <v>25</v>
      </c>
      <c r="G8" s="236">
        <f>SUM(G5:G7)</f>
        <v>952190</v>
      </c>
      <c r="H8" s="237">
        <f t="shared" si="1"/>
        <v>1</v>
      </c>
    </row>
    <row r="9" spans="1:8" x14ac:dyDescent="0.2">
      <c r="A9" s="23" t="s">
        <v>321</v>
      </c>
      <c r="B9" s="23" t="s">
        <v>204</v>
      </c>
      <c r="C9" s="24">
        <v>662402</v>
      </c>
      <c r="D9" s="24"/>
    </row>
    <row r="10" spans="1:8" x14ac:dyDescent="0.2">
      <c r="A10" s="23" t="s">
        <v>321</v>
      </c>
      <c r="B10" s="23" t="s">
        <v>203</v>
      </c>
      <c r="C10" s="24">
        <v>56846</v>
      </c>
      <c r="D10" s="24"/>
    </row>
    <row r="11" spans="1:8" x14ac:dyDescent="0.2">
      <c r="A11" s="23" t="s">
        <v>322</v>
      </c>
      <c r="B11" s="23" t="s">
        <v>204</v>
      </c>
      <c r="C11" s="24">
        <v>6350</v>
      </c>
      <c r="D11" s="24"/>
    </row>
    <row r="12" spans="1:8" x14ac:dyDescent="0.2">
      <c r="A12" s="23" t="s">
        <v>322</v>
      </c>
      <c r="B12" s="23" t="s">
        <v>203</v>
      </c>
      <c r="C12" s="24">
        <v>71616</v>
      </c>
      <c r="D12" s="24"/>
    </row>
    <row r="13" spans="1:8" x14ac:dyDescent="0.2">
      <c r="A13" s="23" t="s">
        <v>323</v>
      </c>
      <c r="B13" s="23" t="s">
        <v>204</v>
      </c>
      <c r="C13" s="24">
        <v>10847</v>
      </c>
      <c r="D13" s="24">
        <v>22928</v>
      </c>
    </row>
    <row r="14" spans="1:8" s="1" customFormat="1" x14ac:dyDescent="0.2">
      <c r="A14" s="233" t="s">
        <v>25</v>
      </c>
      <c r="B14" s="233"/>
      <c r="C14" s="234">
        <f>SUM(C5:C13)</f>
        <v>952190</v>
      </c>
      <c r="D14" s="234">
        <f>SUM(D5:D13)</f>
        <v>22928</v>
      </c>
    </row>
    <row r="17" spans="1:3" x14ac:dyDescent="0.2">
      <c r="A17" s="1" t="s">
        <v>326</v>
      </c>
    </row>
    <row r="18" spans="1:3" x14ac:dyDescent="0.2">
      <c r="A18" s="231" t="s">
        <v>327</v>
      </c>
      <c r="B18" s="239" t="s">
        <v>328</v>
      </c>
      <c r="C18" s="239" t="s">
        <v>329</v>
      </c>
    </row>
    <row r="19" spans="1:3" x14ac:dyDescent="0.2">
      <c r="A19" s="23" t="s">
        <v>330</v>
      </c>
      <c r="B19" s="24">
        <v>769208</v>
      </c>
      <c r="C19" s="24">
        <v>441381</v>
      </c>
    </row>
    <row r="20" spans="1:3" x14ac:dyDescent="0.2">
      <c r="A20" s="23" t="s">
        <v>331</v>
      </c>
      <c r="B20" s="24">
        <v>15340</v>
      </c>
      <c r="C20" s="24">
        <v>9017</v>
      </c>
    </row>
    <row r="21" spans="1:3" x14ac:dyDescent="0.2">
      <c r="A21" s="23" t="s">
        <v>332</v>
      </c>
      <c r="B21" s="24">
        <v>2844</v>
      </c>
      <c r="C21" s="24">
        <v>1698</v>
      </c>
    </row>
    <row r="22" spans="1:3" x14ac:dyDescent="0.2">
      <c r="A22" s="23" t="s">
        <v>333</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56" t="e">
        <f>#REF!</f>
        <v>#REF!</v>
      </c>
      <c r="B1" s="356"/>
      <c r="C1" s="356"/>
      <c r="D1" s="356"/>
      <c r="E1" s="356"/>
      <c r="F1" s="356"/>
      <c r="G1" s="356"/>
    </row>
    <row r="2" spans="1:14" x14ac:dyDescent="0.2">
      <c r="A2" s="1" t="s">
        <v>182</v>
      </c>
      <c r="B2" s="1"/>
    </row>
    <row r="3" spans="1:14" ht="32.25" customHeight="1" x14ac:dyDescent="0.2">
      <c r="A3" s="330" t="s">
        <v>178</v>
      </c>
      <c r="B3" s="330"/>
      <c r="C3" s="330"/>
      <c r="D3" s="330"/>
      <c r="E3" s="330"/>
      <c r="F3" s="330"/>
      <c r="G3" s="330"/>
      <c r="H3" s="84"/>
      <c r="I3" s="84"/>
      <c r="J3" s="84"/>
      <c r="K3" s="84"/>
      <c r="N3" s="137" t="s">
        <v>157</v>
      </c>
    </row>
    <row r="4" spans="1:14" x14ac:dyDescent="0.2">
      <c r="A4" s="127" t="s">
        <v>110</v>
      </c>
      <c r="B4" s="127" t="s">
        <v>19</v>
      </c>
      <c r="C4" s="331" t="s">
        <v>20</v>
      </c>
      <c r="D4" s="332"/>
      <c r="E4" s="332"/>
      <c r="F4" s="332"/>
      <c r="G4" s="333"/>
      <c r="N4" s="139" t="s">
        <v>129</v>
      </c>
    </row>
    <row r="5" spans="1:14" x14ac:dyDescent="0.2">
      <c r="A5" s="90" t="s">
        <v>16</v>
      </c>
      <c r="B5" s="114"/>
      <c r="C5" s="334"/>
      <c r="D5" s="329"/>
      <c r="E5" s="329"/>
      <c r="F5" s="329"/>
      <c r="G5" s="329"/>
      <c r="N5" s="142"/>
    </row>
    <row r="6" spans="1:14" x14ac:dyDescent="0.2">
      <c r="A6" s="90" t="s">
        <v>17</v>
      </c>
      <c r="B6" s="114"/>
      <c r="C6" s="334"/>
      <c r="D6" s="329"/>
      <c r="E6" s="329"/>
      <c r="F6" s="329"/>
      <c r="G6" s="329"/>
      <c r="N6" s="142"/>
    </row>
    <row r="7" spans="1:14" x14ac:dyDescent="0.2">
      <c r="A7" s="90" t="s">
        <v>18</v>
      </c>
      <c r="B7" s="114"/>
      <c r="C7" s="334"/>
      <c r="D7" s="329"/>
      <c r="E7" s="329"/>
      <c r="F7" s="329"/>
      <c r="G7" s="329"/>
      <c r="N7" s="142"/>
    </row>
    <row r="8" spans="1:14" x14ac:dyDescent="0.2">
      <c r="A8" s="114" t="s">
        <v>39</v>
      </c>
      <c r="B8" s="90"/>
      <c r="C8" s="329"/>
      <c r="D8" s="329"/>
      <c r="E8" s="329"/>
      <c r="F8" s="329"/>
      <c r="G8" s="329"/>
      <c r="N8" s="142"/>
    </row>
    <row r="9" spans="1:14" x14ac:dyDescent="0.2">
      <c r="A9" s="114" t="s">
        <v>163</v>
      </c>
      <c r="B9" s="90"/>
      <c r="C9" s="335"/>
      <c r="D9" s="335"/>
      <c r="E9" s="335"/>
      <c r="F9" s="335"/>
      <c r="G9" s="335"/>
      <c r="N9" s="142"/>
    </row>
    <row r="10" spans="1:14" x14ac:dyDescent="0.2">
      <c r="A10" s="115" t="s">
        <v>41</v>
      </c>
      <c r="B10" s="115"/>
      <c r="C10" s="357"/>
      <c r="D10" s="357"/>
      <c r="E10" s="357"/>
      <c r="F10" s="357"/>
      <c r="G10" s="357"/>
      <c r="N10" s="142"/>
    </row>
    <row r="11" spans="1:14" x14ac:dyDescent="0.2">
      <c r="A11" s="13"/>
      <c r="B11" s="2"/>
      <c r="C11"/>
      <c r="N11" s="142"/>
    </row>
    <row r="12" spans="1:14" x14ac:dyDescent="0.2">
      <c r="A12" s="15" t="s">
        <v>111</v>
      </c>
      <c r="B12" s="336" t="s">
        <v>113</v>
      </c>
      <c r="C12" s="337"/>
      <c r="D12" s="338"/>
      <c r="N12" s="141" t="s">
        <v>130</v>
      </c>
    </row>
    <row r="13" spans="1:14" x14ac:dyDescent="0.2">
      <c r="B13" s="339" t="s">
        <v>114</v>
      </c>
      <c r="C13" s="340"/>
      <c r="D13" s="341"/>
      <c r="N13" s="142"/>
    </row>
    <row r="14" spans="1:14" x14ac:dyDescent="0.2">
      <c r="B14" s="323" t="s">
        <v>115</v>
      </c>
      <c r="C14" s="324"/>
      <c r="D14" s="325"/>
      <c r="N14" s="142"/>
    </row>
    <row r="15" spans="1:14" x14ac:dyDescent="0.2">
      <c r="B15" s="326" t="s">
        <v>21</v>
      </c>
      <c r="C15" s="327"/>
      <c r="D15" s="328"/>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58" t="s">
        <v>60</v>
      </c>
      <c r="E3" s="358"/>
      <c r="F3" s="358" t="s">
        <v>61</v>
      </c>
      <c r="G3" s="358"/>
      <c r="H3" s="358"/>
      <c r="I3" s="358" t="s">
        <v>62</v>
      </c>
      <c r="J3" s="358"/>
      <c r="K3" s="358"/>
      <c r="L3" s="134"/>
      <c r="M3" s="358" t="s">
        <v>18</v>
      </c>
      <c r="N3" s="358"/>
      <c r="O3" s="358"/>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2025-05-15T22:10:52Z</dcterms:modified>
</cp:coreProperties>
</file>