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InflowStorageAccounts\"/>
    </mc:Choice>
  </mc:AlternateContent>
  <xr:revisionPtr revIDLastSave="0" documentId="13_ncr:1_{268D2793-928C-4DFC-9D9D-DA18951397CF}" xr6:coauthVersionLast="47" xr6:coauthVersionMax="47" xr10:uidLastSave="{00000000-0000-0000-0000-000000000000}"/>
  <bookViews>
    <workbookView xWindow="-28920" yWindow="-120" windowWidth="29040" windowHeight="15720" firstSheet="2"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47" l="1"/>
  <c r="N59" i="57"/>
  <c r="N27" i="57"/>
  <c r="A1" i="60" l="1"/>
  <c r="C33" i="60"/>
  <c r="C21" i="60"/>
  <c r="B21" i="60"/>
  <c r="H73" i="57" l="1"/>
  <c r="I73" i="57"/>
  <c r="J73" i="57"/>
  <c r="K73" i="57"/>
  <c r="L73" i="57"/>
  <c r="H65" i="57"/>
  <c r="I65" i="57"/>
  <c r="J65" i="57"/>
  <c r="K65" i="57"/>
  <c r="L65" i="57"/>
  <c r="C28" i="57"/>
  <c r="E116" i="47"/>
  <c r="F116" i="47"/>
  <c r="G116" i="47"/>
  <c r="H49" i="57" l="1"/>
  <c r="I49" i="57"/>
  <c r="J49" i="57"/>
  <c r="K49" i="57"/>
  <c r="L49" i="57"/>
  <c r="E49" i="47"/>
  <c r="F49" i="47"/>
  <c r="G49" i="47"/>
  <c r="H49" i="47"/>
  <c r="I49" i="47"/>
  <c r="J49" i="47"/>
  <c r="K49" i="47"/>
  <c r="L49"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F30" i="57" l="1"/>
  <c r="F73" i="57"/>
  <c r="F65" i="57"/>
  <c r="F49" i="57"/>
  <c r="F56" i="57"/>
  <c r="F57" i="57"/>
  <c r="F81" i="57"/>
  <c r="E73" i="57"/>
  <c r="E65" i="57"/>
  <c r="E49" i="57"/>
  <c r="E56" i="57"/>
  <c r="E57" i="57"/>
  <c r="E81" i="57"/>
  <c r="L56" i="57"/>
  <c r="I56" i="57"/>
  <c r="K56" i="57"/>
  <c r="J56" i="57"/>
  <c r="H56" i="57"/>
  <c r="I57" i="57"/>
  <c r="J57" i="57"/>
  <c r="H57" i="57"/>
  <c r="L57" i="57"/>
  <c r="K57" i="57"/>
  <c r="G73" i="57"/>
  <c r="G65" i="57"/>
  <c r="G49" i="57"/>
  <c r="G56" i="57"/>
  <c r="G54" i="57"/>
  <c r="G57" i="57"/>
  <c r="G81" i="57"/>
  <c r="E31" i="57"/>
  <c r="I123" i="57"/>
  <c r="H130" i="57"/>
  <c r="F29" i="57"/>
  <c r="F134" i="57" s="1"/>
  <c r="A129" i="57"/>
  <c r="J129" i="57" s="1"/>
  <c r="A54" i="57"/>
  <c r="E30" i="57"/>
  <c r="A33" i="57"/>
  <c r="K33" i="57" s="1"/>
  <c r="A60" i="57"/>
  <c r="A61" i="57" s="1"/>
  <c r="F61"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F52" i="57" s="1"/>
  <c r="C40" i="57"/>
  <c r="C32" i="57"/>
  <c r="A114" i="57"/>
  <c r="L114" i="57" s="1"/>
  <c r="K36" i="57"/>
  <c r="L36" i="57"/>
  <c r="A76" i="57"/>
  <c r="A119" i="57"/>
  <c r="H119" i="57" s="1"/>
  <c r="A113" i="57"/>
  <c r="F113" i="57" s="1"/>
  <c r="A45" i="57"/>
  <c r="J45" i="57" s="1"/>
  <c r="A126" i="57"/>
  <c r="J126" i="57" s="1"/>
  <c r="A53" i="57"/>
  <c r="F53" i="57" s="1"/>
  <c r="A111" i="57"/>
  <c r="H111" i="57" s="1"/>
  <c r="A35" i="57"/>
  <c r="L35" i="57" s="1"/>
  <c r="A84" i="57"/>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J123" i="57"/>
  <c r="B38" i="57"/>
  <c r="B33" i="57"/>
  <c r="C33" i="57" s="1"/>
  <c r="I33" i="57"/>
  <c r="K38" i="57"/>
  <c r="C38" i="57"/>
  <c r="J38" i="57"/>
  <c r="H38" i="57"/>
  <c r="L38" i="57"/>
  <c r="I112" i="57"/>
  <c r="H112" i="57"/>
  <c r="G112" i="57"/>
  <c r="F112" i="57"/>
  <c r="E112" i="57"/>
  <c r="J33" i="57"/>
  <c r="H123" i="57"/>
  <c r="G123" i="57"/>
  <c r="F123" i="57"/>
  <c r="E123" i="57"/>
  <c r="L123" i="57"/>
  <c r="I113" i="57"/>
  <c r="I115" i="57"/>
  <c r="J130" i="57"/>
  <c r="J113" i="57"/>
  <c r="J115" i="57"/>
  <c r="K130" i="57"/>
  <c r="L130" i="57"/>
  <c r="J36" i="57"/>
  <c r="J48" i="57"/>
  <c r="L113" i="57"/>
  <c r="L115" i="57"/>
  <c r="J122" i="57"/>
  <c r="C36" i="57"/>
  <c r="E115" i="57"/>
  <c r="B25" i="57"/>
  <c r="J119" i="57" l="1"/>
  <c r="L34" i="57"/>
  <c r="J111" i="57"/>
  <c r="K34" i="57"/>
  <c r="F110" i="57"/>
  <c r="G110" i="57"/>
  <c r="J110" i="57"/>
  <c r="A85" i="57"/>
  <c r="L125" i="57"/>
  <c r="H33" i="57"/>
  <c r="I54" i="57"/>
  <c r="J54" i="57"/>
  <c r="K54" i="57"/>
  <c r="L54" i="57"/>
  <c r="H54" i="57"/>
  <c r="E54" i="57"/>
  <c r="G53" i="57"/>
  <c r="F54" i="57"/>
  <c r="J118" i="57"/>
  <c r="H51" i="57"/>
  <c r="K52" i="57"/>
  <c r="J51" i="57"/>
  <c r="K51" i="57"/>
  <c r="I51" i="57"/>
  <c r="L52" i="57"/>
  <c r="H52" i="57"/>
  <c r="J52" i="57"/>
  <c r="I52" i="57"/>
  <c r="L51" i="57"/>
  <c r="E52" i="57"/>
  <c r="F51" i="57"/>
  <c r="A62" i="57"/>
  <c r="A63" i="57" s="1"/>
  <c r="L61" i="57"/>
  <c r="K61" i="57"/>
  <c r="H61" i="57"/>
  <c r="J61" i="57"/>
  <c r="I61" i="57"/>
  <c r="G51" i="57"/>
  <c r="E61" i="57"/>
  <c r="G61" i="57"/>
  <c r="E51" i="57"/>
  <c r="H53" i="57"/>
  <c r="J53" i="57"/>
  <c r="K53" i="57"/>
  <c r="L53" i="57"/>
  <c r="I53" i="57"/>
  <c r="G52" i="57"/>
  <c r="E53" i="57"/>
  <c r="I129" i="57"/>
  <c r="E55" i="57"/>
  <c r="L55" i="57"/>
  <c r="G55" i="57"/>
  <c r="H55" i="57"/>
  <c r="F55" i="57"/>
  <c r="I55" i="57"/>
  <c r="J55" i="57"/>
  <c r="K55" i="57"/>
  <c r="C42" i="57"/>
  <c r="C44" i="57" s="1"/>
  <c r="A69" i="57"/>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G119" i="57"/>
  <c r="F111" i="57"/>
  <c r="L111" i="57"/>
  <c r="K114" i="57"/>
  <c r="H44" i="57"/>
  <c r="I125" i="57"/>
  <c r="K127" i="57"/>
  <c r="I120" i="57"/>
  <c r="I35" i="57"/>
  <c r="C113" i="57"/>
  <c r="K113" i="57"/>
  <c r="E113" i="57"/>
  <c r="J44" i="57"/>
  <c r="G113" i="57"/>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F50" i="47"/>
  <c r="G50" i="47"/>
  <c r="H50" i="47"/>
  <c r="I50" i="47"/>
  <c r="J50" i="47"/>
  <c r="K50" i="47"/>
  <c r="L50" i="47"/>
  <c r="A64" i="57" l="1"/>
  <c r="K64" i="57" s="1"/>
  <c r="A102" i="57"/>
  <c r="A104" i="57" s="1"/>
  <c r="L101" i="57"/>
  <c r="I101" i="57"/>
  <c r="H101" i="57"/>
  <c r="J101" i="57"/>
  <c r="K101" i="57"/>
  <c r="G101" i="57"/>
  <c r="F101" i="57"/>
  <c r="E101" i="57"/>
  <c r="A86" i="57"/>
  <c r="A88" i="57" s="1"/>
  <c r="I88" i="57" s="1"/>
  <c r="A78" i="57"/>
  <c r="A80" i="57" s="1"/>
  <c r="K80" i="57" s="1"/>
  <c r="A70" i="57"/>
  <c r="A72" i="57" s="1"/>
  <c r="L72" i="57" s="1"/>
  <c r="L69" i="57"/>
  <c r="I69" i="57"/>
  <c r="H69" i="57"/>
  <c r="J69" i="57"/>
  <c r="K69" i="57"/>
  <c r="E69" i="57"/>
  <c r="F69" i="57"/>
  <c r="G69" i="57"/>
  <c r="C43" i="57"/>
  <c r="C46" i="57"/>
  <c r="C48" i="57"/>
  <c r="C45" i="57"/>
  <c r="C47" i="57"/>
  <c r="A95" i="57"/>
  <c r="F95" i="57" s="1"/>
  <c r="G96" i="57"/>
  <c r="M114" i="57"/>
  <c r="F96" i="57"/>
  <c r="J96" i="57"/>
  <c r="I96" i="57"/>
  <c r="M113" i="57"/>
  <c r="H96" i="57"/>
  <c r="K96" i="57"/>
  <c r="L63" i="57"/>
  <c r="K63" i="57"/>
  <c r="I63" i="57"/>
  <c r="H63" i="57"/>
  <c r="E63" i="57"/>
  <c r="G63" i="57"/>
  <c r="M63" i="57"/>
  <c r="F63" i="57"/>
  <c r="J63" i="57"/>
  <c r="H88" i="57"/>
  <c r="L88" i="57"/>
  <c r="J88" i="57"/>
  <c r="A87" i="57"/>
  <c r="H104" i="57"/>
  <c r="L104" i="57"/>
  <c r="K104" i="57"/>
  <c r="J104" i="57"/>
  <c r="I104" i="57"/>
  <c r="A103" i="57"/>
  <c r="K72" i="57"/>
  <c r="H64" i="57"/>
  <c r="A65" i="57"/>
  <c r="L64" i="57"/>
  <c r="J64" i="57"/>
  <c r="A57" i="47"/>
  <c r="A71" i="57" l="1"/>
  <c r="J72" i="57"/>
  <c r="I80" i="57"/>
  <c r="L80" i="57"/>
  <c r="K88" i="57"/>
  <c r="I64" i="57"/>
  <c r="H80" i="57"/>
  <c r="I72" i="57"/>
  <c r="I57" i="47"/>
  <c r="G57" i="47"/>
  <c r="J57" i="47"/>
  <c r="K57" i="47"/>
  <c r="L57" i="47"/>
  <c r="E57" i="47"/>
  <c r="H57" i="47"/>
  <c r="F57"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H66" i="57"/>
  <c r="L103" i="57"/>
  <c r="K103" i="57"/>
  <c r="J103" i="57"/>
  <c r="I103" i="57"/>
  <c r="H103" i="57"/>
  <c r="F103" i="57"/>
  <c r="E103" i="57"/>
  <c r="G103" i="57"/>
  <c r="M103" i="57"/>
  <c r="A105" i="57"/>
  <c r="A106" i="57" s="1"/>
  <c r="L71" i="57"/>
  <c r="K71" i="57"/>
  <c r="I71" i="57"/>
  <c r="H71" i="57"/>
  <c r="J71" i="57"/>
  <c r="G71" i="57"/>
  <c r="F71" i="57"/>
  <c r="E71" i="57"/>
  <c r="M71" i="57"/>
  <c r="I66" i="57" l="1"/>
  <c r="K79" i="57"/>
  <c r="E79" i="57"/>
  <c r="F79" i="57"/>
  <c r="L79" i="57"/>
  <c r="J79" i="57"/>
  <c r="G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K55" i="47" l="1"/>
  <c r="E55" i="47"/>
  <c r="L55" i="47"/>
  <c r="F55" i="47"/>
  <c r="G55" i="47"/>
  <c r="H55" i="47"/>
  <c r="J55" i="47"/>
  <c r="I55" i="47"/>
  <c r="B22" i="57"/>
  <c r="B24" i="47"/>
  <c r="B24" i="57" s="1"/>
  <c r="F40" i="47"/>
  <c r="G40" i="47"/>
  <c r="H40" i="47"/>
  <c r="I40" i="47"/>
  <c r="J40" i="47"/>
  <c r="K40" i="47"/>
  <c r="L40" i="47"/>
  <c r="F41" i="47"/>
  <c r="G41" i="47"/>
  <c r="H41" i="47"/>
  <c r="I41" i="47"/>
  <c r="J41" i="47"/>
  <c r="K41" i="47"/>
  <c r="L41" i="47"/>
  <c r="C41" i="47"/>
  <c r="C40" i="47"/>
  <c r="G7" i="43" l="1"/>
  <c r="G8" i="43"/>
  <c r="G9" i="43"/>
  <c r="G10" i="43"/>
  <c r="G11" i="43"/>
  <c r="G6"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M86" i="47"/>
  <c r="M85" i="47"/>
  <c r="A84" i="47"/>
  <c r="M78" i="47"/>
  <c r="M77" i="47"/>
  <c r="A76" i="47"/>
  <c r="M70" i="47"/>
  <c r="M69" i="47"/>
  <c r="A68" i="47"/>
  <c r="M62" i="47"/>
  <c r="M61" i="47"/>
  <c r="A60" i="47"/>
  <c r="A61" i="47" s="1"/>
  <c r="A62" i="47" s="1"/>
  <c r="A63" i="47" s="1"/>
  <c r="A56" i="47"/>
  <c r="A54" i="47"/>
  <c r="A53" i="47"/>
  <c r="A52" i="47"/>
  <c r="A51" i="47"/>
  <c r="A48" i="47"/>
  <c r="K48" i="47" s="1"/>
  <c r="A47" i="47"/>
  <c r="F47" i="47" s="1"/>
  <c r="A46" i="47"/>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A1" i="47"/>
  <c r="F9" i="43"/>
  <c r="E6" i="43"/>
  <c r="E7" i="43" s="1"/>
  <c r="E11" i="43"/>
  <c r="A93" i="47" l="1"/>
  <c r="A94" i="47" s="1"/>
  <c r="A95" i="47" s="1"/>
  <c r="J52" i="47"/>
  <c r="F52" i="47"/>
  <c r="I51" i="47"/>
  <c r="E51" i="47"/>
  <c r="H51" i="47"/>
  <c r="K52" i="47"/>
  <c r="G52" i="47"/>
  <c r="L52" i="47"/>
  <c r="L51" i="47"/>
  <c r="F51" i="47"/>
  <c r="I52" i="47"/>
  <c r="E52" i="47"/>
  <c r="H52" i="47"/>
  <c r="G51" i="47"/>
  <c r="J51" i="47"/>
  <c r="K51" i="47"/>
  <c r="K123" i="47"/>
  <c r="E53" i="47"/>
  <c r="J53" i="47"/>
  <c r="H53" i="47"/>
  <c r="I53" i="47"/>
  <c r="G53" i="47"/>
  <c r="K53" i="47"/>
  <c r="L53" i="47"/>
  <c r="F53" i="47"/>
  <c r="H54" i="47"/>
  <c r="J54" i="47"/>
  <c r="K54" i="47"/>
  <c r="I54" i="47"/>
  <c r="E54" i="47"/>
  <c r="G54" i="47"/>
  <c r="F54" i="47"/>
  <c r="L54" i="47"/>
  <c r="H56" i="47"/>
  <c r="E56" i="47"/>
  <c r="J56" i="47"/>
  <c r="K56" i="47"/>
  <c r="G56" i="47"/>
  <c r="L56" i="47"/>
  <c r="I56" i="47"/>
  <c r="F56" i="47"/>
  <c r="K46" i="47"/>
  <c r="F46" i="47"/>
  <c r="D50" i="47"/>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64" i="47"/>
  <c r="A80" i="47"/>
  <c r="A104"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A97" i="47" l="1"/>
  <c r="A98" i="47" s="1"/>
  <c r="C55" i="47"/>
  <c r="C54" i="47" s="1"/>
  <c r="C53" i="47" s="1"/>
  <c r="C52" i="47" s="1"/>
  <c r="C51" i="47" s="1"/>
  <c r="C55" i="57"/>
  <c r="C54" i="57" s="1"/>
  <c r="C49" i="57"/>
  <c r="M46" i="60"/>
  <c r="A105" i="47"/>
  <c r="A106" i="47" s="1"/>
  <c r="A73" i="47"/>
  <c r="A74" i="47" s="1"/>
  <c r="A81" i="47"/>
  <c r="A82" i="47" s="1"/>
  <c r="A66" i="47"/>
  <c r="A90"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5"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D15" i="7" l="1"/>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W16" i="7" l="1"/>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<sst xmlns="http://schemas.openxmlformats.org/spreadsheetml/2006/main" count="812" uniqueCount="416">
  <si>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</si>
  <si>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</si>
  <si>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</si>
  <si>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</si>
  <si>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</si>
  <si>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</si>
  <si>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</si>
  <si>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</si>
  <si>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</si>
  <si>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</si>
  <si>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</si>
  <si>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</si>
  <si>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</si>
  <si>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</si>
  <si>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</si>
  <si>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</si>
  <si>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</si>
  <si>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</si>
  <si>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</si>
  <si>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</si>
  <si>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</si>
  <si>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</si>
  <si>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</si>
  <si>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</si>
  <si>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</si>
  <si>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</si>
  <si>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</si>
  <si>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</si>
  <si>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</si>
  <si>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</si>
  <si>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</si>
  <si>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</si>
  <si>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</si>
  <si>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</si>
  <si>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</si>
  <si>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</si>
  <si>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</si>
  <si>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</si>
  <si>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</si>
  <si>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</si>
  <si>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</si>
  <si>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</si>
  <si>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</si>
  <si>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</si>
  <si>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</si>
  <si>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</si>
  <si>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</si>
  <si>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</si>
  <si>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</si>
  <si>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</si>
  <si>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</si>
  <si>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</si>
  <si>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</si>
  <si>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</si>
  <si>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</si>
  <si>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</si>
  <si>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</si>
  <si>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</si>
  <si>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</si>
  <si>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</si>
  <si>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</si>
  <si>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</si>
  <si>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</si>
  <si>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</si>
  <si>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</si>
  <si>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</si>
  <si>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</si>
  <si>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</si>
  <si>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</si>
  <si>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</si>
  <si>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</si>
  <si>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</si>
  <si>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</si>
  <si>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</si>
  <si>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</si>
  <si>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</si>
  <si>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</si>
  <si>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</si>
  <si>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</si>
  <si>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</si>
  <si>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</si>
  <si>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</si>
  <si>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</si>
  <si>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</si>
  <si>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</si>
  <si>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</si>
  <si>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</si>
  <si>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</si>
  <si>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</si>
  <si>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</si>
  <si>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</si>
  <si>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</si>
  <si>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</si>
  <si>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</si>
  <si>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</si>
  <si>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</si>
  <si>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</si>
  <si>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</si>
  <si>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</si>
  <si>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</si>
  <si>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</si>
  <si>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</si>
  <si>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</si>
  <si>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</si>
  <si>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</si>
  <si>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</si>
  <si>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</si>
  <si>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</si>
  <si>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</si>
  <si>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</si>
  <si>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</si>
  <si>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</si>
  <si>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</si>
  <si>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</si>
  <si>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</si>
  <si>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</si>
  <si>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</si>
  <si>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</si>
  <si>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</si>
  <si>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</si>
  <si>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</si>
  <si>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</si>
  <si>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</si>
  <si>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</si>
  <si>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</si>
  <si>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</si>
  <si>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</si>
  <si>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</si>
  <si>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</si>
  <si>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</si>
  <si>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</si>
  <si>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</si>
  <si>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</si>
  <si>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</si>
  <si>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</si>
  <si>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</si>
  <si>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</si>
  <si>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</si>
  <si>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</si>
  <si>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</si>
  <si>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</si>
  <si>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</si>
  <si>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</si>
  <si>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</si>
  <si>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</si>
  <si>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</si>
  <si>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</si>
  <si>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</si>
  <si>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</si>
  <si>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</si>
  <si>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</si>
  <si>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</si>
  <si>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</si>
  <si>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</si>
  <si>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</si>
  <si>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</si>
  <si>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</si>
  <si>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</si>
  <si>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</si>
  <si>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</si>
  <si>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</si>
  <si>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</si>
  <si>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</si>
  <si>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</si>
  <si>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</si>
  <si>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</si>
  <si>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</si>
  <si>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</si>
  <si>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</si>
  <si>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</si>
  <si>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</si>
  <si>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</si>
  <si>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</si>
  <si>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</si>
  <si>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</si>
  <si>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</si>
  <si>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</si>
  <si>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</si>
  <si>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</si>
  <si>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</si>
  <si>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</si>
  <si>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</si>
  <si>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</si>
  <si>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</si>
  <si>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</si>
  <si>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</si>
  <si>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</si>
  <si>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</si>
  <si>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</si>
  <si>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</si>
  <si>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</si>
  <si>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</si>
  <si>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</si>
  <si>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</si>
  <si>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</si>
  <si>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</si>
  <si>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</si>
  <si>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</si>
  <si>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</si>
  <si>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</si>
  <si>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</si>
  <si>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</si>
  <si>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</si>
  <si>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</si>
  <si>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</si>
  <si>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</si>
  <si>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</si>
  <si>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</si>
  <si>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</si>
  <si>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</si>
  <si>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</si>
  <si>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</si>
  <si>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</si>
  <si>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</si>
  <si>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</si>
  <si>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</si>
  <si>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</si>
  <si>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</si>
  <si>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</si>
  <si>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</si>
  <si>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</si>
  <si>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</si>
  <si>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</si>
  <si>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</si>
  <si>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</si>
  <si>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</si>
  <si>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</si>
  <si>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</si>
  <si>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</si>
  <si>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</si>
  <si>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</si>
  <si>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</si>
  <si>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</si>
  <si>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</si>
  <si>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</si>
  <si>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</si>
  <si>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</si>
  <si>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</si>
  <si>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</si>
  <si>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</si>
  <si>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</si>
  <si>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</si>
  <si>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</si>
  <si>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</si>
  <si>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</si>
  <si>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</si>
  <si>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</si>
  <si>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</si>
  <si>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</si>
  <si>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</si>
  <si>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</si>
  <si>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</si>
  <si>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</si>
  <si>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</si>
  <si>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</si>
  <si>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</si>
  <si>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</si>
  <si>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</si>
  <si>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</si>
  <si>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</si>
  <si>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</si>
  <si>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</si>
  <si>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</si>
  <si>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</si>
  <si>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</si>
  <si>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</si>
  <si>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</si>
  <si>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</si>
  <si>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</si>
  <si>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</si>
  <si>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</si>
  <si>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</si>
  <si>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</si>
  <si>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</si>
  <si>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</si>
  <si>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</si>
  <si>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</si>
  <si>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</si>
  <si>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</si>
  <si>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</si>
  <si>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</si>
  <si>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</si>
  <si>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</si>
  <si>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</si>
  <si>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</si>
  <si>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</si>
  <si>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</si>
  <si>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</si>
  <si>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</si>
  <si>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</si>
  <si>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</si>
  <si>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</si>
  <si>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</si>
  <si>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</si>
  <si>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</si>
  <si>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</si>
  <si>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</si>
  <si>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</si>
  <si>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</si>
  <si>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</si>
  <si>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</si>
  <si>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</si>
  <si>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</si>
  <si>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</si>
  <si>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</si>
  <si>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</si>
  <si>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</si>
  <si>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</si>
  <si>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</si>
  <si>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</si>
  <si>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</si>
  <si>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</si>
  <si>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</si>
  <si>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</si>
  <si>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</si>
  <si>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</si>
  <si>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</si>
  <si>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</si>
  <si>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</si>
  <si>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</si>
  <si>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</si>
  <si>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</si>
  <si>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</si>
  <si>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</si>
  <si>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</si>
  <si>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</si>
  <si>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</si>
  <si>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</si>
  <si>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</si>
  <si>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</si>
  <si>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</si>
  <si>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</si>
  <si>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</si>
  <si>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</si>
  <si>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</si>
  <si>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</si>
  <si>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</si>
  <si>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</si>
  <si>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</si>
  <si>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</si>
  <si>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</si>
  <si>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</si>
  <si>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</si>
  <si>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</si>
  <si>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</si>
  <si>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</si>
  <si>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</si>
  <si>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</si>
  <si>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</si>
  <si>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</si>
  <si>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</si>
  <si>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</si>
  <si>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</si>
  <si>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</si>
  <si>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</si>
  <si>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</si>
  <si>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</si>
  <si>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</si>
  <si>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</si>
  <si>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</si>
  <si>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</si>
  <si>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</si>
  <si>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</si>
  <si>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</si>
  <si>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</si>
  <si>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</si>
  <si>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</si>
  <si>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</si>
  <si>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</si>
  <si>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</si>
  <si>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</si>
  <si>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</si>
  <si>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</si>
  <si>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</si>
  <si>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</si>
  <si>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</si>
  <si>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</si>
  <si>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</si>
  <si>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</si>
  <si>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</si>
  <si>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</si>
  <si>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</si>
  <si>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</si>
  <si>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</si>
  <si>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</si>
  <si>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</si>
  <si>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</si>
  <si>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</si>
  <si>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</si>
  <si>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</si>
  <si>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</si>
  <si>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</si>
  <si>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</si>
  <si>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</si>
  <si>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</si>
  <si>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</si>
  <si>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</si>
  <si>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</si>
  <si>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</si>
  <si>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</si>
  <si>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</si>
  <si>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</si>
  <si>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</si>
  <si>
    <t>6.3</t>
  </si>
  <si>
    <t>Fix links to online help.</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</si>
  <si>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</si>
  <si>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</si>
  <si>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</si>
  <si>
    <t>This tool gives users the opportunity to experiment with Colorado River basin accounts as a more adaptive option to reservoir equalization operations that expire in 2026. The purpose is provoke thought and discussion about more adaptive Colorado River operations.</t>
  </si>
  <si>
    <t>David E. Rosenberg (2022). "Colorado River Basin Accounts: Provoke Thought and Discussion about more Adaptive Operations." Utah State University, Logan, UT. https://github.com/dzeke/ColoradoRiverFutures/tree/master/ModelMusings. https://github.com/dzeke/ColoradoRiverFutures/tree/master/ModelMusings.</t>
  </si>
  <si>
    <t>Colorado River Basin Accounts: Provoke discussion about more adaptive operations</t>
  </si>
  <si>
    <t>California</t>
  </si>
  <si>
    <t>Arizona</t>
  </si>
  <si>
    <t>Nevada</t>
  </si>
  <si>
    <t>Reclamation - Shared reserve</t>
  </si>
  <si>
    <t>July 12, 2023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</si>
</sst>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67">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5" borderId="5" xfId="0" applyNumberFormat="1" applyFill="1" applyBorder="1" applyAlignment="1">
      <alignment vertical="top" wrapText="1"/>
    </xf>
    <xf numFmtId="171" fontId="0" fillId="5" borderId="5" xfId="0" applyNumberFormat="1" applyFill="1" applyBorder="1" applyAlignment="1">
      <alignment vertical="top"/>
    </xf>
    <xf numFmtId="171" fontId="0" fillId="5" borderId="17" xfId="0" applyNumberFormat="1" applyFill="1" applyBorder="1" applyAlignment="1">
      <alignment vertical="top"/>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0" fontId="0" fillId="5" borderId="0" xfId="0" applyFill="1" applyAlignment="1">
      <alignment horizontal="left" vertical="top" wrapText="1"/>
    </xf>
    <xf numFmtId="0" fontId="0" fillId="5" borderId="6"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5" borderId="0" xfId="0" applyFill="1" applyAlignment="1">
      <alignment vertical="top" wrapText="1"/>
    </xf>
    <xf numFmtId="0" fontId="0" fillId="5" borderId="6" xfId="0"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0" borderId="0" xfId="0"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3" fontId="2" fillId="13" borderId="9" xfId="9" applyNumberFormat="1" applyBorder="1" applyAlignment="1">
      <alignment horizontal="center"/>
    </xf>
    <xf numFmtId="1" fontId="0" fillId="0" borderId="0" xfId="0" applyNumberFormat="1"/>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9" t="s">
        <v>410</v>
      </c>
      <c r="B1" s="219"/>
      <c r="C1" s="219"/>
      <c r="D1" s="219"/>
      <c r="E1" s="219"/>
      <c r="F1" s="219"/>
      <c r="G1" s="219"/>
      <c r="H1" s="219"/>
      <c r="I1" s="219"/>
      <c r="J1" s="219"/>
      <c r="K1" s="219"/>
      <c r="L1" s="219"/>
    </row>
    <row r="2" spans="1:18" x14ac:dyDescent="0.35">
      <c r="A2" s="1"/>
      <c r="B2" s="1"/>
      <c r="C2" s="2"/>
      <c r="D2"/>
    </row>
    <row r="3" spans="1:18" x14ac:dyDescent="0.35">
      <c r="A3" s="162" t="s">
        <v>345</v>
      </c>
      <c r="B3" s="163"/>
      <c r="C3" s="164"/>
      <c r="D3" s="165"/>
      <c r="E3" s="165"/>
      <c r="F3" s="165"/>
      <c r="G3" s="165"/>
      <c r="H3" s="165"/>
      <c r="I3" s="165"/>
      <c r="J3" s="165"/>
      <c r="K3" s="165"/>
      <c r="L3" s="166"/>
      <c r="N3" s="1"/>
    </row>
    <row r="4" spans="1:18" s="56" customFormat="1" ht="30.75" customHeight="1" x14ac:dyDescent="0.35">
      <c r="A4" s="216" t="s">
        <v>408</v>
      </c>
      <c r="B4" s="217"/>
      <c r="C4" s="217"/>
      <c r="D4" s="217"/>
      <c r="E4" s="217"/>
      <c r="F4" s="217"/>
      <c r="G4" s="217"/>
      <c r="H4" s="217"/>
      <c r="I4" s="217"/>
      <c r="J4" s="217"/>
      <c r="K4" s="217"/>
      <c r="L4" s="218"/>
      <c r="N4" s="215"/>
      <c r="O4" s="215"/>
      <c r="P4" s="215"/>
      <c r="Q4" s="215"/>
      <c r="R4" s="215"/>
    </row>
    <row r="5" spans="1:18" s="62" customFormat="1" ht="14.5" customHeight="1" x14ac:dyDescent="0.35">
      <c r="A5" s="119"/>
      <c r="B5" s="119"/>
      <c r="C5" s="119"/>
      <c r="D5" s="119"/>
      <c r="E5" s="119"/>
      <c r="F5" s="119"/>
      <c r="G5" s="119"/>
      <c r="H5" s="119"/>
      <c r="I5" s="119"/>
      <c r="J5" s="119"/>
      <c r="K5" s="119"/>
      <c r="L5" s="119"/>
    </row>
    <row r="6" spans="1:18" s="62" customFormat="1" ht="14.5" customHeight="1" x14ac:dyDescent="0.35">
      <c r="A6" s="208" t="s">
        <v>346</v>
      </c>
      <c r="B6" s="209"/>
      <c r="C6" s="209"/>
      <c r="D6" s="209"/>
      <c r="E6" s="209"/>
      <c r="F6" s="209"/>
      <c r="G6" s="209"/>
      <c r="H6" s="209"/>
      <c r="I6" s="209"/>
      <c r="J6" s="209"/>
      <c r="K6" s="209"/>
      <c r="L6" s="210"/>
    </row>
    <row r="7" spans="1:18" s="62" customFormat="1" ht="14.5" customHeight="1" x14ac:dyDescent="0.35">
      <c r="A7" s="229" t="s">
        <v>375</v>
      </c>
      <c r="B7" s="230"/>
      <c r="C7" s="230"/>
      <c r="D7" s="230"/>
      <c r="E7" s="230"/>
      <c r="F7" s="230"/>
      <c r="G7" s="230"/>
      <c r="H7" s="230"/>
      <c r="I7" s="230"/>
      <c r="J7" s="230"/>
      <c r="K7" s="230"/>
      <c r="L7" s="231"/>
    </row>
    <row r="8" spans="1:18" s="62" customFormat="1" ht="14.5" customHeight="1" x14ac:dyDescent="0.35">
      <c r="A8" s="211" t="s">
        <v>347</v>
      </c>
      <c r="B8" s="198"/>
      <c r="C8" s="198"/>
      <c r="D8" s="198"/>
      <c r="E8" s="198"/>
      <c r="F8" s="198"/>
      <c r="G8" s="198"/>
      <c r="H8" s="198"/>
      <c r="I8" s="198"/>
      <c r="J8" s="198"/>
      <c r="K8" s="198"/>
      <c r="L8" s="199"/>
    </row>
    <row r="9" spans="1:18" s="62" customFormat="1" ht="14.5" customHeight="1" x14ac:dyDescent="0.35">
      <c r="A9" s="211" t="s">
        <v>348</v>
      </c>
      <c r="B9" s="198"/>
      <c r="C9" s="198"/>
      <c r="D9" s="198"/>
      <c r="E9" s="198"/>
      <c r="F9" s="198"/>
      <c r="G9" s="198"/>
      <c r="H9" s="198"/>
      <c r="I9" s="198"/>
      <c r="J9" s="198"/>
      <c r="K9" s="198"/>
      <c r="L9" s="199"/>
    </row>
    <row r="10" spans="1:18" s="62" customFormat="1" ht="14.5" customHeight="1" x14ac:dyDescent="0.35">
      <c r="A10" s="212" t="s">
        <v>349</v>
      </c>
      <c r="B10" s="213"/>
      <c r="C10" s="213"/>
      <c r="D10" s="213"/>
      <c r="E10" s="213"/>
      <c r="F10" s="213"/>
      <c r="G10" s="213"/>
      <c r="H10" s="213"/>
      <c r="I10" s="213"/>
      <c r="J10" s="213"/>
      <c r="K10" s="213"/>
      <c r="L10" s="214"/>
    </row>
    <row r="11" spans="1:18" s="62" customFormat="1" ht="14.5" customHeight="1" x14ac:dyDescent="0.35">
      <c r="A11" s="119"/>
      <c r="B11" s="119"/>
      <c r="C11" s="119"/>
      <c r="D11" s="119"/>
      <c r="E11" s="119"/>
      <c r="F11" s="119"/>
      <c r="G11" s="119"/>
      <c r="H11" s="119"/>
      <c r="I11" s="119"/>
      <c r="J11" s="119"/>
      <c r="K11" s="119"/>
      <c r="L11" s="119"/>
    </row>
    <row r="12" spans="1:18" s="62" customFormat="1" ht="16.5" customHeight="1" x14ac:dyDescent="0.35">
      <c r="A12" s="224" t="s">
        <v>350</v>
      </c>
      <c r="B12" s="225"/>
      <c r="C12" s="225"/>
      <c r="D12" s="225"/>
      <c r="E12" s="225"/>
      <c r="F12" s="225"/>
      <c r="G12" s="225"/>
      <c r="H12" s="225"/>
      <c r="I12" s="225"/>
      <c r="J12" s="225"/>
      <c r="K12" s="225"/>
      <c r="L12" s="226"/>
      <c r="N12" s="1"/>
    </row>
    <row r="13" spans="1:18" s="62" customFormat="1" ht="16.5" customHeight="1" x14ac:dyDescent="0.35">
      <c r="A13" s="205" t="s">
        <v>363</v>
      </c>
      <c r="B13" s="206"/>
      <c r="C13" s="206"/>
      <c r="D13" s="206"/>
      <c r="E13" s="206"/>
      <c r="F13" s="206"/>
      <c r="G13" s="206"/>
      <c r="H13" s="206"/>
      <c r="I13" s="206"/>
      <c r="J13" s="206"/>
      <c r="K13" s="206"/>
      <c r="L13" s="207"/>
      <c r="N13" s="1"/>
    </row>
    <row r="14" spans="1:18" s="62" customFormat="1" ht="15" customHeight="1" x14ac:dyDescent="0.35">
      <c r="A14" s="168">
        <v>1</v>
      </c>
      <c r="B14" s="196" t="s">
        <v>362</v>
      </c>
      <c r="C14" s="196"/>
      <c r="D14" s="196"/>
      <c r="E14" s="196"/>
      <c r="F14" s="196"/>
      <c r="G14" s="196"/>
      <c r="H14" s="196"/>
      <c r="I14" s="196"/>
      <c r="J14" s="196"/>
      <c r="K14" s="196"/>
      <c r="L14" s="197"/>
    </row>
    <row r="15" spans="1:18" s="62" customFormat="1" ht="15" customHeight="1" x14ac:dyDescent="0.35">
      <c r="A15" s="168">
        <v>2</v>
      </c>
      <c r="B15" s="196" t="s">
        <v>356</v>
      </c>
      <c r="C15" s="196"/>
      <c r="D15" s="196"/>
      <c r="E15" s="196"/>
      <c r="F15" s="196"/>
      <c r="G15" s="196"/>
      <c r="H15" s="196"/>
      <c r="I15" s="196"/>
      <c r="J15" s="196"/>
      <c r="K15" s="196"/>
      <c r="L15" s="197"/>
      <c r="N15" s="112"/>
    </row>
    <row r="16" spans="1:18" s="62" customFormat="1" ht="15" customHeight="1" x14ac:dyDescent="0.35">
      <c r="A16" s="168">
        <v>3</v>
      </c>
      <c r="B16" s="196" t="s">
        <v>351</v>
      </c>
      <c r="C16" s="196"/>
      <c r="D16" s="196"/>
      <c r="E16" s="196"/>
      <c r="F16" s="196"/>
      <c r="G16" s="196"/>
      <c r="H16" s="196"/>
      <c r="I16" s="196"/>
      <c r="J16" s="196"/>
      <c r="K16" s="196"/>
      <c r="L16" s="197"/>
      <c r="N16" s="112"/>
    </row>
    <row r="17" spans="1:14" s="62" customFormat="1" ht="15" customHeight="1" x14ac:dyDescent="0.35">
      <c r="A17" s="168">
        <v>4</v>
      </c>
      <c r="B17" s="196" t="s">
        <v>352</v>
      </c>
      <c r="C17" s="196"/>
      <c r="D17" s="196"/>
      <c r="E17" s="196"/>
      <c r="F17" s="196"/>
      <c r="G17" s="196"/>
      <c r="H17" s="196"/>
      <c r="I17" s="196"/>
      <c r="J17" s="196"/>
      <c r="K17" s="196"/>
      <c r="L17" s="197"/>
      <c r="N17" s="112"/>
    </row>
    <row r="18" spans="1:14" s="62" customFormat="1" ht="15" customHeight="1" x14ac:dyDescent="0.35">
      <c r="A18" s="168">
        <v>5</v>
      </c>
      <c r="B18" s="196" t="s">
        <v>353</v>
      </c>
      <c r="C18" s="196"/>
      <c r="D18" s="196"/>
      <c r="E18" s="196"/>
      <c r="F18" s="196"/>
      <c r="G18" s="196"/>
      <c r="H18" s="196"/>
      <c r="I18" s="196"/>
      <c r="J18" s="196"/>
      <c r="K18" s="196"/>
      <c r="L18" s="197"/>
      <c r="N18" s="112"/>
    </row>
    <row r="19" spans="1:14" s="62" customFormat="1" ht="15" customHeight="1" x14ac:dyDescent="0.35">
      <c r="A19" s="168"/>
      <c r="B19" s="196" t="s">
        <v>354</v>
      </c>
      <c r="C19" s="196"/>
      <c r="D19" s="196"/>
      <c r="E19" s="196"/>
      <c r="F19" s="196"/>
      <c r="G19" s="196"/>
      <c r="H19" s="196"/>
      <c r="I19" s="196"/>
      <c r="J19" s="196"/>
      <c r="K19" s="196"/>
      <c r="L19" s="197"/>
      <c r="N19" s="112"/>
    </row>
    <row r="20" spans="1:14" s="62" customFormat="1" ht="15" customHeight="1" x14ac:dyDescent="0.35">
      <c r="A20" s="168"/>
      <c r="B20" s="196" t="s">
        <v>355</v>
      </c>
      <c r="C20" s="196"/>
      <c r="D20" s="196"/>
      <c r="E20" s="196"/>
      <c r="F20" s="196"/>
      <c r="G20" s="196"/>
      <c r="H20" s="196"/>
      <c r="I20" s="196"/>
      <c r="J20" s="196"/>
      <c r="K20" s="196"/>
      <c r="L20" s="197"/>
      <c r="N20" s="112"/>
    </row>
    <row r="21" spans="1:14" s="62" customFormat="1" ht="15" customHeight="1" x14ac:dyDescent="0.35">
      <c r="A21" s="202" t="s">
        <v>364</v>
      </c>
      <c r="B21" s="203"/>
      <c r="C21" s="203"/>
      <c r="D21" s="203"/>
      <c r="E21" s="203"/>
      <c r="F21" s="203"/>
      <c r="G21" s="203"/>
      <c r="H21" s="203"/>
      <c r="I21" s="203"/>
      <c r="J21" s="203"/>
      <c r="K21" s="203"/>
      <c r="L21" s="204"/>
      <c r="N21" s="112"/>
    </row>
    <row r="22" spans="1:14" s="62" customFormat="1" ht="15" customHeight="1" x14ac:dyDescent="0.35">
      <c r="A22" s="168">
        <v>1</v>
      </c>
      <c r="B22" s="196" t="s">
        <v>357</v>
      </c>
      <c r="C22" s="196"/>
      <c r="D22" s="196"/>
      <c r="E22" s="196"/>
      <c r="F22" s="196"/>
      <c r="G22" s="196"/>
      <c r="H22" s="196"/>
      <c r="I22" s="196"/>
      <c r="J22" s="196"/>
      <c r="K22" s="196"/>
      <c r="L22" s="197"/>
      <c r="N22" s="112"/>
    </row>
    <row r="23" spans="1:14" s="62" customFormat="1" ht="30.75" customHeight="1" x14ac:dyDescent="0.35">
      <c r="A23" s="168"/>
      <c r="B23" s="200" t="s">
        <v>358</v>
      </c>
      <c r="C23" s="200"/>
      <c r="D23" s="200"/>
      <c r="E23" s="200"/>
      <c r="F23" s="200"/>
      <c r="G23" s="200"/>
      <c r="H23" s="200"/>
      <c r="I23" s="200"/>
      <c r="J23" s="200"/>
      <c r="K23" s="200"/>
      <c r="L23" s="201"/>
      <c r="N23" s="112"/>
    </row>
    <row r="24" spans="1:14" s="62" customFormat="1" ht="15" customHeight="1" x14ac:dyDescent="0.35">
      <c r="A24" s="168"/>
      <c r="B24" s="200" t="s">
        <v>406</v>
      </c>
      <c r="C24" s="200"/>
      <c r="D24" s="200"/>
      <c r="E24" s="200"/>
      <c r="F24" s="200"/>
      <c r="G24" s="200"/>
      <c r="H24" s="200"/>
      <c r="I24" s="200"/>
      <c r="J24" s="200"/>
      <c r="K24" s="200"/>
      <c r="L24" s="201"/>
      <c r="N24" s="112"/>
    </row>
    <row r="25" spans="1:14" s="62" customFormat="1" ht="15" customHeight="1" x14ac:dyDescent="0.35">
      <c r="A25" s="168"/>
      <c r="B25" s="200" t="s">
        <v>359</v>
      </c>
      <c r="C25" s="200"/>
      <c r="D25" s="200"/>
      <c r="E25" s="200"/>
      <c r="F25" s="200"/>
      <c r="G25" s="200"/>
      <c r="H25" s="200"/>
      <c r="I25" s="200"/>
      <c r="J25" s="200"/>
      <c r="K25" s="200"/>
      <c r="L25" s="201"/>
      <c r="N25" s="112"/>
    </row>
    <row r="26" spans="1:14" s="62" customFormat="1" ht="16.5" customHeight="1" x14ac:dyDescent="0.35">
      <c r="A26" s="168"/>
      <c r="B26" s="196" t="s">
        <v>407</v>
      </c>
      <c r="C26" s="196"/>
      <c r="D26" s="196"/>
      <c r="E26" s="196"/>
      <c r="F26" s="196"/>
      <c r="G26" s="196"/>
      <c r="H26" s="196"/>
      <c r="I26" s="196"/>
      <c r="J26" s="196"/>
      <c r="K26" s="196"/>
      <c r="L26" s="197"/>
    </row>
    <row r="27" spans="1:14" s="62" customFormat="1" ht="15" customHeight="1" x14ac:dyDescent="0.35">
      <c r="A27" s="169">
        <v>2</v>
      </c>
      <c r="B27" s="196" t="s">
        <v>360</v>
      </c>
      <c r="C27" s="196"/>
      <c r="D27" s="196"/>
      <c r="E27" s="196"/>
      <c r="F27" s="196"/>
      <c r="G27" s="196"/>
      <c r="H27" s="196"/>
      <c r="I27" s="196"/>
      <c r="J27" s="196"/>
      <c r="K27" s="196"/>
      <c r="L27" s="197"/>
    </row>
    <row r="28" spans="1:14" s="62" customFormat="1" ht="30.75" customHeight="1" x14ac:dyDescent="0.35">
      <c r="A28" s="170">
        <v>3</v>
      </c>
      <c r="B28" s="227" t="s">
        <v>369</v>
      </c>
      <c r="C28" s="227"/>
      <c r="D28" s="227"/>
      <c r="E28" s="227"/>
      <c r="F28" s="227"/>
      <c r="G28" s="227"/>
      <c r="H28" s="227"/>
      <c r="I28" s="227"/>
      <c r="J28" s="227"/>
      <c r="K28" s="227"/>
      <c r="L28" s="228"/>
    </row>
    <row r="29" spans="1:14" s="62" customFormat="1" ht="18" customHeight="1" x14ac:dyDescent="0.35">
      <c r="A29" s="171"/>
      <c r="B29" s="119"/>
      <c r="C29" s="119"/>
      <c r="D29" s="119"/>
      <c r="E29" s="119"/>
      <c r="F29" s="119"/>
      <c r="G29" s="119"/>
      <c r="H29" s="119"/>
      <c r="I29" s="119"/>
      <c r="J29" s="119"/>
      <c r="K29" s="119"/>
      <c r="L29" s="119"/>
    </row>
    <row r="30" spans="1:14" s="1" customFormat="1" ht="16.5" customHeight="1" x14ac:dyDescent="0.35">
      <c r="A30" s="221" t="s">
        <v>401</v>
      </c>
      <c r="B30" s="222"/>
      <c r="C30" s="222"/>
      <c r="D30" s="222"/>
      <c r="E30" s="222"/>
      <c r="F30" s="222"/>
      <c r="G30" s="222"/>
      <c r="H30" s="222"/>
      <c r="I30" s="222"/>
      <c r="J30" s="222"/>
      <c r="K30" s="222"/>
      <c r="L30" s="223"/>
    </row>
    <row r="31" spans="1:14" s="1" customFormat="1" ht="16.5" customHeight="1" x14ac:dyDescent="0.35">
      <c r="A31" s="172" t="s">
        <v>361</v>
      </c>
      <c r="B31" s="173"/>
      <c r="C31" s="173"/>
      <c r="D31" s="173"/>
      <c r="E31" s="173"/>
      <c r="F31" s="173"/>
      <c r="G31" s="173"/>
      <c r="H31" s="173"/>
      <c r="I31" s="173"/>
      <c r="J31" s="173"/>
      <c r="K31" s="173"/>
      <c r="L31" s="174"/>
    </row>
    <row r="32" spans="1:14" ht="14.25" customHeight="1" x14ac:dyDescent="0.35">
      <c r="B32" s="88"/>
      <c r="C32" s="88"/>
      <c r="D32" s="88"/>
      <c r="E32" s="88"/>
      <c r="F32" s="88"/>
      <c r="G32" s="88"/>
      <c r="H32" s="88"/>
      <c r="I32" s="88"/>
      <c r="J32" s="88"/>
      <c r="K32" s="88"/>
      <c r="L32" s="88"/>
    </row>
    <row r="33" spans="1:12" ht="16.5" customHeight="1" x14ac:dyDescent="0.35">
      <c r="A33" s="175" t="s">
        <v>254</v>
      </c>
      <c r="B33" s="176"/>
      <c r="C33" s="176"/>
      <c r="D33" s="177"/>
      <c r="E33" s="176"/>
      <c r="F33" s="176"/>
      <c r="G33" s="176"/>
      <c r="H33" s="176"/>
      <c r="I33" s="176"/>
      <c r="J33" s="176"/>
      <c r="K33" s="176"/>
      <c r="L33" s="178"/>
    </row>
    <row r="34" spans="1:12" ht="15" customHeight="1" x14ac:dyDescent="0.35">
      <c r="A34" s="179"/>
      <c r="B34" s="180" t="s">
        <v>74</v>
      </c>
      <c r="C34" s="181" t="s">
        <v>96</v>
      </c>
      <c r="D34" s="181"/>
      <c r="E34" s="181"/>
      <c r="F34" s="181"/>
      <c r="G34" s="181"/>
      <c r="H34" s="181"/>
      <c r="I34" s="181"/>
      <c r="J34" s="181"/>
      <c r="K34" s="181"/>
      <c r="L34" s="182"/>
    </row>
    <row r="35" spans="1:12" ht="14.25" customHeight="1" x14ac:dyDescent="0.35">
      <c r="A35" s="179"/>
      <c r="B35" s="180" t="s">
        <v>98</v>
      </c>
      <c r="C35" s="181" t="s">
        <v>123</v>
      </c>
      <c r="D35" s="181"/>
      <c r="E35" s="181"/>
      <c r="F35" s="181"/>
      <c r="G35" s="181"/>
      <c r="H35" s="181"/>
      <c r="I35" s="181"/>
      <c r="J35" s="181"/>
      <c r="K35" s="181"/>
      <c r="L35" s="182"/>
    </row>
    <row r="36" spans="1:12" s="61" customFormat="1" ht="33.75" customHeight="1" x14ac:dyDescent="0.35">
      <c r="A36" s="179"/>
      <c r="B36" s="180" t="s">
        <v>74</v>
      </c>
      <c r="C36" s="198" t="s">
        <v>209</v>
      </c>
      <c r="D36" s="198"/>
      <c r="E36" s="198"/>
      <c r="F36" s="198"/>
      <c r="G36" s="198"/>
      <c r="H36" s="198"/>
      <c r="I36" s="198"/>
      <c r="J36" s="198"/>
      <c r="K36" s="198"/>
      <c r="L36" s="199"/>
    </row>
    <row r="37" spans="1:12" s="62" customFormat="1" ht="30.75" customHeight="1" x14ac:dyDescent="0.35">
      <c r="A37" s="179"/>
      <c r="B37" s="180" t="s">
        <v>207</v>
      </c>
      <c r="C37" s="198" t="s">
        <v>210</v>
      </c>
      <c r="D37" s="198"/>
      <c r="E37" s="198"/>
      <c r="F37" s="198"/>
      <c r="G37" s="198"/>
      <c r="H37" s="198"/>
      <c r="I37" s="198"/>
      <c r="J37" s="198"/>
      <c r="K37" s="198"/>
      <c r="L37" s="199"/>
    </row>
    <row r="38" spans="1:12" ht="30.75" customHeight="1" x14ac:dyDescent="0.35">
      <c r="A38" s="179"/>
      <c r="B38" s="180" t="s">
        <v>208</v>
      </c>
      <c r="C38" s="198" t="s">
        <v>211</v>
      </c>
      <c r="D38" s="198"/>
      <c r="E38" s="198"/>
      <c r="F38" s="198"/>
      <c r="G38" s="198"/>
      <c r="H38" s="198"/>
      <c r="I38" s="198"/>
      <c r="J38" s="198"/>
      <c r="K38" s="198"/>
      <c r="L38" s="199"/>
    </row>
    <row r="39" spans="1:12" ht="30.75" customHeight="1" x14ac:dyDescent="0.35">
      <c r="A39" s="179"/>
      <c r="B39" s="180" t="s">
        <v>396</v>
      </c>
      <c r="C39" s="198" t="s">
        <v>397</v>
      </c>
      <c r="D39" s="198"/>
      <c r="E39" s="198"/>
      <c r="F39" s="198"/>
      <c r="G39" s="198"/>
      <c r="H39" s="198"/>
      <c r="I39" s="198"/>
      <c r="J39" s="198"/>
      <c r="K39" s="198"/>
      <c r="L39" s="199"/>
    </row>
    <row r="40" spans="1:12" ht="15.5" customHeight="1" x14ac:dyDescent="0.35">
      <c r="A40" s="179"/>
      <c r="B40" s="180" t="s">
        <v>396</v>
      </c>
      <c r="C40" s="198" t="s">
        <v>398</v>
      </c>
      <c r="D40" s="198"/>
      <c r="E40" s="198"/>
      <c r="F40" s="198"/>
      <c r="G40" s="198"/>
      <c r="H40" s="198"/>
      <c r="I40" s="198"/>
      <c r="J40" s="198"/>
      <c r="K40" s="198"/>
      <c r="L40" s="199"/>
    </row>
    <row r="41" spans="1:12" x14ac:dyDescent="0.35">
      <c r="A41" s="179"/>
      <c r="B41" s="180" t="s">
        <v>339</v>
      </c>
      <c r="C41" s="181" t="s">
        <v>154</v>
      </c>
      <c r="D41" s="181"/>
      <c r="E41" s="181"/>
      <c r="F41" s="181"/>
      <c r="G41" s="181"/>
      <c r="H41" s="181"/>
      <c r="I41" s="181"/>
      <c r="J41" s="181"/>
      <c r="K41" s="181"/>
      <c r="L41" s="182"/>
    </row>
    <row r="42" spans="1:12" ht="29.25" customHeight="1" x14ac:dyDescent="0.35">
      <c r="A42" s="179"/>
      <c r="B42" s="180" t="s">
        <v>75</v>
      </c>
      <c r="C42" s="198" t="s">
        <v>76</v>
      </c>
      <c r="D42" s="198"/>
      <c r="E42" s="198"/>
      <c r="F42" s="198"/>
      <c r="G42" s="198"/>
      <c r="H42" s="198"/>
      <c r="I42" s="198"/>
      <c r="J42" s="198"/>
      <c r="K42" s="198"/>
      <c r="L42" s="199"/>
    </row>
    <row r="43" spans="1:12" x14ac:dyDescent="0.35">
      <c r="A43" s="179"/>
      <c r="B43" s="180" t="s">
        <v>77</v>
      </c>
      <c r="C43" s="181" t="s">
        <v>78</v>
      </c>
      <c r="D43" s="181"/>
      <c r="E43" s="181"/>
      <c r="F43" s="181"/>
      <c r="G43" s="181"/>
      <c r="H43" s="181"/>
      <c r="I43" s="181"/>
      <c r="J43" s="181"/>
      <c r="K43" s="181"/>
      <c r="L43" s="182"/>
    </row>
    <row r="44" spans="1:12" x14ac:dyDescent="0.35">
      <c r="A44" s="179"/>
      <c r="B44" s="180" t="s">
        <v>91</v>
      </c>
      <c r="C44" s="181" t="s">
        <v>92</v>
      </c>
      <c r="D44" s="181"/>
      <c r="E44" s="181"/>
      <c r="F44" s="181"/>
      <c r="G44" s="181"/>
      <c r="H44" s="181"/>
      <c r="I44" s="181"/>
      <c r="J44" s="181"/>
      <c r="K44" s="181"/>
      <c r="L44" s="182"/>
    </row>
    <row r="45" spans="1:12" x14ac:dyDescent="0.35">
      <c r="A45" s="183"/>
      <c r="B45" s="184" t="s">
        <v>245</v>
      </c>
      <c r="C45" s="185" t="s">
        <v>246</v>
      </c>
      <c r="D45" s="185"/>
      <c r="E45" s="185"/>
      <c r="F45" s="185"/>
      <c r="G45" s="185"/>
      <c r="H45" s="185"/>
      <c r="I45" s="185"/>
      <c r="J45" s="185"/>
      <c r="K45" s="185"/>
      <c r="L45" s="186"/>
    </row>
    <row r="47" spans="1:12" x14ac:dyDescent="0.35">
      <c r="A47" s="1" t="s">
        <v>126</v>
      </c>
    </row>
    <row r="48" spans="1:12" x14ac:dyDescent="0.35">
      <c r="A48" t="s">
        <v>127</v>
      </c>
    </row>
    <row r="49" spans="1:12" x14ac:dyDescent="0.35">
      <c r="A49" t="s">
        <v>128</v>
      </c>
    </row>
    <row r="50" spans="1:12" x14ac:dyDescent="0.35">
      <c r="A50" s="47" t="s">
        <v>129</v>
      </c>
    </row>
    <row r="51" spans="1:12" x14ac:dyDescent="0.35">
      <c r="A51" s="47" t="s">
        <v>130</v>
      </c>
    </row>
    <row r="52" spans="1:12" x14ac:dyDescent="0.35">
      <c r="A52" s="47"/>
    </row>
    <row r="53" spans="1:12" x14ac:dyDescent="0.35">
      <c r="A53" s="1" t="s">
        <v>323</v>
      </c>
    </row>
    <row r="54" spans="1:12" x14ac:dyDescent="0.35">
      <c r="A54" s="47" t="s">
        <v>322</v>
      </c>
    </row>
    <row r="56" spans="1:12" x14ac:dyDescent="0.35">
      <c r="A56" s="1" t="s">
        <v>35</v>
      </c>
    </row>
    <row r="57" spans="1:12" ht="29.15" customHeight="1" x14ac:dyDescent="0.35">
      <c r="A57" s="220" t="s">
        <v>409</v>
      </c>
      <c r="B57" s="220"/>
      <c r="C57" s="220"/>
      <c r="D57" s="220"/>
      <c r="E57" s="220"/>
      <c r="F57" s="220"/>
      <c r="G57" s="220"/>
      <c r="H57" s="220"/>
      <c r="I57" s="220"/>
      <c r="J57" s="220"/>
      <c r="K57" s="220"/>
      <c r="L57" s="220"/>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244</v>
      </c>
    </row>
    <row r="3" spans="1:4" s="1" customFormat="1" x14ac:dyDescent="0.35">
      <c r="A3" s="259" t="s">
        <v>242</v>
      </c>
      <c r="B3" s="259"/>
      <c r="C3" s="259"/>
      <c r="D3" s="135" t="s">
        <v>241</v>
      </c>
    </row>
    <row r="4" spans="1:4" ht="30" customHeight="1" x14ac:dyDescent="0.35">
      <c r="A4" s="260" t="s">
        <v>238</v>
      </c>
      <c r="B4" s="260"/>
      <c r="C4" s="260"/>
      <c r="D4" s="187" t="s">
        <v>376</v>
      </c>
    </row>
    <row r="5" spans="1:4" ht="43.5" x14ac:dyDescent="0.35">
      <c r="A5" s="264" t="s">
        <v>377</v>
      </c>
      <c r="B5" s="261"/>
      <c r="C5" s="261"/>
      <c r="D5" s="188" t="s">
        <v>402</v>
      </c>
    </row>
    <row r="6" spans="1:4" ht="57.5" customHeight="1" x14ac:dyDescent="0.35">
      <c r="A6" s="262" t="s">
        <v>378</v>
      </c>
      <c r="B6" s="262"/>
      <c r="C6" s="262"/>
      <c r="D6" s="189" t="s">
        <v>379</v>
      </c>
    </row>
    <row r="7" spans="1:4" ht="29" x14ac:dyDescent="0.35">
      <c r="A7" s="263" t="s">
        <v>33</v>
      </c>
      <c r="B7" s="263"/>
      <c r="C7" s="263"/>
      <c r="D7" s="190" t="s">
        <v>380</v>
      </c>
    </row>
    <row r="11" spans="1:4" x14ac:dyDescent="0.35">
      <c r="A11" s="260" t="s">
        <v>238</v>
      </c>
      <c r="B11" s="260"/>
      <c r="C11" s="260"/>
    </row>
    <row r="12" spans="1:4" x14ac:dyDescent="0.35">
      <c r="A12" s="261" t="s">
        <v>239</v>
      </c>
      <c r="B12" s="261"/>
      <c r="C12" s="261"/>
    </row>
    <row r="13" spans="1:4" x14ac:dyDescent="0.35">
      <c r="A13" s="262" t="s">
        <v>240</v>
      </c>
      <c r="B13" s="262"/>
      <c r="C13" s="262"/>
    </row>
    <row r="14" spans="1:4" x14ac:dyDescent="0.35">
      <c r="A14" s="263" t="s">
        <v>33</v>
      </c>
      <c r="B14" s="263"/>
      <c r="C14" s="263"/>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8"/>
  <sheetViews>
    <sheetView zoomScale="150" zoomScaleNormal="150" workbookViewId="0"/>
  </sheetViews>
  <sheetFormatPr defaultRowHeight="14.5" x14ac:dyDescent="0.35"/>
  <cols>
    <col min="1" max="1" width="12.54296875" style="41" customWidth="1"/>
    <col min="2" max="2" width="7.81640625" style="158" customWidth="1"/>
    <col min="3" max="3" width="29.81640625" style="40" customWidth="1"/>
    <col min="4" max="4" width="12.453125" style="43" customWidth="1"/>
    <col min="5" max="5" width="15.1796875" style="43" customWidth="1"/>
    <col min="6" max="6" width="12" style="41" customWidth="1"/>
    <col min="8" max="8" width="32.453125" style="56" customWidth="1"/>
    <col min="9" max="9" width="12.453125" style="56" customWidth="1"/>
    <col min="10" max="10" width="11" style="115" customWidth="1"/>
  </cols>
  <sheetData>
    <row r="1" spans="1:10" s="37" customFormat="1" ht="30.65" customHeight="1" x14ac:dyDescent="0.35">
      <c r="A1" s="38" t="s">
        <v>99</v>
      </c>
      <c r="B1" s="156" t="s">
        <v>111</v>
      </c>
      <c r="C1" s="39" t="s">
        <v>100</v>
      </c>
      <c r="D1" s="38" t="s">
        <v>102</v>
      </c>
      <c r="E1" s="38" t="s">
        <v>101</v>
      </c>
      <c r="F1" s="38" t="s">
        <v>103</v>
      </c>
      <c r="H1" s="113" t="s">
        <v>135</v>
      </c>
      <c r="I1" s="113" t="s">
        <v>101</v>
      </c>
      <c r="J1" s="114" t="s">
        <v>103</v>
      </c>
    </row>
    <row r="2" spans="1:10" x14ac:dyDescent="0.35">
      <c r="A2" s="59"/>
      <c r="B2" s="157"/>
      <c r="C2" s="58"/>
      <c r="D2" s="57"/>
      <c r="E2" s="57"/>
      <c r="F2" s="59"/>
      <c r="H2" s="40"/>
      <c r="I2" s="40"/>
      <c r="J2" s="41"/>
    </row>
    <row r="3" spans="1:10" x14ac:dyDescent="0.35">
      <c r="A3" s="59">
        <v>44700</v>
      </c>
      <c r="B3" s="157" t="s">
        <v>403</v>
      </c>
      <c r="C3" s="58" t="s">
        <v>404</v>
      </c>
      <c r="D3" s="57" t="s">
        <v>95</v>
      </c>
      <c r="E3" s="57" t="s">
        <v>95</v>
      </c>
      <c r="F3" s="59"/>
      <c r="H3" s="40"/>
      <c r="I3" s="40"/>
      <c r="J3" s="41"/>
    </row>
    <row r="4" spans="1:10" ht="145" x14ac:dyDescent="0.35">
      <c r="A4" s="59">
        <v>44699</v>
      </c>
      <c r="B4" s="157" t="s">
        <v>399</v>
      </c>
      <c r="C4" s="58" t="s">
        <v>400</v>
      </c>
      <c r="D4" s="57" t="s">
        <v>95</v>
      </c>
      <c r="E4" s="57" t="s">
        <v>95</v>
      </c>
      <c r="F4" s="59"/>
      <c r="H4" s="40"/>
      <c r="I4" s="40"/>
      <c r="J4" s="42"/>
    </row>
    <row r="5" spans="1:10" ht="40.5" customHeight="1" x14ac:dyDescent="0.35">
      <c r="A5" s="59">
        <v>44698</v>
      </c>
      <c r="B5" s="157" t="s">
        <v>394</v>
      </c>
      <c r="C5" s="58" t="s">
        <v>395</v>
      </c>
      <c r="D5" s="57" t="s">
        <v>95</v>
      </c>
      <c r="E5" s="57" t="s">
        <v>95</v>
      </c>
      <c r="F5" s="59"/>
      <c r="H5" s="40"/>
      <c r="I5" s="40"/>
      <c r="J5" s="42"/>
    </row>
    <row r="6" spans="1:10" ht="38.5" customHeight="1" x14ac:dyDescent="0.35">
      <c r="A6" s="59">
        <v>44676</v>
      </c>
      <c r="B6" s="157" t="s">
        <v>370</v>
      </c>
      <c r="C6" s="58" t="s">
        <v>371</v>
      </c>
      <c r="D6" s="57" t="s">
        <v>95</v>
      </c>
      <c r="E6" s="57" t="s">
        <v>95</v>
      </c>
      <c r="F6" s="59"/>
      <c r="H6" s="40" t="s">
        <v>136</v>
      </c>
      <c r="I6" s="40" t="s">
        <v>95</v>
      </c>
      <c r="J6" s="41"/>
    </row>
    <row r="7" spans="1:10" ht="58" x14ac:dyDescent="0.35">
      <c r="A7" s="59">
        <v>44656</v>
      </c>
      <c r="B7" s="157" t="s">
        <v>373</v>
      </c>
      <c r="C7" s="58" t="s">
        <v>374</v>
      </c>
      <c r="D7" s="57" t="s">
        <v>95</v>
      </c>
      <c r="E7" s="57" t="s">
        <v>95</v>
      </c>
      <c r="F7" s="59"/>
      <c r="H7" s="40" t="s">
        <v>306</v>
      </c>
      <c r="I7" s="43" t="s">
        <v>155</v>
      </c>
      <c r="J7" s="42">
        <v>44482</v>
      </c>
    </row>
    <row r="8" spans="1:10" ht="58" x14ac:dyDescent="0.35">
      <c r="A8" s="59">
        <v>44588</v>
      </c>
      <c r="B8" s="157" t="s">
        <v>343</v>
      </c>
      <c r="C8" s="58" t="s">
        <v>344</v>
      </c>
      <c r="D8" s="57" t="s">
        <v>95</v>
      </c>
      <c r="E8" s="57" t="s">
        <v>95</v>
      </c>
      <c r="F8" s="59"/>
      <c r="H8" s="40"/>
      <c r="I8" s="43"/>
      <c r="J8" s="42"/>
    </row>
    <row r="9" spans="1:10" ht="43.5" x14ac:dyDescent="0.35">
      <c r="A9" s="59">
        <v>44581</v>
      </c>
      <c r="B9" s="157" t="s">
        <v>341</v>
      </c>
      <c r="C9" s="58" t="s">
        <v>342</v>
      </c>
      <c r="D9" s="57" t="s">
        <v>95</v>
      </c>
      <c r="E9" s="57" t="s">
        <v>95</v>
      </c>
      <c r="F9" s="59"/>
      <c r="H9" s="40" t="s">
        <v>159</v>
      </c>
      <c r="I9" s="40" t="s">
        <v>155</v>
      </c>
      <c r="J9" s="42">
        <v>44385</v>
      </c>
    </row>
    <row r="10" spans="1:10" ht="101.5" x14ac:dyDescent="0.35">
      <c r="A10" s="59">
        <v>44581</v>
      </c>
      <c r="B10" s="157" t="s">
        <v>335</v>
      </c>
      <c r="C10" s="58" t="s">
        <v>336</v>
      </c>
      <c r="D10" s="57" t="s">
        <v>95</v>
      </c>
      <c r="E10" s="57" t="s">
        <v>337</v>
      </c>
      <c r="F10" s="59" t="s">
        <v>338</v>
      </c>
      <c r="H10" s="40" t="s">
        <v>204</v>
      </c>
      <c r="I10" s="43" t="s">
        <v>199</v>
      </c>
      <c r="J10" s="42">
        <v>44391</v>
      </c>
    </row>
    <row r="11" spans="1:10" ht="87" x14ac:dyDescent="0.35">
      <c r="A11" s="59">
        <v>44532</v>
      </c>
      <c r="B11" s="157" t="s">
        <v>321</v>
      </c>
      <c r="C11" s="58" t="s">
        <v>324</v>
      </c>
      <c r="D11" s="57" t="s">
        <v>95</v>
      </c>
      <c r="E11" s="57" t="s">
        <v>95</v>
      </c>
      <c r="F11" s="59"/>
      <c r="H11" s="40" t="s">
        <v>157</v>
      </c>
      <c r="I11" s="43" t="s">
        <v>199</v>
      </c>
      <c r="J11" s="42">
        <v>44391</v>
      </c>
    </row>
    <row r="12" spans="1:10" ht="29" x14ac:dyDescent="0.35">
      <c r="A12" s="59">
        <v>44501</v>
      </c>
      <c r="B12" s="157" t="s">
        <v>319</v>
      </c>
      <c r="C12" s="58" t="s">
        <v>320</v>
      </c>
      <c r="D12" s="57" t="s">
        <v>95</v>
      </c>
      <c r="E12" s="57" t="s">
        <v>95</v>
      </c>
      <c r="F12" s="59"/>
      <c r="H12" s="40" t="s">
        <v>158</v>
      </c>
      <c r="I12" s="43" t="s">
        <v>199</v>
      </c>
      <c r="J12" s="42">
        <v>44391</v>
      </c>
    </row>
    <row r="13" spans="1:10" ht="72.5" x14ac:dyDescent="0.35">
      <c r="A13" s="59">
        <v>44500</v>
      </c>
      <c r="B13" s="157" t="s">
        <v>317</v>
      </c>
      <c r="C13" s="58" t="s">
        <v>318</v>
      </c>
      <c r="D13" s="57" t="s">
        <v>95</v>
      </c>
      <c r="E13" s="57" t="s">
        <v>95</v>
      </c>
      <c r="F13" s="59"/>
      <c r="H13" s="40"/>
      <c r="I13" s="40"/>
      <c r="J13" s="41"/>
    </row>
    <row r="14" spans="1:10" ht="43.5" x14ac:dyDescent="0.35">
      <c r="A14" s="59">
        <v>44496</v>
      </c>
      <c r="B14" s="157" t="s">
        <v>312</v>
      </c>
      <c r="C14" s="58" t="s">
        <v>313</v>
      </c>
      <c r="D14" s="57" t="s">
        <v>95</v>
      </c>
      <c r="E14" s="57" t="s">
        <v>305</v>
      </c>
      <c r="F14" s="59"/>
      <c r="H14" s="40"/>
      <c r="I14" s="40"/>
      <c r="J14" s="41"/>
    </row>
    <row r="15" spans="1:10" ht="72.5" x14ac:dyDescent="0.35">
      <c r="A15" s="59">
        <v>44496</v>
      </c>
      <c r="B15" s="157" t="s">
        <v>310</v>
      </c>
      <c r="C15" s="58" t="s">
        <v>311</v>
      </c>
      <c r="D15" s="57" t="s">
        <v>95</v>
      </c>
      <c r="E15" s="57" t="s">
        <v>325</v>
      </c>
      <c r="F15" s="59">
        <v>44495</v>
      </c>
      <c r="H15" s="40"/>
      <c r="I15" s="40"/>
      <c r="J15" s="41"/>
    </row>
    <row r="16" spans="1:10" ht="29" x14ac:dyDescent="0.35">
      <c r="A16" s="59">
        <v>44480</v>
      </c>
      <c r="B16" s="157" t="s">
        <v>304</v>
      </c>
      <c r="C16" s="58" t="s">
        <v>301</v>
      </c>
      <c r="D16" s="57" t="s">
        <v>95</v>
      </c>
      <c r="E16" s="57"/>
      <c r="F16" s="59"/>
      <c r="H16" s="40"/>
      <c r="I16" s="40"/>
      <c r="J16" s="41"/>
    </row>
    <row r="17" spans="1:6" ht="29" x14ac:dyDescent="0.35">
      <c r="A17" s="59">
        <v>44480</v>
      </c>
      <c r="B17" s="157" t="s">
        <v>303</v>
      </c>
      <c r="C17" s="58" t="s">
        <v>300</v>
      </c>
      <c r="D17" s="57" t="s">
        <v>95</v>
      </c>
      <c r="E17" s="57" t="s">
        <v>95</v>
      </c>
      <c r="F17" s="59"/>
    </row>
    <row r="18" spans="1:6" ht="29" x14ac:dyDescent="0.35">
      <c r="A18" s="59">
        <v>44480</v>
      </c>
      <c r="B18" s="157" t="s">
        <v>302</v>
      </c>
      <c r="C18" s="58" t="s">
        <v>299</v>
      </c>
      <c r="D18" s="57" t="s">
        <v>95</v>
      </c>
      <c r="E18" s="57" t="s">
        <v>255</v>
      </c>
      <c r="F18" s="59" t="s">
        <v>256</v>
      </c>
    </row>
    <row r="19" spans="1:6" ht="43.5" x14ac:dyDescent="0.35">
      <c r="A19" s="59">
        <v>44474</v>
      </c>
      <c r="B19" s="57">
        <v>3.7</v>
      </c>
      <c r="C19" s="58" t="s">
        <v>247</v>
      </c>
      <c r="D19" s="57" t="s">
        <v>95</v>
      </c>
      <c r="E19" s="57" t="s">
        <v>95</v>
      </c>
      <c r="F19" s="59"/>
    </row>
    <row r="20" spans="1:6" ht="43.5" x14ac:dyDescent="0.35">
      <c r="A20" s="59">
        <v>44463</v>
      </c>
      <c r="B20" s="57" t="s">
        <v>316</v>
      </c>
      <c r="C20" s="58" t="s">
        <v>232</v>
      </c>
      <c r="D20" s="57" t="s">
        <v>95</v>
      </c>
      <c r="E20" s="57" t="s">
        <v>326</v>
      </c>
      <c r="F20" s="59">
        <v>44432</v>
      </c>
    </row>
    <row r="21" spans="1:6" ht="58" x14ac:dyDescent="0.35">
      <c r="A21" s="59">
        <v>44459</v>
      </c>
      <c r="B21" s="57" t="s">
        <v>214</v>
      </c>
      <c r="C21" s="58" t="s">
        <v>215</v>
      </c>
      <c r="D21" s="57" t="s">
        <v>95</v>
      </c>
      <c r="E21" s="57" t="s">
        <v>95</v>
      </c>
      <c r="F21" s="59"/>
    </row>
    <row r="22" spans="1:6" ht="43.5" x14ac:dyDescent="0.35">
      <c r="A22" s="59">
        <v>44459</v>
      </c>
      <c r="B22" s="57">
        <v>3.6</v>
      </c>
      <c r="C22" s="58" t="s">
        <v>216</v>
      </c>
      <c r="D22" s="57" t="s">
        <v>95</v>
      </c>
      <c r="E22" s="57" t="s">
        <v>95</v>
      </c>
      <c r="F22" s="59"/>
    </row>
    <row r="23" spans="1:6" ht="58" x14ac:dyDescent="0.35">
      <c r="A23" s="59">
        <v>44432</v>
      </c>
      <c r="B23" s="57">
        <v>3.5</v>
      </c>
      <c r="C23" s="58" t="s">
        <v>206</v>
      </c>
      <c r="D23" s="57" t="s">
        <v>95</v>
      </c>
      <c r="E23" s="57" t="s">
        <v>95</v>
      </c>
      <c r="F23" s="59">
        <v>44424</v>
      </c>
    </row>
    <row r="24" spans="1:6" ht="101.5" x14ac:dyDescent="0.35">
      <c r="A24" s="59">
        <v>44432</v>
      </c>
      <c r="B24" s="57">
        <v>3.5</v>
      </c>
      <c r="C24" s="58" t="s">
        <v>212</v>
      </c>
      <c r="D24" s="57" t="s">
        <v>95</v>
      </c>
      <c r="E24" s="57" t="s">
        <v>327</v>
      </c>
      <c r="F24" s="59">
        <v>44424</v>
      </c>
    </row>
    <row r="25" spans="1:6" ht="87" x14ac:dyDescent="0.35">
      <c r="A25" s="59">
        <v>44432</v>
      </c>
      <c r="B25" s="57">
        <v>3.5</v>
      </c>
      <c r="C25" s="58" t="s">
        <v>205</v>
      </c>
      <c r="D25" s="57" t="s">
        <v>95</v>
      </c>
      <c r="E25" s="57"/>
      <c r="F25" s="59"/>
    </row>
    <row r="26" spans="1:6" ht="43.5" x14ac:dyDescent="0.35">
      <c r="A26" s="59">
        <v>44423</v>
      </c>
      <c r="B26" s="57" t="s">
        <v>201</v>
      </c>
      <c r="C26" s="58" t="s">
        <v>202</v>
      </c>
      <c r="D26" s="57" t="s">
        <v>95</v>
      </c>
      <c r="E26" s="57" t="s">
        <v>95</v>
      </c>
      <c r="F26" s="59"/>
    </row>
    <row r="27" spans="1:6" ht="43.5" x14ac:dyDescent="0.35">
      <c r="A27" s="59">
        <v>44405</v>
      </c>
      <c r="B27" s="57" t="s">
        <v>198</v>
      </c>
      <c r="C27" s="40" t="s">
        <v>200</v>
      </c>
      <c r="D27" s="57" t="s">
        <v>95</v>
      </c>
      <c r="E27" s="57" t="s">
        <v>328</v>
      </c>
      <c r="F27" s="59">
        <v>44405</v>
      </c>
    </row>
    <row r="28" spans="1:6" ht="29" x14ac:dyDescent="0.35">
      <c r="A28" s="59">
        <v>44405</v>
      </c>
      <c r="B28" s="57" t="s">
        <v>196</v>
      </c>
      <c r="C28" s="58" t="s">
        <v>197</v>
      </c>
      <c r="D28" s="57" t="s">
        <v>95</v>
      </c>
      <c r="E28" s="57" t="s">
        <v>95</v>
      </c>
      <c r="F28" s="59">
        <v>44405</v>
      </c>
    </row>
    <row r="29" spans="1:6" ht="72.5" x14ac:dyDescent="0.35">
      <c r="A29" s="59">
        <v>44405</v>
      </c>
      <c r="B29" s="57" t="s">
        <v>183</v>
      </c>
      <c r="C29" s="58" t="s">
        <v>195</v>
      </c>
      <c r="D29" s="57" t="s">
        <v>95</v>
      </c>
      <c r="E29" s="57" t="s">
        <v>328</v>
      </c>
      <c r="F29" s="59">
        <v>44391</v>
      </c>
    </row>
    <row r="30" spans="1:6" ht="43.5" x14ac:dyDescent="0.35">
      <c r="A30" s="57" t="s">
        <v>180</v>
      </c>
      <c r="B30" s="57" t="s">
        <v>179</v>
      </c>
      <c r="C30" s="40" t="s">
        <v>181</v>
      </c>
      <c r="D30" s="57" t="s">
        <v>95</v>
      </c>
      <c r="E30" s="57" t="s">
        <v>328</v>
      </c>
      <c r="F30" s="59">
        <v>44391</v>
      </c>
    </row>
    <row r="31" spans="1:6" ht="29" x14ac:dyDescent="0.35">
      <c r="A31" s="57" t="s">
        <v>180</v>
      </c>
      <c r="B31" s="57" t="s">
        <v>179</v>
      </c>
      <c r="C31" s="40" t="s">
        <v>156</v>
      </c>
      <c r="D31" s="57" t="s">
        <v>95</v>
      </c>
      <c r="E31" s="57" t="s">
        <v>328</v>
      </c>
      <c r="F31" s="59">
        <v>44391</v>
      </c>
    </row>
    <row r="32" spans="1:6" ht="101.5" x14ac:dyDescent="0.35">
      <c r="A32" s="59">
        <v>44403</v>
      </c>
      <c r="B32" s="57" t="s">
        <v>160</v>
      </c>
      <c r="C32" s="58" t="s">
        <v>161</v>
      </c>
      <c r="D32" s="57" t="s">
        <v>95</v>
      </c>
      <c r="E32" s="57" t="s">
        <v>328</v>
      </c>
      <c r="F32" s="59">
        <v>44391</v>
      </c>
    </row>
    <row r="33" spans="1:6" ht="58" x14ac:dyDescent="0.35">
      <c r="A33" s="42">
        <v>44389</v>
      </c>
      <c r="B33" s="41" t="s">
        <v>152</v>
      </c>
      <c r="C33" s="40" t="s">
        <v>153</v>
      </c>
      <c r="D33" s="43" t="s">
        <v>95</v>
      </c>
      <c r="E33" s="43" t="s">
        <v>95</v>
      </c>
      <c r="F33" s="42">
        <v>44389</v>
      </c>
    </row>
    <row r="34" spans="1:6" ht="29" x14ac:dyDescent="0.35">
      <c r="A34" s="42">
        <v>44389</v>
      </c>
      <c r="B34" s="41" t="s">
        <v>150</v>
      </c>
      <c r="C34" s="40" t="s">
        <v>151</v>
      </c>
      <c r="D34" s="43" t="s">
        <v>95</v>
      </c>
      <c r="E34" s="43" t="s">
        <v>155</v>
      </c>
      <c r="F34" s="42">
        <v>44385</v>
      </c>
    </row>
    <row r="35" spans="1:6" ht="58" x14ac:dyDescent="0.35">
      <c r="A35" s="42">
        <v>44385</v>
      </c>
      <c r="B35" s="41" t="s">
        <v>131</v>
      </c>
      <c r="C35" s="40" t="s">
        <v>132</v>
      </c>
      <c r="D35" s="43" t="s">
        <v>95</v>
      </c>
      <c r="E35" s="43" t="s">
        <v>95</v>
      </c>
      <c r="F35" s="42">
        <f>A35</f>
        <v>44385</v>
      </c>
    </row>
    <row r="36" spans="1:6" ht="29" x14ac:dyDescent="0.35">
      <c r="A36" s="42">
        <v>44384</v>
      </c>
      <c r="B36" s="41" t="s">
        <v>124</v>
      </c>
      <c r="C36" s="40" t="s">
        <v>133</v>
      </c>
      <c r="D36" s="43" t="s">
        <v>95</v>
      </c>
      <c r="E36" s="43" t="s">
        <v>95</v>
      </c>
      <c r="F36" s="42">
        <v>44384</v>
      </c>
    </row>
    <row r="37" spans="1:6" ht="43.5" x14ac:dyDescent="0.35">
      <c r="A37" s="42">
        <v>44384</v>
      </c>
      <c r="B37" s="41" t="s">
        <v>122</v>
      </c>
      <c r="C37" s="40" t="s">
        <v>134</v>
      </c>
      <c r="D37" s="43" t="s">
        <v>95</v>
      </c>
      <c r="E37" s="43" t="s">
        <v>95</v>
      </c>
      <c r="F37" s="42">
        <v>44384</v>
      </c>
    </row>
    <row r="38" spans="1:6" ht="43.5" x14ac:dyDescent="0.35">
      <c r="A38" s="42">
        <v>44378</v>
      </c>
      <c r="B38" s="41" t="s">
        <v>119</v>
      </c>
      <c r="C38" s="40" t="s">
        <v>120</v>
      </c>
      <c r="D38" s="43" t="s">
        <v>95</v>
      </c>
      <c r="E38" s="43" t="s">
        <v>95</v>
      </c>
      <c r="F38" s="42">
        <v>44378</v>
      </c>
    </row>
    <row r="39" spans="1:6" x14ac:dyDescent="0.35">
      <c r="A39" s="42">
        <v>44377</v>
      </c>
      <c r="B39" s="41" t="s">
        <v>117</v>
      </c>
      <c r="C39" s="40" t="s">
        <v>121</v>
      </c>
      <c r="D39" s="43" t="s">
        <v>95</v>
      </c>
      <c r="E39" s="43" t="s">
        <v>95</v>
      </c>
      <c r="F39" s="42">
        <v>44377</v>
      </c>
    </row>
    <row r="40" spans="1:6" ht="72.5" x14ac:dyDescent="0.35">
      <c r="A40" s="42">
        <v>44377</v>
      </c>
      <c r="B40" s="41" t="s">
        <v>115</v>
      </c>
      <c r="C40" s="40" t="s">
        <v>116</v>
      </c>
      <c r="D40" s="43" t="s">
        <v>95</v>
      </c>
      <c r="E40" s="43" t="s">
        <v>329</v>
      </c>
      <c r="F40" s="42">
        <v>44372</v>
      </c>
    </row>
    <row r="41" spans="1:6" ht="43.5" x14ac:dyDescent="0.35">
      <c r="A41" s="42">
        <v>44377</v>
      </c>
      <c r="B41" s="41">
        <v>3.3</v>
      </c>
      <c r="C41" s="40" t="s">
        <v>113</v>
      </c>
      <c r="D41" s="43" t="s">
        <v>95</v>
      </c>
      <c r="E41" s="43" t="s">
        <v>329</v>
      </c>
      <c r="F41" s="42">
        <v>44372</v>
      </c>
    </row>
    <row r="42" spans="1:6" ht="29" x14ac:dyDescent="0.35">
      <c r="A42" s="42">
        <v>44377</v>
      </c>
      <c r="B42" s="41" t="s">
        <v>112</v>
      </c>
      <c r="C42" s="40" t="s">
        <v>104</v>
      </c>
      <c r="D42" s="43" t="s">
        <v>95</v>
      </c>
      <c r="E42" s="43" t="s">
        <v>95</v>
      </c>
      <c r="F42" s="42">
        <v>44377</v>
      </c>
    </row>
    <row r="43" spans="1:6" ht="116" x14ac:dyDescent="0.35">
      <c r="A43" s="42">
        <v>44367</v>
      </c>
      <c r="B43" s="41">
        <v>3.2</v>
      </c>
      <c r="C43" s="40" t="s">
        <v>109</v>
      </c>
      <c r="D43" s="43" t="s">
        <v>95</v>
      </c>
      <c r="E43" s="43" t="s">
        <v>95</v>
      </c>
      <c r="F43" s="42">
        <v>44367</v>
      </c>
    </row>
    <row r="44" spans="1:6" ht="29" x14ac:dyDescent="0.35">
      <c r="A44" s="42">
        <v>44331</v>
      </c>
      <c r="B44" s="41">
        <v>3.1</v>
      </c>
      <c r="C44" s="40" t="s">
        <v>108</v>
      </c>
      <c r="D44" s="43" t="s">
        <v>95</v>
      </c>
      <c r="E44" s="43" t="s">
        <v>95</v>
      </c>
      <c r="F44" s="42">
        <v>44331</v>
      </c>
    </row>
    <row r="45" spans="1:6" ht="72.5" x14ac:dyDescent="0.35">
      <c r="A45" s="42">
        <v>44319</v>
      </c>
      <c r="B45" s="41">
        <v>3</v>
      </c>
      <c r="C45" s="40" t="s">
        <v>107</v>
      </c>
      <c r="D45" s="43" t="s">
        <v>95</v>
      </c>
      <c r="E45" s="43" t="s">
        <v>330</v>
      </c>
      <c r="F45" s="42">
        <v>44315</v>
      </c>
    </row>
    <row r="46" spans="1:6" ht="29" x14ac:dyDescent="0.35">
      <c r="A46" s="42">
        <v>44307</v>
      </c>
      <c r="B46" s="41">
        <v>2</v>
      </c>
      <c r="C46" s="40" t="s">
        <v>105</v>
      </c>
      <c r="D46" s="43" t="s">
        <v>95</v>
      </c>
      <c r="E46" s="43" t="s">
        <v>155</v>
      </c>
      <c r="F46" s="42">
        <v>44294</v>
      </c>
    </row>
    <row r="47" spans="1:6" ht="29" x14ac:dyDescent="0.35">
      <c r="A47" s="42">
        <v>44293</v>
      </c>
      <c r="B47" s="44">
        <v>1</v>
      </c>
      <c r="C47" s="40" t="s">
        <v>106</v>
      </c>
      <c r="D47" s="43" t="s">
        <v>95</v>
      </c>
      <c r="E47" s="43" t="s">
        <v>330</v>
      </c>
      <c r="F47" s="42">
        <v>44291</v>
      </c>
    </row>
    <row r="48" spans="1:6" x14ac:dyDescent="0.35">
      <c r="A48" s="42">
        <v>44291</v>
      </c>
      <c r="B48" s="44">
        <v>0.5</v>
      </c>
      <c r="C48" s="40" t="s">
        <v>315</v>
      </c>
      <c r="D48" s="43" t="s">
        <v>95</v>
      </c>
      <c r="E48" s="43" t="s">
        <v>95</v>
      </c>
      <c r="F48" s="42">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3" zoomScale="150" zoomScaleNormal="150" workbookViewId="0">
      <selection activeCell="D23" sqref="D2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2" t="str">
        <f>'ReadMe-Directions'!A1</f>
        <v>Colorado River Basin Accounts: Provoke discussion about more adaptive operations</v>
      </c>
      <c r="B1" s="232"/>
      <c r="C1" s="232"/>
      <c r="D1" s="232"/>
      <c r="E1" s="232"/>
      <c r="F1" s="232"/>
      <c r="G1" s="232"/>
    </row>
    <row r="2" spans="1:14" x14ac:dyDescent="0.35">
      <c r="A2" s="1" t="s">
        <v>366</v>
      </c>
      <c r="B2" s="1"/>
    </row>
    <row r="3" spans="1:14" ht="32.15" customHeight="1" x14ac:dyDescent="0.35">
      <c r="A3" s="242" t="s">
        <v>385</v>
      </c>
      <c r="B3" s="242"/>
      <c r="C3" s="242"/>
      <c r="D3" s="242"/>
      <c r="E3" s="242"/>
      <c r="F3" s="242"/>
      <c r="G3" s="242"/>
      <c r="H3" s="88"/>
      <c r="I3" s="88"/>
      <c r="J3" s="88"/>
      <c r="K3" s="88"/>
      <c r="N3" s="144" t="s">
        <v>296</v>
      </c>
    </row>
    <row r="4" spans="1:14" x14ac:dyDescent="0.35">
      <c r="A4" s="134" t="s">
        <v>405</v>
      </c>
      <c r="B4" s="134" t="s">
        <v>31</v>
      </c>
      <c r="C4" s="243" t="s">
        <v>32</v>
      </c>
      <c r="D4" s="244"/>
      <c r="E4" s="244"/>
      <c r="F4" s="244"/>
      <c r="G4" s="245"/>
      <c r="N4" s="148" t="s">
        <v>260</v>
      </c>
    </row>
    <row r="5" spans="1:14" x14ac:dyDescent="0.35">
      <c r="A5" s="96" t="s">
        <v>411</v>
      </c>
      <c r="B5" s="120"/>
      <c r="C5" s="246"/>
      <c r="D5" s="241"/>
      <c r="E5" s="241"/>
      <c r="F5" s="241"/>
      <c r="G5" s="241"/>
      <c r="N5" s="149"/>
    </row>
    <row r="6" spans="1:14" x14ac:dyDescent="0.35">
      <c r="A6" s="96" t="s">
        <v>412</v>
      </c>
      <c r="B6" s="120"/>
      <c r="C6" s="246"/>
      <c r="D6" s="241"/>
      <c r="E6" s="241"/>
      <c r="F6" s="241"/>
      <c r="G6" s="241"/>
      <c r="N6" s="149"/>
    </row>
    <row r="7" spans="1:14" x14ac:dyDescent="0.35">
      <c r="A7" s="96" t="s">
        <v>413</v>
      </c>
      <c r="B7" s="120"/>
      <c r="C7" s="246"/>
      <c r="D7" s="241"/>
      <c r="E7" s="241"/>
      <c r="F7" s="241"/>
      <c r="G7" s="241"/>
      <c r="N7" s="149"/>
    </row>
    <row r="8" spans="1:14" x14ac:dyDescent="0.35">
      <c r="A8" s="120" t="s">
        <v>94</v>
      </c>
      <c r="B8" s="96"/>
      <c r="C8" s="241"/>
      <c r="D8" s="241"/>
      <c r="E8" s="241"/>
      <c r="F8" s="241"/>
      <c r="G8" s="241"/>
      <c r="N8" s="149"/>
    </row>
    <row r="9" spans="1:14" x14ac:dyDescent="0.35">
      <c r="A9" s="120" t="s">
        <v>30</v>
      </c>
      <c r="B9" s="96"/>
      <c r="C9" s="247"/>
      <c r="D9" s="247"/>
      <c r="E9" s="247"/>
      <c r="F9" s="247"/>
      <c r="G9" s="247"/>
      <c r="N9" s="149"/>
    </row>
    <row r="10" spans="1:14" x14ac:dyDescent="0.35">
      <c r="A10" s="96" t="s">
        <v>414</v>
      </c>
      <c r="B10" s="96"/>
      <c r="C10" s="241"/>
      <c r="D10" s="241"/>
      <c r="E10" s="241"/>
      <c r="F10" s="241"/>
      <c r="G10" s="241"/>
      <c r="N10" s="149"/>
    </row>
    <row r="11" spans="1:14" x14ac:dyDescent="0.35">
      <c r="A11" s="14"/>
      <c r="B11" s="2"/>
      <c r="C11"/>
      <c r="N11" s="149"/>
    </row>
    <row r="12" spans="1:14" x14ac:dyDescent="0.35">
      <c r="A12" s="16" t="s">
        <v>236</v>
      </c>
      <c r="B12" s="249" t="s">
        <v>238</v>
      </c>
      <c r="C12" s="250"/>
      <c r="D12" s="251"/>
      <c r="N12" s="148" t="s">
        <v>261</v>
      </c>
    </row>
    <row r="13" spans="1:14" x14ac:dyDescent="0.35">
      <c r="B13" s="252" t="s">
        <v>383</v>
      </c>
      <c r="C13" s="253"/>
      <c r="D13" s="254"/>
      <c r="N13" s="149"/>
    </row>
    <row r="14" spans="1:14" x14ac:dyDescent="0.35">
      <c r="B14" s="233" t="s">
        <v>378</v>
      </c>
      <c r="C14" s="234"/>
      <c r="D14" s="235"/>
      <c r="N14" s="149"/>
    </row>
    <row r="15" spans="1:14" x14ac:dyDescent="0.35">
      <c r="B15" s="236" t="s">
        <v>33</v>
      </c>
      <c r="C15" s="237"/>
      <c r="D15" s="238"/>
      <c r="N15" s="149"/>
    </row>
    <row r="16" spans="1:14" x14ac:dyDescent="0.35">
      <c r="N16" s="149"/>
    </row>
    <row r="17" spans="1:14" x14ac:dyDescent="0.35">
      <c r="A17" s="1" t="s">
        <v>237</v>
      </c>
      <c r="B17" s="1" t="s">
        <v>81</v>
      </c>
      <c r="C17" s="12" t="s">
        <v>82</v>
      </c>
      <c r="N17" s="148" t="s">
        <v>262</v>
      </c>
    </row>
    <row r="18" spans="1:14" x14ac:dyDescent="0.35">
      <c r="A18" t="s">
        <v>80</v>
      </c>
      <c r="B18" s="116">
        <v>0</v>
      </c>
      <c r="C18" s="116">
        <v>6</v>
      </c>
      <c r="D18" s="17"/>
      <c r="N18" s="148" t="s">
        <v>264</v>
      </c>
    </row>
    <row r="19" spans="1:14" x14ac:dyDescent="0.35">
      <c r="A19" t="s">
        <v>257</v>
      </c>
      <c r="B19" s="116">
        <v>0</v>
      </c>
      <c r="C19" s="116">
        <f>VLOOKUP(F19,'Mead-Elevation-Area'!$A$5:$B$676,2)/1000000</f>
        <v>8.2721479999999996</v>
      </c>
      <c r="D19" s="136" t="s">
        <v>415</v>
      </c>
      <c r="F19" s="266">
        <v>1058</v>
      </c>
      <c r="N19" s="148" t="s">
        <v>263</v>
      </c>
    </row>
    <row r="20" spans="1:14" x14ac:dyDescent="0.35">
      <c r="A20" t="s">
        <v>118</v>
      </c>
      <c r="B20" s="265">
        <v>0</v>
      </c>
      <c r="C20" s="265">
        <v>1020</v>
      </c>
      <c r="D20" s="11"/>
      <c r="N20" s="148" t="s">
        <v>265</v>
      </c>
    </row>
    <row r="21" spans="1:14" x14ac:dyDescent="0.35">
      <c r="A21" t="s">
        <v>110</v>
      </c>
      <c r="B21" s="116">
        <v>0</v>
      </c>
      <c r="C21" s="116">
        <f>VLOOKUP(C20,'Mead-Elevation-Area'!$A$5:$B$689,2)/1000000</f>
        <v>5.664593</v>
      </c>
      <c r="D21" s="11"/>
      <c r="E21" s="29"/>
      <c r="N21" s="148" t="s">
        <v>267</v>
      </c>
    </row>
    <row r="22" spans="1:14" x14ac:dyDescent="0.35">
      <c r="A22" t="s">
        <v>249</v>
      </c>
      <c r="B22" s="116">
        <f>78.1</f>
        <v>78.099999999999994</v>
      </c>
      <c r="C22"/>
      <c r="D22" s="117"/>
      <c r="E22" s="29"/>
      <c r="N22" s="148" t="s">
        <v>266</v>
      </c>
    </row>
    <row r="23" spans="1:14" x14ac:dyDescent="0.35">
      <c r="A23" t="s">
        <v>250</v>
      </c>
      <c r="B23" s="137">
        <v>0.17</v>
      </c>
      <c r="C23"/>
      <c r="D23" s="117"/>
      <c r="E23" s="29"/>
      <c r="N23" s="148" t="s">
        <v>268</v>
      </c>
    </row>
    <row r="24" spans="1:14" x14ac:dyDescent="0.35">
      <c r="A24" t="s">
        <v>248</v>
      </c>
      <c r="B24" s="116">
        <f>10*(7.5+1.5/2)-B22-B23</f>
        <v>4.2300000000000058</v>
      </c>
      <c r="C24"/>
      <c r="D24" s="117"/>
      <c r="E24" s="29"/>
      <c r="N24" s="148" t="s">
        <v>269</v>
      </c>
    </row>
    <row r="25" spans="1:14" x14ac:dyDescent="0.35">
      <c r="A25" t="s">
        <v>307</v>
      </c>
      <c r="B25" s="116">
        <f>2.3 - IF(A9&lt;&gt;"",1.06,0)</f>
        <v>1.2399999999999998</v>
      </c>
      <c r="C25"/>
      <c r="D25" s="117"/>
      <c r="E25" s="29"/>
      <c r="N25" s="148" t="s">
        <v>314</v>
      </c>
    </row>
    <row r="26" spans="1:14" x14ac:dyDescent="0.35">
      <c r="B26" s="29"/>
      <c r="N26" s="149"/>
    </row>
    <row r="27" spans="1:14" s="1" customFormat="1" x14ac:dyDescent="0.35">
      <c r="A27" s="108" t="s">
        <v>227</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223</v>
      </c>
      <c r="B28" s="1"/>
      <c r="C28" s="103"/>
      <c r="D28" s="103"/>
      <c r="E28" s="103"/>
      <c r="F28" s="103"/>
      <c r="G28" s="103"/>
      <c r="H28" s="103"/>
      <c r="I28" s="103"/>
      <c r="J28" s="103"/>
      <c r="K28" s="103"/>
      <c r="L28" s="103"/>
      <c r="N28" s="146" t="s">
        <v>270</v>
      </c>
    </row>
    <row r="29" spans="1:14" x14ac:dyDescent="0.35">
      <c r="A29" s="1" t="s">
        <v>86</v>
      </c>
      <c r="B29" s="1"/>
      <c r="C29" s="102" t="str">
        <f>IF(C$28&lt;&gt;"",0.8,"")</f>
        <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271</v>
      </c>
    </row>
    <row r="30" spans="1:14" x14ac:dyDescent="0.35">
      <c r="A30" s="1" t="s">
        <v>203</v>
      </c>
      <c r="B30" s="1"/>
      <c r="C30" s="102" t="str">
        <f>IF(C$28&lt;&gt;"",0.2,"")</f>
        <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272</v>
      </c>
    </row>
    <row r="31" spans="1:14" x14ac:dyDescent="0.35">
      <c r="A31" s="1" t="s">
        <v>182</v>
      </c>
      <c r="B31" s="1"/>
      <c r="C31" s="102" t="str">
        <f>IF(C$28&lt;&gt;"",0.6,"")</f>
        <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273</v>
      </c>
    </row>
    <row r="32" spans="1:14" x14ac:dyDescent="0.35">
      <c r="A32" s="131"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274</v>
      </c>
    </row>
    <row r="33" spans="1:14" x14ac:dyDescent="0.35">
      <c r="A33" t="str">
        <f t="shared" ref="A33:A38" si="4">IF(A5="","","    "&amp;A5&amp;" Balance")</f>
        <v xml:space="preserve">    California Balance</v>
      </c>
      <c r="B33" s="86">
        <f>B19-B21</f>
        <v>0</v>
      </c>
      <c r="C33" s="84"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49"/>
    </row>
    <row r="34" spans="1:14" x14ac:dyDescent="0.35">
      <c r="A34" t="str">
        <f t="shared" si="4"/>
        <v xml:space="preserve">    Arizona Balance</v>
      </c>
      <c r="B34" s="86">
        <f>C19-C21-B35</f>
        <v>2.4335549999999997</v>
      </c>
      <c r="C34" s="84"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49"/>
    </row>
    <row r="35" spans="1:14" x14ac:dyDescent="0.35">
      <c r="A35" t="str">
        <f t="shared" si="4"/>
        <v xml:space="preserve">    Nevada Balance</v>
      </c>
      <c r="B35" s="87">
        <v>0.17399999999999999</v>
      </c>
      <c r="C35" s="85" t="str">
        <f t="shared" si="7"/>
        <v/>
      </c>
      <c r="D35" s="35" t="str">
        <f t="shared" si="5"/>
        <v/>
      </c>
      <c r="E35" s="35" t="str">
        <f t="shared" si="8"/>
        <v/>
      </c>
      <c r="F35" s="35" t="str">
        <f t="shared" si="8"/>
        <v/>
      </c>
      <c r="G35" s="35" t="str">
        <f t="shared" si="8"/>
        <v/>
      </c>
      <c r="H35" s="13" t="str">
        <f t="shared" si="8"/>
        <v/>
      </c>
      <c r="I35" s="13" t="str">
        <f t="shared" si="8"/>
        <v/>
      </c>
      <c r="J35" s="13" t="str">
        <f t="shared" si="8"/>
        <v/>
      </c>
      <c r="K35" s="13" t="str">
        <f t="shared" si="8"/>
        <v/>
      </c>
      <c r="L35" s="13" t="str">
        <f t="shared" si="8"/>
        <v/>
      </c>
      <c r="N35" s="149"/>
    </row>
    <row r="36" spans="1:14" x14ac:dyDescent="0.35">
      <c r="A36" t="str">
        <f t="shared" si="4"/>
        <v xml:space="preserve">    Colorado River Delta Balance</v>
      </c>
      <c r="B36" s="86">
        <v>0</v>
      </c>
      <c r="C36" s="84"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49"/>
    </row>
    <row r="37" spans="1:14" x14ac:dyDescent="0.35">
      <c r="A37" t="str">
        <f t="shared" si="4"/>
        <v xml:space="preserve">    Mexico Balance</v>
      </c>
      <c r="B37" s="86">
        <f>IF(A37&lt;&gt;"",0,"")</f>
        <v>0</v>
      </c>
      <c r="C37" s="84"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4"/>
        <v xml:space="preserve">    Reclamation - Shared reserve Balance</v>
      </c>
      <c r="B38" s="86">
        <f>SUM(B21:C21)</f>
        <v>5.664593</v>
      </c>
      <c r="C38" s="84"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49"/>
    </row>
    <row r="39" spans="1:14" x14ac:dyDescent="0.35">
      <c r="A39" s="1" t="s">
        <v>234</v>
      </c>
      <c r="C39"/>
      <c r="N39" s="14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4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4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275</v>
      </c>
    </row>
    <row r="43" spans="1:14" x14ac:dyDescent="0.35">
      <c r="A43" t="str">
        <f t="shared" ref="A43:A48" si="11">IF(A5="","","    "&amp;A5&amp;" Share")</f>
        <v xml:space="preserve">    California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49"/>
    </row>
    <row r="44" spans="1:14" x14ac:dyDescent="0.35">
      <c r="A44" t="str">
        <f t="shared" si="11"/>
        <v xml:space="preserve">    Arizona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49"/>
    </row>
    <row r="45" spans="1:14" x14ac:dyDescent="0.35">
      <c r="A45" t="str">
        <f t="shared" si="11"/>
        <v xml:space="preserve">    Nevada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4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49"/>
    </row>
    <row r="47" spans="1:14" x14ac:dyDescent="0.35">
      <c r="A47" t="str">
        <f t="shared" si="11"/>
        <v xml:space="preserve">    Mexico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49"/>
    </row>
    <row r="48" spans="1:14" x14ac:dyDescent="0.35">
      <c r="A48" t="str">
        <f t="shared" si="11"/>
        <v xml:space="preserve">    Reclamation -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49"/>
    </row>
    <row r="49" spans="1:16" x14ac:dyDescent="0.35">
      <c r="A49" s="1" t="s">
        <v>226</v>
      </c>
      <c r="B49" s="52"/>
      <c r="C49" s="32" t="str">
        <f>IF(C$28&lt;&gt;"",1.5-0.21/9/2-VLOOKUP(C41,MandatoryConservation!$C$5:$P$13,13)-C57*(1.5/8.7),"")</f>
        <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276</v>
      </c>
    </row>
    <row r="50" spans="1:16" x14ac:dyDescent="0.35">
      <c r="A50" s="131"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29"/>
      <c r="N50" s="195" t="s">
        <v>277</v>
      </c>
      <c r="P50" t="s">
        <v>298</v>
      </c>
    </row>
    <row r="51" spans="1:16" x14ac:dyDescent="0.35">
      <c r="A51" t="str">
        <f t="shared" ref="A51:A56" si="19">IF(A5="","","    To "&amp;A5)</f>
        <v xml:space="preserve">    To California</v>
      </c>
      <c r="B51" s="100" t="s">
        <v>308</v>
      </c>
      <c r="C51" s="84" t="str">
        <f>IF(OR(C$28="",$A52=""),"",MAX(0,C50-SUM(C52:C57)))</f>
        <v/>
      </c>
      <c r="D51" s="84" t="str">
        <f t="shared" ref="D51:G51" si="20">IF(OR(D$28="",$A52=""),"",MAX(0,D50-SUM(D52:D57)))</f>
        <v/>
      </c>
      <c r="E51" s="84" t="str">
        <f t="shared" si="20"/>
        <v/>
      </c>
      <c r="F51" s="84" t="str">
        <f t="shared" si="20"/>
        <v/>
      </c>
      <c r="G51" s="84" t="str">
        <f t="shared" si="20"/>
        <v/>
      </c>
      <c r="H51" s="84" t="str">
        <f t="shared" ref="H51" si="21">IF(OR(H$28="",$A52=""),"",MAX(0,H50-SUM(H52:H57)))</f>
        <v/>
      </c>
      <c r="I51" s="84" t="str">
        <f t="shared" ref="I51" si="22">IF(OR(I$28="",$A52=""),"",MAX(0,I50-SUM(I52:I57)))</f>
        <v/>
      </c>
      <c r="J51" s="84" t="str">
        <f t="shared" ref="J51" si="23">IF(OR(J$28="",$A52=""),"",MAX(0,J50-SUM(J52:J57)))</f>
        <v/>
      </c>
      <c r="K51" s="84" t="str">
        <f t="shared" ref="K51" si="24">IF(OR(K$28="",$A52=""),"",MAX(0,K50-SUM(K52:K57)))</f>
        <v/>
      </c>
      <c r="L51" s="84" t="str">
        <f t="shared" ref="L51" si="25">IF(OR(L$28="",$A52=""),"",MAX(0,L50-SUM(L52:L57)))</f>
        <v/>
      </c>
      <c r="M51" s="19"/>
      <c r="N51" s="150"/>
      <c r="P51" s="84" t="str">
        <f>IF(OR(P$28="",$A51=""),"",MAX(P28-($B$24)-P56*$B$21/SUM($B$21:$C$21),0))</f>
        <v/>
      </c>
    </row>
    <row r="52" spans="1:16" x14ac:dyDescent="0.35">
      <c r="A52" t="str">
        <f t="shared" si="19"/>
        <v xml:space="preserve">    To Arizona</v>
      </c>
      <c r="B52" s="101">
        <f>7.5-IF($A$9="",0,0.95)-IF(C31="",0.6,C31)*IF($A$9="",(7.2/8.7),(7.2-0.95)/8.7)-B54/2</f>
        <v>6.1111877394636007</v>
      </c>
      <c r="C52" s="84" t="str">
        <f>IF(OR(C$28="",$A52=""),"",IF(C50&lt;=SUM(C53:C57),0,IF(C50&lt;=SUM(C53:C57)+2*$B$25,(C50-SUM(C53:C57))/2,IF(C50&lt;=SUM(C53:C57)+2*$B$25+$B$52-$B$25,C50-SUM(C53:C57)-$B$25,$B$52))))</f>
        <v/>
      </c>
      <c r="D52" s="84" t="str">
        <f t="shared" ref="D52:G52" si="26">IF(OR(D$28="",$A52=""),"",IF(D50&lt;=SUM(D53:D57),0,IF(D50&lt;=SUM(D53:D57)+2*$B$25,(D50-SUM(D53:D57))/2,IF(D50&lt;=SUM(D53:D57)+2*$B$25+$B$52-$B$25,D50-SUM(D53:D57)-$B$25,$B$52))))</f>
        <v/>
      </c>
      <c r="E52" s="84" t="str">
        <f t="shared" si="26"/>
        <v/>
      </c>
      <c r="F52" s="84" t="str">
        <f t="shared" si="26"/>
        <v/>
      </c>
      <c r="G52" s="84" t="str">
        <f t="shared" si="26"/>
        <v/>
      </c>
      <c r="H52" s="84" t="str">
        <f t="shared" ref="H52" si="27">IF(OR(H$28="",$A52=""),"",IF(H50&lt;=SUM(H53:H57),0,IF(H50&lt;=SUM(H53:H57)+2*$B$25,(H50-SUM(H53:H57))/2,IF(H50&lt;=SUM(H53:H57)+2*$B$25+$B$52-$B$25,H50-SUM(H53:H57)-$B$25,$B$52))))</f>
        <v/>
      </c>
      <c r="I52" s="84" t="str">
        <f t="shared" ref="I52" si="28">IF(OR(I$28="",$A52=""),"",IF(I50&lt;=SUM(I53:I57),0,IF(I50&lt;=SUM(I53:I57)+2*$B$25,(I50-SUM(I53:I57))/2,IF(I50&lt;=SUM(I53:I57)+2*$B$25+$B$52-$B$25,I50-SUM(I53:I57)-$B$25,$B$52))))</f>
        <v/>
      </c>
      <c r="J52" s="84" t="str">
        <f t="shared" ref="J52" si="29">IF(OR(J$28="",$A52=""),"",IF(J50&lt;=SUM(J53:J57),0,IF(J50&lt;=SUM(J53:J57)+2*$B$25,(J50-SUM(J53:J57))/2,IF(J50&lt;=SUM(J53:J57)+2*$B$25+$B$52-$B$25,J50-SUM(J53:J57)-$B$25,$B$52))))</f>
        <v/>
      </c>
      <c r="K52" s="84" t="str">
        <f t="shared" ref="K52" si="30">IF(OR(K$28="",$A52=""),"",IF(K50&lt;=SUM(K53:K57),0,IF(K50&lt;=SUM(K53:K57)+2*$B$25,(K50-SUM(K53:K57))/2,IF(K50&lt;=SUM(K53:K57)+2*$B$25+$B$52-$B$25,K50-SUM(K53:K57)-$B$25,$B$52))))</f>
        <v/>
      </c>
      <c r="L52" s="84" t="str">
        <f t="shared" ref="L52" si="31">IF(OR(L$28="",$A52=""),"",IF(L50&lt;=SUM(L53:L57),0,IF(L50&lt;=SUM(L53:L57)+2*$B$25,(L50-SUM(L53:L57))/2,IF(L50&lt;=SUM(L53:L57)+2*$B$25+$B$52-$B$25,L50-SUM(L53:L57)-$B$25,$B$52))))</f>
        <v/>
      </c>
      <c r="M52" s="19"/>
      <c r="N52" s="150"/>
      <c r="P52" s="84" t="str">
        <f>IF(OR(P$28="",$A52=""),"",P29+P30-P31-P56*$C$21/SUM($B$21:$C$21)-P53+MIN($B$24,P28))</f>
        <v/>
      </c>
    </row>
    <row r="53" spans="1:16" x14ac:dyDescent="0.35">
      <c r="A53" t="str">
        <f t="shared" si="19"/>
        <v xml:space="preserve">    To Nevada</v>
      </c>
      <c r="B53" s="101" t="s">
        <v>393</v>
      </c>
      <c r="C53" s="85" t="str">
        <f>IF(OR(C$28="",$A53=""),"",MIN(C49,C$50-SUM(C54:C57)))</f>
        <v/>
      </c>
      <c r="D53" s="85" t="str">
        <f t="shared" ref="D53:G53" si="32">IF(OR(D$28="",$A53=""),"",MIN(D49,D$50-SUM(D54:D57)))</f>
        <v/>
      </c>
      <c r="E53" s="85" t="str">
        <f t="shared" si="32"/>
        <v/>
      </c>
      <c r="F53" s="85" t="str">
        <f t="shared" si="32"/>
        <v/>
      </c>
      <c r="G53" s="85" t="str">
        <f t="shared" si="32"/>
        <v/>
      </c>
      <c r="H53" s="85" t="str">
        <f t="shared" ref="H53" si="33">IF(OR(H$28="",$A53=""),"",MIN(H49,H$50-SUM(H54:H57)))</f>
        <v/>
      </c>
      <c r="I53" s="85" t="str">
        <f t="shared" ref="I53" si="34">IF(OR(I$28="",$A53=""),"",MIN(I49,I$50-SUM(I54:I57)))</f>
        <v/>
      </c>
      <c r="J53" s="85" t="str">
        <f t="shared" ref="J53" si="35">IF(OR(J$28="",$A53=""),"",MIN(J49,J$50-SUM(J54:J57)))</f>
        <v/>
      </c>
      <c r="K53" s="85" t="str">
        <f t="shared" ref="K53" si="36">IF(OR(K$28="",$A53=""),"",MIN(K49,K$50-SUM(K54:K57)))</f>
        <v/>
      </c>
      <c r="L53" s="85" t="str">
        <f t="shared" ref="L53" si="37">IF(OR(L$28="",$A53=""),"",MIN(L49,L$50-SUM(L54:L57)))</f>
        <v/>
      </c>
      <c r="M53" s="19"/>
      <c r="N53" s="150"/>
    </row>
    <row r="54" spans="1:16" x14ac:dyDescent="0.35">
      <c r="A54" t="str">
        <f t="shared" si="19"/>
        <v xml:space="preserve">    To Colorado River Delta</v>
      </c>
      <c r="B54" s="110">
        <f>0.21/9*(2/3)</f>
        <v>1.5555555555555553E-2</v>
      </c>
      <c r="C54" s="111" t="str">
        <f>IF(OR(C$28="",$A54=""),"",MIN($B54,C$50-SUM(C55:C57)))</f>
        <v/>
      </c>
      <c r="D54" s="111" t="str">
        <f t="shared" ref="D54:G54" si="38">IF(OR(D$28="",$A54=""),"",MIN($B54,D$50-SUM(D55:D57)))</f>
        <v/>
      </c>
      <c r="E54" s="111" t="str">
        <f t="shared" si="38"/>
        <v/>
      </c>
      <c r="F54" s="111" t="str">
        <f t="shared" si="38"/>
        <v/>
      </c>
      <c r="G54" s="111" t="str">
        <f t="shared" si="38"/>
        <v/>
      </c>
      <c r="H54" s="111" t="str">
        <f t="shared" ref="H54" si="39">IF(OR(H$28="",$A54=""),"",MIN($B54,H$50-SUM(H55:H57)))</f>
        <v/>
      </c>
      <c r="I54" s="111" t="str">
        <f t="shared" ref="I54" si="40">IF(OR(I$28="",$A54=""),"",MIN($B54,I$50-SUM(I55:I57)))</f>
        <v/>
      </c>
      <c r="J54" s="111" t="str">
        <f t="shared" ref="J54" si="41">IF(OR(J$28="",$A54=""),"",MIN($B54,J$50-SUM(J55:J57)))</f>
        <v/>
      </c>
      <c r="K54" s="111" t="str">
        <f t="shared" ref="K54" si="42">IF(OR(K$28="",$A54=""),"",MIN($B54,K$50-SUM(K55:K57)))</f>
        <v/>
      </c>
      <c r="L54" s="111" t="str">
        <f t="shared" ref="L54" si="43">IF(OR(L$28="",$A54=""),"",MIN($B54,L$50-SUM(L55:L57)))</f>
        <v/>
      </c>
      <c r="M54" s="19"/>
      <c r="N54" s="150"/>
    </row>
    <row r="55" spans="1:16" x14ac:dyDescent="0.35">
      <c r="A55" t="str">
        <f t="shared" si="19"/>
        <v xml:space="preserve">    To Mexico</v>
      </c>
      <c r="B55" s="101">
        <f>IF($A$9&lt;&gt;"",2.01-IF(C31="",0.6,C31)*0.95/8.7,"")</f>
        <v>1.9444827586206894</v>
      </c>
      <c r="C55" s="84" t="str">
        <f>IF(OR(C$28="",$A55=""),"",MIN($B55,C$50-SUM(C56:C57)))</f>
        <v/>
      </c>
      <c r="D55" s="84" t="str">
        <f t="shared" ref="D55:G55" si="44">IF(OR(D$28="",$A55=""),"",MIN($B55,D$50-SUM(D56:D57)))</f>
        <v/>
      </c>
      <c r="E55" s="84" t="str">
        <f t="shared" si="44"/>
        <v/>
      </c>
      <c r="F55" s="84" t="str">
        <f t="shared" si="44"/>
        <v/>
      </c>
      <c r="G55" s="84" t="str">
        <f t="shared" si="44"/>
        <v/>
      </c>
      <c r="H55" s="84" t="str">
        <f t="shared" ref="H55" si="45">IF(OR(H$28="",$A55=""),"",MIN($B55,H$50-SUM(H56:H57)))</f>
        <v/>
      </c>
      <c r="I55" s="84" t="str">
        <f t="shared" ref="I55" si="46">IF(OR(I$28="",$A55=""),"",MIN($B55,I$50-SUM(I56:I57)))</f>
        <v/>
      </c>
      <c r="J55" s="84" t="str">
        <f t="shared" ref="J55" si="47">IF(OR(J$28="",$A55=""),"",MIN($B55,J$50-SUM(J56:J57)))</f>
        <v/>
      </c>
      <c r="K55" s="84" t="str">
        <f t="shared" ref="K55" si="48">IF(OR(K$28="",$A55=""),"",MIN($B55,K$50-SUM(K56:K57)))</f>
        <v/>
      </c>
      <c r="L55" s="84" t="str">
        <f t="shared" ref="L55" si="49">IF(OR(L$28="",$A55=""),"",MIN($B55,L$50-SUM(L56:L57)))</f>
        <v/>
      </c>
      <c r="M55" s="19"/>
      <c r="N55" s="150"/>
    </row>
    <row r="56" spans="1:16" x14ac:dyDescent="0.35">
      <c r="A56" t="str">
        <f t="shared" si="19"/>
        <v xml:space="preserve">    To Reclamation - Shared reserve</v>
      </c>
      <c r="B56" s="101" t="s">
        <v>213</v>
      </c>
      <c r="C56" s="160" t="str">
        <f>IF(OR(C$28="",$A56=""),"",IF(C$50&gt;C48,C48,C50))</f>
        <v/>
      </c>
      <c r="D56" s="160" t="str">
        <f t="shared" ref="D56:G56" si="50">IF(OR(D$28="",$A56=""),"",IF(D$50&gt;D48,D48,D50))</f>
        <v/>
      </c>
      <c r="E56" s="160" t="str">
        <f t="shared" si="50"/>
        <v/>
      </c>
      <c r="F56" s="160" t="str">
        <f t="shared" si="50"/>
        <v/>
      </c>
      <c r="G56" s="160" t="str">
        <f t="shared" si="50"/>
        <v/>
      </c>
      <c r="H56" s="160" t="str">
        <f t="shared" ref="H56:L56" si="51">IF(OR(H$28="",$A56=""),"",IF(H$50&gt;H48,H48,H50))</f>
        <v/>
      </c>
      <c r="I56" s="160" t="str">
        <f t="shared" si="51"/>
        <v/>
      </c>
      <c r="J56" s="160" t="str">
        <f t="shared" si="51"/>
        <v/>
      </c>
      <c r="K56" s="160" t="str">
        <f t="shared" si="51"/>
        <v/>
      </c>
      <c r="L56" s="160" t="str">
        <f t="shared" si="51"/>
        <v/>
      </c>
      <c r="M56" s="19"/>
      <c r="N56" s="150"/>
    </row>
    <row r="57" spans="1:16" x14ac:dyDescent="0.35">
      <c r="A57" t="str">
        <f>IF(A31="","","    To "&amp;A31)</f>
        <v xml:space="preserve">    To Havasu / Parker evaporation and ET</v>
      </c>
      <c r="B57" s="159" t="s">
        <v>309</v>
      </c>
      <c r="C57" s="161" t="str">
        <f>IF(OR(C$28="",$A57=""),"",MIN(C31,C50-C56))</f>
        <v/>
      </c>
      <c r="D57" s="161" t="str">
        <f t="shared" ref="D57:G57" si="52">IF(OR(D$28="",$A57=""),"",MIN(D31,D50-D56))</f>
        <v/>
      </c>
      <c r="E57" s="161" t="str">
        <f t="shared" si="52"/>
        <v/>
      </c>
      <c r="F57" s="161" t="str">
        <f t="shared" si="52"/>
        <v/>
      </c>
      <c r="G57" s="161" t="str">
        <f t="shared" si="52"/>
        <v/>
      </c>
      <c r="H57" s="161" t="str">
        <f t="shared" ref="H57" si="53">IF(OR(H$28="",$A57=""),"",MIN(H31,H50-H56))</f>
        <v/>
      </c>
      <c r="I57" s="161" t="str">
        <f t="shared" ref="I57" si="54">IF(OR(I$28="",$A57=""),"",MIN(I31,I50-I56))</f>
        <v/>
      </c>
      <c r="J57" s="161" t="str">
        <f t="shared" ref="J57" si="55">IF(OR(J$28="",$A57=""),"",MIN(J31,J50-J56))</f>
        <v/>
      </c>
      <c r="K57" s="161" t="str">
        <f t="shared" ref="K57" si="56">IF(OR(K$28="",$A57=""),"",MIN(K31,K50-K56))</f>
        <v/>
      </c>
      <c r="L57" s="161" t="str">
        <f t="shared" ref="L57" si="57">IF(OR(L$28="",$A57=""),"",MIN(L31,L50-L56))</f>
        <v/>
      </c>
      <c r="M57" s="19"/>
      <c r="N57" s="150"/>
    </row>
    <row r="58" spans="1:16" x14ac:dyDescent="0.35">
      <c r="B58" s="20"/>
      <c r="C58" s="19"/>
      <c r="D58" s="19"/>
      <c r="E58" s="19"/>
      <c r="F58" s="122"/>
      <c r="G58" s="29"/>
      <c r="N58" s="149"/>
    </row>
    <row r="59" spans="1:16" x14ac:dyDescent="0.35">
      <c r="A59" s="107" t="s">
        <v>381</v>
      </c>
      <c r="B59" s="104"/>
      <c r="C59" s="104"/>
      <c r="D59" s="104"/>
      <c r="E59" s="104"/>
      <c r="F59" s="104"/>
      <c r="G59" s="104"/>
      <c r="H59" s="104"/>
      <c r="I59" s="104"/>
      <c r="J59" s="104"/>
      <c r="K59" s="104"/>
      <c r="L59" s="104"/>
      <c r="M59" s="104"/>
      <c r="N59" s="145" t="str">
        <f>N3</f>
        <v>HELP, CONTEXT, and SUGGESTIONS</v>
      </c>
    </row>
    <row r="60" spans="1:16" x14ac:dyDescent="0.35">
      <c r="A60" s="125" t="str">
        <f>IF(A$5="[Unused]","",A5)</f>
        <v>California</v>
      </c>
      <c r="B60" s="105"/>
      <c r="C60" s="105"/>
      <c r="D60" s="105"/>
      <c r="E60" s="105"/>
      <c r="F60" s="105"/>
      <c r="G60" s="105"/>
      <c r="H60" s="105"/>
      <c r="I60" s="105"/>
      <c r="J60" s="105"/>
      <c r="K60" s="105"/>
      <c r="L60" s="105"/>
      <c r="M60" s="106" t="s">
        <v>79</v>
      </c>
      <c r="N60" s="146" t="s">
        <v>278</v>
      </c>
    </row>
    <row r="61" spans="1:16" x14ac:dyDescent="0.35">
      <c r="A61" s="132" t="str">
        <f>IF(A60="[Unused]","","   Enter volume to Buy(+) or Sell(-) [maf]")</f>
        <v xml:space="preserve">   Enter volume to Buy(+) or Sell(-) [maf]</v>
      </c>
      <c r="C61" s="97"/>
      <c r="D61" s="97"/>
      <c r="E61" s="97"/>
      <c r="F61" s="97"/>
      <c r="G61" s="97"/>
      <c r="H61" s="97"/>
      <c r="I61" s="97"/>
      <c r="J61" s="97"/>
      <c r="K61" s="97"/>
      <c r="L61" s="97"/>
      <c r="M61" s="46">
        <f>SUM(C61:L61)</f>
        <v>0</v>
      </c>
      <c r="N61" s="151" t="s">
        <v>279</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280</v>
      </c>
    </row>
    <row r="63" spans="1:16" x14ac:dyDescent="0.35">
      <c r="A63" t="str">
        <f>IF(A62="","","   Net trade volume all participants (should be zero)")</f>
        <v xml:space="preserve">   Net trade volume all participants (should be zero)</v>
      </c>
      <c r="C63" s="46" t="str">
        <f t="shared" ref="C63:M63" si="58">IF(OR(C$28="",$A63=""),"",C$116)</f>
        <v/>
      </c>
      <c r="D63" s="46" t="str">
        <f t="shared" si="58"/>
        <v/>
      </c>
      <c r="E63" s="46" t="str">
        <f t="shared" si="58"/>
        <v/>
      </c>
      <c r="F63" s="46" t="str">
        <f t="shared" si="58"/>
        <v/>
      </c>
      <c r="G63" s="46" t="str">
        <f t="shared" si="58"/>
        <v/>
      </c>
      <c r="H63" s="46" t="str">
        <f t="shared" si="58"/>
        <v/>
      </c>
      <c r="I63" s="46" t="str">
        <f t="shared" si="58"/>
        <v/>
      </c>
      <c r="J63" s="46" t="str">
        <f t="shared" si="58"/>
        <v/>
      </c>
      <c r="K63" s="46" t="str">
        <f t="shared" si="58"/>
        <v/>
      </c>
      <c r="L63" s="46" t="str">
        <f t="shared" si="58"/>
        <v/>
      </c>
      <c r="M63" t="str">
        <f t="shared" si="58"/>
        <v/>
      </c>
      <c r="N63" s="14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48" t="s">
        <v>282</v>
      </c>
    </row>
    <row r="65" spans="1:14" x14ac:dyDescent="0.35">
      <c r="A65" s="131" t="str">
        <f>IF(A64="","","   Enter withdraw [maf] within available water")</f>
        <v xml:space="preserve">   Enter withdraw [maf] within available water</v>
      </c>
      <c r="C65" s="99"/>
      <c r="D65" s="99"/>
      <c r="E65" s="99"/>
      <c r="F65" s="99"/>
      <c r="G65" s="99"/>
      <c r="H65" s="99"/>
      <c r="I65" s="99"/>
      <c r="J65" s="99"/>
      <c r="K65" s="99"/>
      <c r="L65" s="99"/>
      <c r="N65" s="148" t="s">
        <v>295</v>
      </c>
    </row>
    <row r="66" spans="1:14" x14ac:dyDescent="0.35">
      <c r="A66" t="str">
        <f>IF(A65="","","   End of Year Balance [maf]")</f>
        <v xml:space="preserve">   End of Year Balance [maf]</v>
      </c>
      <c r="C66" s="13" t="str">
        <f>IF(OR(C$28="",$A66=""),"",C64-C65)</f>
        <v/>
      </c>
      <c r="D66" s="13" t="str">
        <f t="shared" ref="D66:L66" si="60">IF(OR(D$28="",$A66=""),"",D64-D65)</f>
        <v/>
      </c>
      <c r="E66" s="13" t="str">
        <f t="shared" si="60"/>
        <v/>
      </c>
      <c r="F66" s="13" t="str">
        <f t="shared" si="60"/>
        <v/>
      </c>
      <c r="G66" s="13" t="str">
        <f t="shared" si="60"/>
        <v/>
      </c>
      <c r="H66" s="13" t="str">
        <f t="shared" si="60"/>
        <v/>
      </c>
      <c r="I66" s="13" t="str">
        <f t="shared" si="60"/>
        <v/>
      </c>
      <c r="J66" s="13" t="str">
        <f t="shared" si="60"/>
        <v/>
      </c>
      <c r="K66" s="13" t="str">
        <f t="shared" si="60"/>
        <v/>
      </c>
      <c r="L66" s="13" t="str">
        <f t="shared" si="60"/>
        <v/>
      </c>
      <c r="N66" s="148" t="s">
        <v>283</v>
      </c>
    </row>
    <row r="67" spans="1:14" x14ac:dyDescent="0.35">
      <c r="C67"/>
      <c r="N67" s="149"/>
    </row>
    <row r="68" spans="1:14" x14ac:dyDescent="0.35">
      <c r="A68" s="125" t="str">
        <f>IF(A$6="","[Unused]",A6)</f>
        <v>Arizona</v>
      </c>
      <c r="B68" s="105"/>
      <c r="C68" s="105"/>
      <c r="D68" s="105"/>
      <c r="E68" s="105"/>
      <c r="F68" s="105"/>
      <c r="G68" s="105"/>
      <c r="H68" s="105"/>
      <c r="I68" s="105"/>
      <c r="J68" s="105"/>
      <c r="K68" s="105"/>
      <c r="L68" s="105"/>
      <c r="M68" s="106" t="s">
        <v>79</v>
      </c>
      <c r="N68" s="146" t="s">
        <v>278</v>
      </c>
    </row>
    <row r="69" spans="1:14" x14ac:dyDescent="0.35">
      <c r="A69" s="132" t="str">
        <f>IF(A68="[Unused]","",$A$61)</f>
        <v xml:space="preserve">   Enter volume to Buy(+) or Sell(-) [maf]</v>
      </c>
      <c r="C69" s="97"/>
      <c r="D69" s="97"/>
      <c r="E69" s="97"/>
      <c r="F69" s="97"/>
      <c r="G69" s="97"/>
      <c r="H69" s="97"/>
      <c r="I69" s="97"/>
      <c r="J69" s="97"/>
      <c r="K69" s="97"/>
      <c r="L69" s="97"/>
      <c r="M69" s="46">
        <f>SUM(C69:L69)</f>
        <v>0</v>
      </c>
      <c r="N69" s="151" t="s">
        <v>279</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280</v>
      </c>
    </row>
    <row r="71" spans="1:14" x14ac:dyDescent="0.35">
      <c r="A71" s="138" t="str">
        <f>IF(A70="","",$A$63)</f>
        <v xml:space="preserve">   Net trade volume all participants (should be zero)</v>
      </c>
      <c r="C71" s="46" t="str">
        <f t="shared" ref="C71:M71" si="61">IF(OR(C$28="",$A71=""),"",C$116)</f>
        <v/>
      </c>
      <c r="D71" s="46" t="str">
        <f t="shared" si="61"/>
        <v/>
      </c>
      <c r="E71" s="46" t="str">
        <f t="shared" si="61"/>
        <v/>
      </c>
      <c r="F71" s="46" t="str">
        <f t="shared" si="61"/>
        <v/>
      </c>
      <c r="G71" s="46" t="str">
        <f t="shared" si="61"/>
        <v/>
      </c>
      <c r="H71" s="46" t="str">
        <f t="shared" si="61"/>
        <v/>
      </c>
      <c r="I71" s="46" t="str">
        <f t="shared" si="61"/>
        <v/>
      </c>
      <c r="J71" s="46" t="str">
        <f t="shared" si="61"/>
        <v/>
      </c>
      <c r="K71" s="46" t="str">
        <f t="shared" si="61"/>
        <v/>
      </c>
      <c r="L71" s="46" t="str">
        <f t="shared" si="61"/>
        <v/>
      </c>
      <c r="M71" t="str">
        <f t="shared" si="61"/>
        <v/>
      </c>
      <c r="N71" s="14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48" t="s">
        <v>282</v>
      </c>
    </row>
    <row r="73" spans="1:14" x14ac:dyDescent="0.35">
      <c r="A73" s="131" t="str">
        <f>IF(A72="","",$A$65)</f>
        <v xml:space="preserve">   Enter withdraw [maf] within available water</v>
      </c>
      <c r="C73" s="99"/>
      <c r="D73" s="99"/>
      <c r="E73" s="99"/>
      <c r="F73" s="99"/>
      <c r="G73" s="99"/>
      <c r="H73" s="99"/>
      <c r="I73" s="99"/>
      <c r="J73" s="99"/>
      <c r="K73" s="99"/>
      <c r="L73" s="99"/>
      <c r="N73" s="148" t="s">
        <v>295</v>
      </c>
    </row>
    <row r="74" spans="1:14" x14ac:dyDescent="0.35">
      <c r="A74" t="str">
        <f>IF(A73="","","   End of Year Balance [maf]")</f>
        <v xml:space="preserve">   End of Year Balance [maf]</v>
      </c>
      <c r="C74" s="13" t="str">
        <f>IF(OR(C$28="",$A74=""),"",C72-C73)</f>
        <v/>
      </c>
      <c r="D74" s="13" t="str">
        <f t="shared" ref="D74:L74" si="63">IF(OR(D$28="",$A74=""),"",D72-D73)</f>
        <v/>
      </c>
      <c r="E74" s="13" t="str">
        <f t="shared" si="63"/>
        <v/>
      </c>
      <c r="F74" s="13" t="str">
        <f t="shared" si="63"/>
        <v/>
      </c>
      <c r="G74" s="13" t="str">
        <f t="shared" si="63"/>
        <v/>
      </c>
      <c r="H74" s="13" t="str">
        <f t="shared" si="63"/>
        <v/>
      </c>
      <c r="I74" s="13" t="str">
        <f t="shared" si="63"/>
        <v/>
      </c>
      <c r="J74" s="13" t="str">
        <f t="shared" si="63"/>
        <v/>
      </c>
      <c r="K74" s="13" t="str">
        <f t="shared" si="63"/>
        <v/>
      </c>
      <c r="L74" s="13" t="str">
        <f t="shared" si="63"/>
        <v/>
      </c>
      <c r="N74" s="148" t="s">
        <v>283</v>
      </c>
    </row>
    <row r="75" spans="1:14" x14ac:dyDescent="0.35">
      <c r="C75"/>
      <c r="N75" s="149"/>
    </row>
    <row r="76" spans="1:14" x14ac:dyDescent="0.35">
      <c r="A76" s="125" t="str">
        <f>IF(A$7="","[Unused]",A7)</f>
        <v>Nevada</v>
      </c>
      <c r="B76" s="105"/>
      <c r="C76" s="105"/>
      <c r="D76" s="105"/>
      <c r="E76" s="105"/>
      <c r="F76" s="105"/>
      <c r="G76" s="105"/>
      <c r="H76" s="105"/>
      <c r="I76" s="105"/>
      <c r="J76" s="105"/>
      <c r="K76" s="105"/>
      <c r="L76" s="105"/>
      <c r="M76" s="106" t="s">
        <v>79</v>
      </c>
      <c r="N76" s="146" t="s">
        <v>278</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279</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280</v>
      </c>
    </row>
    <row r="79" spans="1:14" x14ac:dyDescent="0.35">
      <c r="A79" s="138" t="str">
        <f>IF(A78="","",$A$63)</f>
        <v xml:space="preserve">   Net trade volume all participants (should be zero)</v>
      </c>
      <c r="C79" s="46" t="str">
        <f t="shared" ref="C79:M79" si="64">IF(OR(C$28="",$A79=""),"",C$116)</f>
        <v/>
      </c>
      <c r="D79" s="46" t="str">
        <f t="shared" si="64"/>
        <v/>
      </c>
      <c r="E79" s="46" t="str">
        <f t="shared" si="64"/>
        <v/>
      </c>
      <c r="F79" s="46" t="str">
        <f t="shared" si="64"/>
        <v/>
      </c>
      <c r="G79" s="46" t="str">
        <f t="shared" si="64"/>
        <v/>
      </c>
      <c r="H79" s="46" t="str">
        <f t="shared" si="64"/>
        <v/>
      </c>
      <c r="I79" s="46" t="str">
        <f t="shared" si="64"/>
        <v/>
      </c>
      <c r="J79" s="46" t="str">
        <f t="shared" si="64"/>
        <v/>
      </c>
      <c r="K79" s="46" t="str">
        <f t="shared" si="64"/>
        <v/>
      </c>
      <c r="L79" s="46" t="str">
        <f t="shared" si="64"/>
        <v/>
      </c>
      <c r="M79" t="str">
        <f t="shared" si="64"/>
        <v/>
      </c>
      <c r="N79" s="14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48" t="s">
        <v>282</v>
      </c>
    </row>
    <row r="81" spans="1:14" x14ac:dyDescent="0.35">
      <c r="A81" s="131" t="str">
        <f>IF(A80="","",$A$65)</f>
        <v xml:space="preserve">   Enter withdraw [maf] within available water</v>
      </c>
      <c r="C81" s="99"/>
      <c r="D81" s="99"/>
      <c r="E81" s="99"/>
      <c r="F81" s="99"/>
      <c r="G81" s="99"/>
      <c r="H81" s="99"/>
      <c r="I81" s="99"/>
      <c r="J81" s="99"/>
      <c r="K81" s="99"/>
      <c r="L81" s="99"/>
      <c r="N81" s="148" t="s">
        <v>295</v>
      </c>
    </row>
    <row r="82" spans="1:14" x14ac:dyDescent="0.35">
      <c r="A82" t="str">
        <f>IF(A81="","","   End of Year Balance [maf]")</f>
        <v xml:space="preserve">   End of Year Balance [maf]</v>
      </c>
      <c r="C82" s="13" t="str">
        <f>IF(OR(C$28="",$A82=""),"",C80-C81)</f>
        <v/>
      </c>
      <c r="D82" s="13" t="str">
        <f t="shared" ref="D82:L82" si="66">IF(OR(D$28="",$A82=""),"",D80-D81)</f>
        <v/>
      </c>
      <c r="E82" s="13" t="str">
        <f t="shared" si="66"/>
        <v/>
      </c>
      <c r="F82" s="13" t="str">
        <f t="shared" si="66"/>
        <v/>
      </c>
      <c r="G82" s="13" t="str">
        <f t="shared" si="66"/>
        <v/>
      </c>
      <c r="H82" s="13" t="str">
        <f t="shared" si="66"/>
        <v/>
      </c>
      <c r="I82" s="13" t="str">
        <f t="shared" si="66"/>
        <v/>
      </c>
      <c r="J82" s="13" t="str">
        <f t="shared" si="66"/>
        <v/>
      </c>
      <c r="K82" s="13" t="str">
        <f t="shared" si="66"/>
        <v/>
      </c>
      <c r="L82" s="13" t="str">
        <f t="shared" si="66"/>
        <v/>
      </c>
      <c r="N82" s="148" t="s">
        <v>283</v>
      </c>
    </row>
    <row r="83" spans="1:14" x14ac:dyDescent="0.35">
      <c r="C83"/>
      <c r="N83" s="149"/>
    </row>
    <row r="84" spans="1:14" x14ac:dyDescent="0.35">
      <c r="A84" s="125" t="str">
        <f>IF(A$8="","[Unused]",A8)</f>
        <v>Colorado River Delta</v>
      </c>
      <c r="B84" s="105"/>
      <c r="C84" s="105"/>
      <c r="D84" s="105"/>
      <c r="E84" s="105"/>
      <c r="F84" s="105"/>
      <c r="G84" s="105"/>
      <c r="H84" s="105"/>
      <c r="I84" s="105"/>
      <c r="J84" s="105"/>
      <c r="K84" s="105"/>
      <c r="L84" s="105"/>
      <c r="M84" s="106" t="s">
        <v>79</v>
      </c>
      <c r="N84" s="146" t="s">
        <v>278</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279</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280</v>
      </c>
    </row>
    <row r="87" spans="1:14" x14ac:dyDescent="0.35">
      <c r="A87" s="138" t="str">
        <f>IF(A86="","",$A$63)</f>
        <v xml:space="preserve">   Net trade volume all participants (should be zero)</v>
      </c>
      <c r="C87" s="46" t="str">
        <f t="shared" ref="C87:M87" si="67">IF(OR(C$28="",$A87=""),"",C$116)</f>
        <v/>
      </c>
      <c r="D87" s="46" t="str">
        <f t="shared" si="67"/>
        <v/>
      </c>
      <c r="E87" s="46" t="str">
        <f t="shared" si="67"/>
        <v/>
      </c>
      <c r="F87" s="46" t="str">
        <f t="shared" si="67"/>
        <v/>
      </c>
      <c r="G87" s="46" t="str">
        <f t="shared" si="67"/>
        <v/>
      </c>
      <c r="H87" s="46" t="str">
        <f t="shared" si="67"/>
        <v/>
      </c>
      <c r="I87" s="46" t="str">
        <f t="shared" si="67"/>
        <v/>
      </c>
      <c r="J87" s="46" t="str">
        <f t="shared" si="67"/>
        <v/>
      </c>
      <c r="K87" s="46" t="str">
        <f t="shared" si="67"/>
        <v/>
      </c>
      <c r="L87" s="46" t="str">
        <f t="shared" si="67"/>
        <v/>
      </c>
      <c r="M87" t="str">
        <f t="shared" si="67"/>
        <v/>
      </c>
      <c r="N87" s="148" t="s">
        <v>281</v>
      </c>
    </row>
    <row r="88" spans="1:14" x14ac:dyDescent="0.35">
      <c r="A88" s="1" t="str">
        <f>IF(A86="","","   Available Water [maf]")</f>
        <v xml:space="preserve">   Available Water [maf]</v>
      </c>
      <c r="C88" s="123" t="str">
        <f>IF(OR(C$28="",$A88=""),"",C36+C54-C46+C85)</f>
        <v/>
      </c>
      <c r="D88" s="123" t="str">
        <f t="shared" ref="D88:L88" si="68">IF(OR(D$28="",$A88=""),"",D36+D54-D46+D85)</f>
        <v/>
      </c>
      <c r="E88" s="123" t="str">
        <f t="shared" si="68"/>
        <v/>
      </c>
      <c r="F88" s="123" t="str">
        <f t="shared" si="68"/>
        <v/>
      </c>
      <c r="G88" s="123" t="str">
        <f t="shared" si="68"/>
        <v/>
      </c>
      <c r="H88" s="123" t="str">
        <f t="shared" si="68"/>
        <v/>
      </c>
      <c r="I88" s="123" t="str">
        <f t="shared" si="68"/>
        <v/>
      </c>
      <c r="J88" s="123" t="str">
        <f t="shared" si="68"/>
        <v/>
      </c>
      <c r="K88" s="123" t="str">
        <f t="shared" si="68"/>
        <v/>
      </c>
      <c r="L88" s="123" t="str">
        <f t="shared" si="68"/>
        <v/>
      </c>
      <c r="N88" s="148" t="s">
        <v>282</v>
      </c>
    </row>
    <row r="89" spans="1:14" x14ac:dyDescent="0.35">
      <c r="A89" s="131" t="str">
        <f>IF(A88="","",$A$65)</f>
        <v xml:space="preserve">   Enter withdraw [maf] within available water</v>
      </c>
      <c r="C89" s="124"/>
      <c r="D89" s="124"/>
      <c r="E89" s="124"/>
      <c r="F89" s="124"/>
      <c r="G89" s="124"/>
      <c r="H89" s="124"/>
      <c r="I89" s="124"/>
      <c r="J89" s="124"/>
      <c r="K89" s="124"/>
      <c r="L89" s="124"/>
      <c r="N89" s="148" t="s">
        <v>295</v>
      </c>
    </row>
    <row r="90" spans="1:14" x14ac:dyDescent="0.35">
      <c r="A90" t="str">
        <f>IF(A89="","","   End of Year Balance [maf]")</f>
        <v xml:space="preserve">   End of Year Balance [maf]</v>
      </c>
      <c r="C90" s="13" t="str">
        <f>IF(OR(C$28="",$A90=""),"",C88-C89)</f>
        <v/>
      </c>
      <c r="D90" s="13" t="str">
        <f t="shared" ref="D90:L90" si="69">IF(OR(D$28="",$A90=""),"",D88-D89)</f>
        <v/>
      </c>
      <c r="E90" s="13" t="str">
        <f t="shared" si="69"/>
        <v/>
      </c>
      <c r="F90" s="13" t="str">
        <f t="shared" si="69"/>
        <v/>
      </c>
      <c r="G90" s="13" t="str">
        <f t="shared" si="69"/>
        <v/>
      </c>
      <c r="H90" s="13" t="str">
        <f t="shared" si="69"/>
        <v/>
      </c>
      <c r="I90" s="13" t="str">
        <f t="shared" si="69"/>
        <v/>
      </c>
      <c r="J90" s="13" t="str">
        <f t="shared" si="69"/>
        <v/>
      </c>
      <c r="K90" s="13" t="str">
        <f t="shared" si="69"/>
        <v/>
      </c>
      <c r="L90" s="13" t="str">
        <f t="shared" si="69"/>
        <v/>
      </c>
      <c r="N90" s="148" t="s">
        <v>283</v>
      </c>
    </row>
    <row r="91" spans="1:14" x14ac:dyDescent="0.35">
      <c r="C91"/>
      <c r="N91" s="149"/>
    </row>
    <row r="92" spans="1:14" x14ac:dyDescent="0.35">
      <c r="A92" s="125" t="str">
        <f>IF(A$9="","[Unused]",A9)</f>
        <v>Mexico</v>
      </c>
      <c r="B92" s="105"/>
      <c r="C92" s="105"/>
      <c r="D92" s="105"/>
      <c r="E92" s="105"/>
      <c r="F92" s="105"/>
      <c r="G92" s="105"/>
      <c r="H92" s="105"/>
      <c r="I92" s="105"/>
      <c r="J92" s="105"/>
      <c r="K92" s="105"/>
      <c r="L92" s="105"/>
      <c r="M92" s="106" t="s">
        <v>79</v>
      </c>
      <c r="N92" s="146" t="s">
        <v>278</v>
      </c>
    </row>
    <row r="93" spans="1:14" x14ac:dyDescent="0.35">
      <c r="A93" t="str">
        <f>IF(A92="[Unused]","",$A$61)</f>
        <v xml:space="preserve">   Enter volume to Buy(+) or Sell(-) [maf]</v>
      </c>
      <c r="C93" s="97"/>
      <c r="D93" s="97"/>
      <c r="E93" s="97"/>
      <c r="F93" s="97"/>
      <c r="G93" s="97"/>
      <c r="H93" s="97"/>
      <c r="I93" s="97"/>
      <c r="J93" s="97"/>
      <c r="K93" s="97"/>
      <c r="L93" s="97"/>
      <c r="M93" s="46">
        <f>SUM(C93:L93)</f>
        <v>0</v>
      </c>
      <c r="N93" s="151" t="s">
        <v>279</v>
      </c>
    </row>
    <row r="94" spans="1:14" x14ac:dyDescent="0.35">
      <c r="A94" t="str">
        <f>IF(A93="","",$A$62)</f>
        <v xml:space="preserve">   Enter compensation to Buy(-) or Sell(+) [$ Mill]</v>
      </c>
      <c r="C94" s="98"/>
      <c r="D94" s="98"/>
      <c r="E94" s="98"/>
      <c r="F94" s="98"/>
      <c r="G94" s="98"/>
      <c r="H94" s="98"/>
      <c r="I94" s="98"/>
      <c r="J94" s="98"/>
      <c r="K94" s="98"/>
      <c r="L94" s="98"/>
      <c r="M94" s="45">
        <f>SUM(C94:L94)</f>
        <v>0</v>
      </c>
      <c r="N94" s="152" t="s">
        <v>280</v>
      </c>
    </row>
    <row r="95" spans="1:14" x14ac:dyDescent="0.35">
      <c r="A95" s="138" t="str">
        <f>IF(A94="","",$A$63)</f>
        <v xml:space="preserve">   Net trade volume all participants (should be zero)</v>
      </c>
      <c r="C95" s="46" t="str">
        <f t="shared" ref="C95:M95" si="70">IF(OR(C$28="",$A95=""),"",C$116)</f>
        <v/>
      </c>
      <c r="D95" s="46" t="str">
        <f t="shared" si="70"/>
        <v/>
      </c>
      <c r="E95" s="46" t="str">
        <f t="shared" si="70"/>
        <v/>
      </c>
      <c r="F95" s="46" t="str">
        <f t="shared" si="70"/>
        <v/>
      </c>
      <c r="G95" s="46" t="str">
        <f t="shared" si="70"/>
        <v/>
      </c>
      <c r="H95" s="46" t="str">
        <f t="shared" si="70"/>
        <v/>
      </c>
      <c r="I95" s="46" t="str">
        <f t="shared" si="70"/>
        <v/>
      </c>
      <c r="J95" s="46" t="str">
        <f t="shared" si="70"/>
        <v/>
      </c>
      <c r="K95" s="46" t="str">
        <f t="shared" si="70"/>
        <v/>
      </c>
      <c r="L95" s="46" t="str">
        <f t="shared" si="70"/>
        <v/>
      </c>
      <c r="M95" t="str">
        <f t="shared" si="70"/>
        <v/>
      </c>
      <c r="N95" s="14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48" t="s">
        <v>282</v>
      </c>
    </row>
    <row r="97" spans="1:14" x14ac:dyDescent="0.35">
      <c r="A97" s="131" t="str">
        <f>IF(A96="","",$A$65)</f>
        <v xml:space="preserve">   Enter withdraw [maf] within available water</v>
      </c>
      <c r="C97" s="99"/>
      <c r="D97" s="99"/>
      <c r="E97" s="99"/>
      <c r="F97" s="99"/>
      <c r="G97" s="99"/>
      <c r="H97" s="99"/>
      <c r="I97" s="99"/>
      <c r="J97" s="99"/>
      <c r="K97" s="99"/>
      <c r="L97" s="99"/>
      <c r="N97" s="148" t="s">
        <v>295</v>
      </c>
    </row>
    <row r="98" spans="1:14" x14ac:dyDescent="0.35">
      <c r="A98" t="str">
        <f>IF(A97="","","   End of Year Balance [maf]")</f>
        <v xml:space="preserve">   End of Year Balance [maf]</v>
      </c>
      <c r="C98" s="13" t="str">
        <f>IF(OR(C$28="",$A98=""),"",C96-C97)</f>
        <v/>
      </c>
      <c r="D98" s="13" t="str">
        <f t="shared" ref="D98:L98" si="72">IF(OR(D$28="",$A98=""),"",D96-D97)</f>
        <v/>
      </c>
      <c r="E98" s="13" t="str">
        <f t="shared" si="72"/>
        <v/>
      </c>
      <c r="F98" s="13" t="str">
        <f t="shared" si="72"/>
        <v/>
      </c>
      <c r="G98" s="13" t="str">
        <f t="shared" si="72"/>
        <v/>
      </c>
      <c r="H98" s="13" t="str">
        <f t="shared" si="72"/>
        <v/>
      </c>
      <c r="I98" s="13" t="str">
        <f t="shared" si="72"/>
        <v/>
      </c>
      <c r="J98" s="13" t="str">
        <f t="shared" si="72"/>
        <v/>
      </c>
      <c r="K98" s="13" t="str">
        <f t="shared" si="72"/>
        <v/>
      </c>
      <c r="L98" s="13" t="str">
        <f t="shared" si="72"/>
        <v/>
      </c>
      <c r="N98" s="148" t="s">
        <v>283</v>
      </c>
    </row>
    <row r="99" spans="1:14" x14ac:dyDescent="0.35">
      <c r="C99"/>
      <c r="N99" s="149"/>
    </row>
    <row r="100" spans="1:14" x14ac:dyDescent="0.35">
      <c r="A100" s="125" t="str">
        <f>IF(A$10="","[Unused]",A10)</f>
        <v>Reclamation - Shared reserve</v>
      </c>
      <c r="B100" s="105"/>
      <c r="C100" s="105"/>
      <c r="D100" s="105"/>
      <c r="E100" s="105"/>
      <c r="F100" s="105"/>
      <c r="G100" s="105"/>
      <c r="H100" s="105"/>
      <c r="I100" s="105"/>
      <c r="J100" s="105"/>
      <c r="K100" s="105"/>
      <c r="L100" s="105"/>
      <c r="M100" s="106" t="s">
        <v>79</v>
      </c>
      <c r="N100" s="148" t="s">
        <v>293</v>
      </c>
    </row>
    <row r="101" spans="1:14" x14ac:dyDescent="0.35">
      <c r="A101" s="132" t="str">
        <f>IF(A100="[Unused]","",$A$61)</f>
        <v xml:space="preserve">   Enter volume to Buy(+) or Sell(-) [maf]</v>
      </c>
      <c r="C101" s="18"/>
      <c r="D101" s="18"/>
      <c r="E101" s="18"/>
      <c r="F101" s="18"/>
      <c r="G101" s="18"/>
      <c r="H101" s="18"/>
      <c r="I101" s="18"/>
      <c r="J101" s="18"/>
      <c r="K101" s="18"/>
      <c r="L101" s="18"/>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str">
        <f t="shared" ref="C103:M103" si="73">IF(OR(C$28="",$A103=""),"",C$116)</f>
        <v/>
      </c>
      <c r="D103" s="46" t="str">
        <f t="shared" si="73"/>
        <v/>
      </c>
      <c r="E103" s="46" t="str">
        <f t="shared" si="73"/>
        <v/>
      </c>
      <c r="F103" s="46" t="str">
        <f t="shared" si="73"/>
        <v/>
      </c>
      <c r="G103" s="46" t="str">
        <f t="shared" si="73"/>
        <v/>
      </c>
      <c r="H103" s="46" t="str">
        <f t="shared" si="73"/>
        <v/>
      </c>
      <c r="I103" s="46" t="str">
        <f t="shared" si="73"/>
        <v/>
      </c>
      <c r="J103" s="46" t="str">
        <f t="shared" si="73"/>
        <v/>
      </c>
      <c r="K103" s="46" t="str">
        <f t="shared" si="73"/>
        <v/>
      </c>
      <c r="L103" s="46" t="str">
        <f t="shared" si="73"/>
        <v/>
      </c>
      <c r="M103" t="str">
        <f t="shared" si="73"/>
        <v/>
      </c>
      <c r="N103" s="14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str">
        <f>IF(OR(C$28="",$A106=""),"",C104-C105)</f>
        <v/>
      </c>
      <c r="D106" s="13" t="str">
        <f t="shared" ref="D106:L106" si="75">IF(OR(D$28="",$A106=""),"",D104-D105)</f>
        <v/>
      </c>
      <c r="E106" s="13" t="str">
        <f t="shared" si="75"/>
        <v/>
      </c>
      <c r="F106" s="13" t="str">
        <f t="shared" si="75"/>
        <v/>
      </c>
      <c r="G106" s="13" t="str">
        <f t="shared" si="75"/>
        <v/>
      </c>
      <c r="H106" s="13" t="str">
        <f t="shared" si="75"/>
        <v/>
      </c>
      <c r="I106" s="13" t="str">
        <f t="shared" si="75"/>
        <v/>
      </c>
      <c r="J106" s="13" t="str">
        <f t="shared" si="75"/>
        <v/>
      </c>
      <c r="K106" s="13" t="str">
        <f t="shared" si="75"/>
        <v/>
      </c>
      <c r="L106" s="13" t="str">
        <f t="shared" si="75"/>
        <v/>
      </c>
      <c r="N106" s="149"/>
    </row>
    <row r="107" spans="1:14" x14ac:dyDescent="0.35">
      <c r="C107"/>
      <c r="N107" s="149"/>
    </row>
    <row r="108" spans="1:14" x14ac:dyDescent="0.35">
      <c r="A108" s="107" t="s">
        <v>382</v>
      </c>
      <c r="B108" s="107"/>
      <c r="C108" s="107"/>
      <c r="D108" s="107"/>
      <c r="E108" s="107"/>
      <c r="F108" s="107"/>
      <c r="G108" s="107"/>
      <c r="H108" s="107"/>
      <c r="I108" s="107"/>
      <c r="J108" s="107"/>
      <c r="K108" s="107"/>
      <c r="L108" s="107"/>
      <c r="M108" s="107"/>
      <c r="N108" s="148" t="s">
        <v>284</v>
      </c>
    </row>
    <row r="109" spans="1:14" x14ac:dyDescent="0.35">
      <c r="A109" s="1" t="s">
        <v>218</v>
      </c>
      <c r="C109"/>
      <c r="M109" t="s">
        <v>114</v>
      </c>
      <c r="N109" s="149"/>
    </row>
    <row r="110" spans="1:14" x14ac:dyDescent="0.35">
      <c r="A110" t="str">
        <f t="shared" ref="A110:A115" si="76">IF(A5="","","    "&amp;A5)</f>
        <v xml:space="preserve">    California</v>
      </c>
      <c r="B110" s="1"/>
      <c r="C110" s="46" t="str">
        <f t="shared" ref="C110:L110" ca="1" si="77">IF(OR(C$28="",$A110=""),"",OFFSET(C$61,8*(ROW(B110)-ROW(B$110)),0))</f>
        <v/>
      </c>
      <c r="D110" s="46" t="str">
        <f t="shared" ca="1" si="77"/>
        <v/>
      </c>
      <c r="E110" s="46" t="str">
        <f t="shared" ca="1" si="77"/>
        <v/>
      </c>
      <c r="F110" s="46" t="str">
        <f t="shared" ca="1" si="77"/>
        <v/>
      </c>
      <c r="G110" s="46" t="str">
        <f t="shared" ca="1" si="77"/>
        <v/>
      </c>
      <c r="H110" s="46" t="str">
        <f t="shared" ca="1" si="77"/>
        <v/>
      </c>
      <c r="I110" s="46" t="str">
        <f t="shared" ca="1" si="77"/>
        <v/>
      </c>
      <c r="J110" s="46" t="str">
        <f t="shared" ca="1" si="77"/>
        <v/>
      </c>
      <c r="K110" s="46" t="str">
        <f t="shared" ca="1" si="77"/>
        <v/>
      </c>
      <c r="L110" s="142" t="str">
        <f t="shared" ca="1" si="77"/>
        <v/>
      </c>
      <c r="M110" s="143">
        <f ca="1">IF(OR($A110=""),"",SUM(C110:L110))</f>
        <v>0</v>
      </c>
      <c r="N110" s="153"/>
    </row>
    <row r="111" spans="1:14" x14ac:dyDescent="0.35">
      <c r="A111" t="str">
        <f t="shared" si="76"/>
        <v xml:space="preserve">    Arizona</v>
      </c>
      <c r="B111" s="1"/>
      <c r="C111" s="46" t="str">
        <f t="shared" ref="C111:L111" ca="1" si="78">IF(OR(C$28="",$A111=""),"",OFFSET(C$61,8*(ROW(B111)-ROW(B$110)),0))</f>
        <v/>
      </c>
      <c r="D111" s="46" t="str">
        <f t="shared" ca="1" si="78"/>
        <v/>
      </c>
      <c r="E111" s="46" t="str">
        <f t="shared" ca="1" si="78"/>
        <v/>
      </c>
      <c r="F111" s="46" t="str">
        <f t="shared" ca="1" si="78"/>
        <v/>
      </c>
      <c r="G111" s="46" t="str">
        <f t="shared" ca="1" si="78"/>
        <v/>
      </c>
      <c r="H111" s="46" t="str">
        <f t="shared" ca="1" si="78"/>
        <v/>
      </c>
      <c r="I111" s="46" t="str">
        <f t="shared" ca="1" si="78"/>
        <v/>
      </c>
      <c r="J111" s="46" t="str">
        <f t="shared" ca="1" si="78"/>
        <v/>
      </c>
      <c r="K111" s="46" t="str">
        <f t="shared" ca="1" si="78"/>
        <v/>
      </c>
      <c r="L111" s="142" t="str">
        <f t="shared" ca="1" si="78"/>
        <v/>
      </c>
      <c r="M111" s="143">
        <f t="shared" ref="M111:M115" ca="1" si="79">IF(OR($A111=""),"",SUM(C111:L111))</f>
        <v>0</v>
      </c>
      <c r="N111" s="153"/>
    </row>
    <row r="112" spans="1:14" x14ac:dyDescent="0.35">
      <c r="A112" t="str">
        <f t="shared" si="76"/>
        <v xml:space="preserve">    Nevada</v>
      </c>
      <c r="B112" s="1"/>
      <c r="C112" s="46" t="str">
        <f t="shared" ref="C112:L112" ca="1" si="80">IF(OR(C$28="",$A112=""),"",OFFSET(C$61,8*(ROW(B112)-ROW(B$110)),0))</f>
        <v/>
      </c>
      <c r="D112" s="46" t="str">
        <f t="shared" ca="1" si="80"/>
        <v/>
      </c>
      <c r="E112" s="46" t="str">
        <f t="shared" ca="1" si="80"/>
        <v/>
      </c>
      <c r="F112" s="46" t="str">
        <f t="shared" ca="1" si="80"/>
        <v/>
      </c>
      <c r="G112" s="46" t="str">
        <f t="shared" ca="1" si="80"/>
        <v/>
      </c>
      <c r="H112" s="46" t="str">
        <f t="shared" ca="1" si="80"/>
        <v/>
      </c>
      <c r="I112" s="46" t="str">
        <f t="shared" ca="1" si="80"/>
        <v/>
      </c>
      <c r="J112" s="46" t="str">
        <f t="shared" ca="1" si="80"/>
        <v/>
      </c>
      <c r="K112" s="46" t="str">
        <f t="shared" ca="1" si="80"/>
        <v/>
      </c>
      <c r="L112" s="142" t="str">
        <f t="shared" ca="1" si="80"/>
        <v/>
      </c>
      <c r="M112" s="143">
        <f t="shared" ca="1" si="79"/>
        <v>0</v>
      </c>
      <c r="N112" s="153"/>
    </row>
    <row r="113" spans="1:14" x14ac:dyDescent="0.35">
      <c r="A113" t="str">
        <f t="shared" si="76"/>
        <v xml:space="preserve">    Colorado River Delta</v>
      </c>
      <c r="B113" s="1"/>
      <c r="C113" s="46" t="str">
        <f t="shared" ref="C113:L113" ca="1" si="81">IF(OR(C$28="",$A113=""),"",OFFSET(C$61,8*(ROW(B113)-ROW(B$110)),0))</f>
        <v/>
      </c>
      <c r="D113" s="46" t="str">
        <f t="shared" ca="1" si="81"/>
        <v/>
      </c>
      <c r="E113" s="46" t="str">
        <f t="shared" ca="1" si="81"/>
        <v/>
      </c>
      <c r="F113" s="46" t="str">
        <f t="shared" ca="1" si="81"/>
        <v/>
      </c>
      <c r="G113" s="46" t="str">
        <f t="shared" ca="1" si="81"/>
        <v/>
      </c>
      <c r="H113" s="46" t="str">
        <f t="shared" ca="1" si="81"/>
        <v/>
      </c>
      <c r="I113" s="46" t="str">
        <f t="shared" ca="1" si="81"/>
        <v/>
      </c>
      <c r="J113" s="46" t="str">
        <f t="shared" ca="1" si="81"/>
        <v/>
      </c>
      <c r="K113" s="46" t="str">
        <f t="shared" ca="1" si="81"/>
        <v/>
      </c>
      <c r="L113" s="142" t="str">
        <f t="shared" ca="1" si="81"/>
        <v/>
      </c>
      <c r="M113" s="143">
        <f t="shared" ca="1" si="79"/>
        <v>0</v>
      </c>
      <c r="N113" s="153"/>
    </row>
    <row r="114" spans="1:14" x14ac:dyDescent="0.35">
      <c r="A114" t="str">
        <f t="shared" si="76"/>
        <v xml:space="preserve">    Mexico</v>
      </c>
      <c r="B114" s="1"/>
      <c r="C114" s="46" t="str">
        <f t="shared" ref="C114:L114" ca="1" si="82">IF(OR(C$28="",$A114=""),"",OFFSET(C$61,8*(ROW(B114)-ROW(B$110)),0))</f>
        <v/>
      </c>
      <c r="D114" s="46" t="str">
        <f t="shared" ca="1" si="82"/>
        <v/>
      </c>
      <c r="E114" s="46" t="str">
        <f t="shared" ca="1" si="82"/>
        <v/>
      </c>
      <c r="F114" s="46" t="str">
        <f t="shared" ca="1" si="82"/>
        <v/>
      </c>
      <c r="G114" s="46" t="str">
        <f t="shared" ca="1" si="82"/>
        <v/>
      </c>
      <c r="H114" s="46" t="str">
        <f t="shared" ca="1" si="82"/>
        <v/>
      </c>
      <c r="I114" s="46" t="str">
        <f t="shared" ca="1" si="82"/>
        <v/>
      </c>
      <c r="J114" s="46" t="str">
        <f t="shared" ca="1" si="82"/>
        <v/>
      </c>
      <c r="K114" s="46" t="str">
        <f t="shared" ca="1" si="82"/>
        <v/>
      </c>
      <c r="L114" s="142" t="str">
        <f t="shared" ca="1" si="82"/>
        <v/>
      </c>
      <c r="M114" s="143">
        <f t="shared" ca="1" si="79"/>
        <v>0</v>
      </c>
      <c r="N114" s="153"/>
    </row>
    <row r="115" spans="1:14" x14ac:dyDescent="0.35">
      <c r="A115" t="str">
        <f t="shared" si="76"/>
        <v xml:space="preserve">    Reclamation - Shared reserve</v>
      </c>
      <c r="B115" s="1"/>
      <c r="C115" s="46" t="str">
        <f t="shared" ref="C115:L115" ca="1" si="83">IF(OR(C$28="",$A115=""),"",OFFSET(C$61,8*(ROW(B115)-ROW(B$110)),0))</f>
        <v/>
      </c>
      <c r="D115" s="46" t="str">
        <f t="shared" ca="1" si="83"/>
        <v/>
      </c>
      <c r="E115" s="46" t="str">
        <f t="shared" ca="1" si="83"/>
        <v/>
      </c>
      <c r="F115" s="46" t="str">
        <f t="shared" ca="1" si="83"/>
        <v/>
      </c>
      <c r="G115" s="46" t="str">
        <f t="shared" ca="1" si="83"/>
        <v/>
      </c>
      <c r="H115" s="46" t="str">
        <f t="shared" ca="1" si="83"/>
        <v/>
      </c>
      <c r="I115" s="46" t="str">
        <f t="shared" ca="1" si="83"/>
        <v/>
      </c>
      <c r="J115" s="46" t="str">
        <f t="shared" ca="1" si="83"/>
        <v/>
      </c>
      <c r="K115" s="46" t="str">
        <f t="shared" ca="1" si="83"/>
        <v/>
      </c>
      <c r="L115" s="142" t="str">
        <f t="shared" ca="1" si="83"/>
        <v/>
      </c>
      <c r="M115" s="143">
        <f t="shared" ca="1" si="79"/>
        <v>0</v>
      </c>
      <c r="N115" s="15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4" t="str">
        <f t="shared" si="84"/>
        <v/>
      </c>
      <c r="I116" s="34" t="str">
        <f t="shared" si="84"/>
        <v/>
      </c>
      <c r="J116" s="34" t="str">
        <f t="shared" si="84"/>
        <v/>
      </c>
      <c r="K116" s="34" t="str">
        <f t="shared" si="84"/>
        <v/>
      </c>
      <c r="L116" s="34" t="str">
        <f t="shared" si="84"/>
        <v/>
      </c>
      <c r="M116" s="21"/>
      <c r="N116" s="155"/>
    </row>
    <row r="117" spans="1:14" x14ac:dyDescent="0.35">
      <c r="A117" s="1" t="s">
        <v>219</v>
      </c>
      <c r="B117" s="1"/>
      <c r="C117" s="36"/>
      <c r="D117" s="2"/>
      <c r="E117" s="36"/>
      <c r="F117" s="2"/>
      <c r="G117" s="2"/>
      <c r="H117" s="2"/>
      <c r="I117" s="2"/>
      <c r="J117" s="2"/>
      <c r="K117" s="2"/>
      <c r="L117" s="2"/>
      <c r="N117" s="149"/>
    </row>
    <row r="118" spans="1:14" x14ac:dyDescent="0.35">
      <c r="A118" t="str">
        <f>IF(A5="","","    "&amp;A5&amp;" - Consumptive Use and Headwaters Losses")</f>
        <v xml:space="preserve">    California - Consumptive Use and Headwaters Losses</v>
      </c>
      <c r="C118" s="46" t="str">
        <f t="shared" ref="C118:L118" ca="1" si="85">IF(OR(C$28="",$A118=""),"",OFFSET(C$65,8*(ROW(B118)-ROW(B$118)),0))</f>
        <v/>
      </c>
      <c r="D118" s="46" t="str">
        <f t="shared" ca="1" si="85"/>
        <v/>
      </c>
      <c r="E118" s="46" t="str">
        <f t="shared" ca="1" si="85"/>
        <v/>
      </c>
      <c r="F118" s="46" t="str">
        <f t="shared" ca="1" si="85"/>
        <v/>
      </c>
      <c r="G118" s="46" t="str">
        <f t="shared" ca="1" si="85"/>
        <v/>
      </c>
      <c r="H118" s="46" t="str">
        <f t="shared" ca="1" si="85"/>
        <v/>
      </c>
      <c r="I118" s="46" t="str">
        <f t="shared" ca="1" si="85"/>
        <v/>
      </c>
      <c r="J118" s="46" t="str">
        <f t="shared" ca="1" si="85"/>
        <v/>
      </c>
      <c r="K118" s="46" t="str">
        <f t="shared" ca="1" si="85"/>
        <v/>
      </c>
      <c r="L118" s="46" t="str">
        <f t="shared" ca="1" si="85"/>
        <v/>
      </c>
      <c r="N118" s="149"/>
    </row>
    <row r="119" spans="1:14" x14ac:dyDescent="0.35">
      <c r="A119" t="str">
        <f>IF(A6="","","    "&amp;A6&amp;" - Release from Mead")</f>
        <v xml:space="preserve">    Arizona - Release from Mead</v>
      </c>
      <c r="C119" s="46" t="str">
        <f t="shared" ref="C119:L119" ca="1" si="86">IF(OR(C$28="",$A119=""),"",OFFSET(C$65,8*(ROW(B119)-ROW(B$118)),0))</f>
        <v/>
      </c>
      <c r="D119" s="46" t="str">
        <f t="shared" ca="1" si="86"/>
        <v/>
      </c>
      <c r="E119" s="46" t="str">
        <f t="shared" ca="1" si="86"/>
        <v/>
      </c>
      <c r="F119" s="46" t="str">
        <f t="shared" ca="1" si="86"/>
        <v/>
      </c>
      <c r="G119" s="46" t="str">
        <f t="shared" ca="1" si="86"/>
        <v/>
      </c>
      <c r="H119" s="46" t="str">
        <f t="shared" ca="1" si="86"/>
        <v/>
      </c>
      <c r="I119" s="46" t="str">
        <f t="shared" ca="1" si="86"/>
        <v/>
      </c>
      <c r="J119" s="46" t="str">
        <f t="shared" ca="1" si="86"/>
        <v/>
      </c>
      <c r="K119" s="46" t="str">
        <f t="shared" ca="1" si="86"/>
        <v/>
      </c>
      <c r="L119" s="46" t="str">
        <f t="shared" ca="1" si="86"/>
        <v/>
      </c>
      <c r="N119" s="149"/>
    </row>
    <row r="120" spans="1:14" x14ac:dyDescent="0.35">
      <c r="A120" t="str">
        <f>IF(A7="","","    "&amp;A7&amp;" - Release from Mead")</f>
        <v xml:space="preserve">    Nevada - Release from Mead</v>
      </c>
      <c r="C120" s="46" t="str">
        <f t="shared" ref="C120:L120" ca="1" si="87">IF(OR(C$28="",$A120=""),"",OFFSET(C$65,8*(ROW(B120)-ROW(B$118)),0))</f>
        <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Colorado River Delta - Release from Mead</v>
      </c>
      <c r="C121" s="46" t="str">
        <f t="shared" ref="C121:L121" ca="1" si="88">IF(OR(C$28="",$A121=""),"",OFFSET(C$65,8*(ROW(B121)-ROW(B$118)),0))</f>
        <v/>
      </c>
      <c r="D121" s="46" t="str">
        <f t="shared" ca="1" si="88"/>
        <v/>
      </c>
      <c r="E121" s="46" t="str">
        <f t="shared" ca="1" si="88"/>
        <v/>
      </c>
      <c r="F121" s="46" t="str">
        <f t="shared" ca="1" si="88"/>
        <v/>
      </c>
      <c r="G121" s="46" t="str">
        <f t="shared" ca="1" si="88"/>
        <v/>
      </c>
      <c r="H121" s="46" t="str">
        <f t="shared" ca="1" si="88"/>
        <v/>
      </c>
      <c r="I121" s="46" t="str">
        <f t="shared" ca="1" si="88"/>
        <v/>
      </c>
      <c r="J121" s="46" t="str">
        <f t="shared" ca="1" si="88"/>
        <v/>
      </c>
      <c r="K121" s="46" t="str">
        <f t="shared" ca="1" si="88"/>
        <v/>
      </c>
      <c r="L121" s="46" t="str">
        <f t="shared" ca="1" si="88"/>
        <v/>
      </c>
      <c r="N121" s="149"/>
    </row>
    <row r="122" spans="1:14" x14ac:dyDescent="0.35">
      <c r="A122" t="str">
        <f>IF(A9="","","    "&amp;A9&amp;" - Release from Mead")</f>
        <v xml:space="preserve">    Mexico - Release from Mead</v>
      </c>
      <c r="C122" s="46" t="str">
        <f t="shared" ref="C122:L122" ca="1" si="89">IF(OR(C$28="",$A122=""),"",OFFSET(C$65,8*(ROW(B122)-ROW(B$118)),0))</f>
        <v/>
      </c>
      <c r="D122" s="46" t="str">
        <f t="shared" ca="1" si="89"/>
        <v/>
      </c>
      <c r="E122" s="46" t="str">
        <f t="shared" ca="1" si="89"/>
        <v/>
      </c>
      <c r="F122" s="46" t="str">
        <f t="shared" ca="1" si="89"/>
        <v/>
      </c>
      <c r="G122" s="46" t="str">
        <f t="shared" ca="1" si="89"/>
        <v/>
      </c>
      <c r="H122" s="46" t="str">
        <f t="shared" ca="1" si="89"/>
        <v/>
      </c>
      <c r="I122" s="46" t="str">
        <f t="shared" ca="1" si="89"/>
        <v/>
      </c>
      <c r="J122" s="46" t="str">
        <f t="shared" ca="1" si="89"/>
        <v/>
      </c>
      <c r="K122" s="46" t="str">
        <f t="shared" ca="1" si="89"/>
        <v/>
      </c>
      <c r="L122" s="46" t="str">
        <f t="shared" ca="1" si="89"/>
        <v/>
      </c>
      <c r="N122" s="149"/>
    </row>
    <row r="123" spans="1:14" x14ac:dyDescent="0.35">
      <c r="A123" t="str">
        <f>IF(A10="","","    "&amp;A10&amp;" - Release from Mead")</f>
        <v xml:space="preserve">    Reclamation - Shared reserve - Release from Mead</v>
      </c>
      <c r="C123" s="46" t="str">
        <f t="shared" ref="C123:L123" ca="1" si="90">IF(OR(C$28="",$A123=""),"",OFFSET(C$65,8*(ROW(B123)-ROW(B$118)),0))</f>
        <v/>
      </c>
      <c r="D123" s="46" t="str">
        <f t="shared" ca="1" si="90"/>
        <v/>
      </c>
      <c r="E123" s="46" t="str">
        <f t="shared" ca="1" si="90"/>
        <v/>
      </c>
      <c r="F123" s="46" t="str">
        <f t="shared" ca="1" si="90"/>
        <v/>
      </c>
      <c r="G123" s="46" t="str">
        <f t="shared" ca="1" si="90"/>
        <v/>
      </c>
      <c r="H123" s="46" t="str">
        <f t="shared" ca="1" si="90"/>
        <v/>
      </c>
      <c r="I123" s="46" t="str">
        <f t="shared" ca="1" si="90"/>
        <v/>
      </c>
      <c r="J123" s="46" t="str">
        <f t="shared" ca="1" si="90"/>
        <v/>
      </c>
      <c r="K123" s="46" t="str">
        <f t="shared" ca="1" si="90"/>
        <v/>
      </c>
      <c r="L123" s="46" t="str">
        <f t="shared" ca="1" si="90"/>
        <v/>
      </c>
      <c r="N123" s="149"/>
    </row>
    <row r="124" spans="1:14" x14ac:dyDescent="0.35">
      <c r="A124" s="1" t="s">
        <v>90</v>
      </c>
      <c r="B124" s="1"/>
      <c r="D124" s="2"/>
      <c r="E124" s="2"/>
      <c r="F124" s="2"/>
      <c r="G124" s="2"/>
      <c r="H124" s="2"/>
      <c r="I124" s="2"/>
      <c r="J124" s="2"/>
      <c r="K124" s="2"/>
      <c r="L124" s="2"/>
      <c r="N124" s="149"/>
    </row>
    <row r="125" spans="1:14" x14ac:dyDescent="0.35">
      <c r="A125" t="str">
        <f t="shared" ref="A125:A130" si="91">IF(A5="","","    "&amp;A5)</f>
        <v xml:space="preserve">    California</v>
      </c>
      <c r="C125" s="46" t="str">
        <f t="shared" ref="C125:L125" ca="1" si="92">IF(OR(C$28="",$A125=""),"",OFFSET(C$66,8*(ROW(B125)-ROW(B$125)),0))</f>
        <v/>
      </c>
      <c r="D125" s="46" t="str">
        <f t="shared" ca="1" si="92"/>
        <v/>
      </c>
      <c r="E125" s="46" t="str">
        <f t="shared" ca="1" si="92"/>
        <v/>
      </c>
      <c r="F125" s="46" t="str">
        <f t="shared" ca="1" si="92"/>
        <v/>
      </c>
      <c r="G125" s="46" t="str">
        <f t="shared" ca="1" si="92"/>
        <v/>
      </c>
      <c r="H125" s="46" t="str">
        <f t="shared" ca="1" si="92"/>
        <v/>
      </c>
      <c r="I125" s="46" t="str">
        <f t="shared" ca="1" si="92"/>
        <v/>
      </c>
      <c r="J125" s="46" t="str">
        <f t="shared" ca="1" si="92"/>
        <v/>
      </c>
      <c r="K125" s="46" t="str">
        <f t="shared" ca="1" si="92"/>
        <v/>
      </c>
      <c r="L125" s="46" t="str">
        <f t="shared" ca="1" si="92"/>
        <v/>
      </c>
      <c r="N125" s="149"/>
    </row>
    <row r="126" spans="1:14" x14ac:dyDescent="0.35">
      <c r="A126" t="str">
        <f t="shared" si="91"/>
        <v xml:space="preserve">    Arizona</v>
      </c>
      <c r="C126" s="46" t="str">
        <f t="shared" ref="C126:L126" ca="1" si="93">IF(OR(C$28="",$A126=""),"",OFFSET(C$66,8*(ROW(B126)-ROW(B$125)),0))</f>
        <v/>
      </c>
      <c r="D126" s="46" t="str">
        <f t="shared" ca="1" si="93"/>
        <v/>
      </c>
      <c r="E126" s="46" t="str">
        <f t="shared" ca="1" si="93"/>
        <v/>
      </c>
      <c r="F126" s="46" t="str">
        <f t="shared" ca="1" si="93"/>
        <v/>
      </c>
      <c r="G126" s="46" t="str">
        <f t="shared" ca="1" si="93"/>
        <v/>
      </c>
      <c r="H126" s="46" t="str">
        <f t="shared" ca="1" si="93"/>
        <v/>
      </c>
      <c r="I126" s="46" t="str">
        <f t="shared" ca="1" si="93"/>
        <v/>
      </c>
      <c r="J126" s="46" t="str">
        <f t="shared" ca="1" si="93"/>
        <v/>
      </c>
      <c r="K126" s="46" t="str">
        <f t="shared" ca="1" si="93"/>
        <v/>
      </c>
      <c r="L126" s="46" t="str">
        <f t="shared" ca="1" si="93"/>
        <v/>
      </c>
      <c r="N126" s="149"/>
    </row>
    <row r="127" spans="1:14" x14ac:dyDescent="0.35">
      <c r="A127" t="str">
        <f t="shared" si="91"/>
        <v xml:space="preserve">    Nevada</v>
      </c>
      <c r="C127" s="46" t="str">
        <f t="shared" ref="C127:L127" ca="1" si="94">IF(OR(C$28="",$A127=""),"",OFFSET(C$66,8*(ROW(B127)-ROW(B$125)),0))</f>
        <v/>
      </c>
      <c r="D127" s="46" t="str">
        <f t="shared" ca="1" si="94"/>
        <v/>
      </c>
      <c r="E127" s="46" t="str">
        <f t="shared" ca="1" si="94"/>
        <v/>
      </c>
      <c r="F127" s="46" t="str">
        <f t="shared" ca="1" si="94"/>
        <v/>
      </c>
      <c r="G127" s="46" t="str">
        <f t="shared" ca="1" si="94"/>
        <v/>
      </c>
      <c r="H127" s="46" t="str">
        <f t="shared" ca="1" si="94"/>
        <v/>
      </c>
      <c r="I127" s="46" t="str">
        <f t="shared" ca="1" si="94"/>
        <v/>
      </c>
      <c r="J127" s="46" t="str">
        <f t="shared" ca="1" si="94"/>
        <v/>
      </c>
      <c r="K127" s="46" t="str">
        <f t="shared" ca="1" si="94"/>
        <v/>
      </c>
      <c r="L127" s="46" t="str">
        <f t="shared" ca="1" si="94"/>
        <v/>
      </c>
      <c r="N127" s="149"/>
    </row>
    <row r="128" spans="1:14" x14ac:dyDescent="0.35">
      <c r="A128" t="str">
        <f t="shared" si="91"/>
        <v xml:space="preserve">    Colorado River Delta</v>
      </c>
      <c r="C128" s="46" t="str">
        <f t="shared" ref="C128:L128" ca="1" si="95">IF(OR(C$28="",$A128=""),"",OFFSET(C$66,8*(ROW(B128)-ROW(B$125)),0))</f>
        <v/>
      </c>
      <c r="D128" s="46" t="str">
        <f t="shared" ca="1" si="95"/>
        <v/>
      </c>
      <c r="E128" s="46" t="str">
        <f t="shared" ca="1" si="95"/>
        <v/>
      </c>
      <c r="F128" s="46" t="str">
        <f t="shared" ca="1" si="95"/>
        <v/>
      </c>
      <c r="G128" s="46" t="str">
        <f t="shared" ca="1" si="95"/>
        <v/>
      </c>
      <c r="H128" s="46" t="str">
        <f t="shared" ca="1" si="95"/>
        <v/>
      </c>
      <c r="I128" s="46" t="str">
        <f t="shared" ca="1" si="95"/>
        <v/>
      </c>
      <c r="J128" s="46" t="str">
        <f t="shared" ca="1" si="95"/>
        <v/>
      </c>
      <c r="K128" s="46" t="str">
        <f t="shared" ca="1" si="95"/>
        <v/>
      </c>
      <c r="L128" s="46" t="str">
        <f t="shared" ca="1" si="95"/>
        <v/>
      </c>
      <c r="N128" s="149"/>
    </row>
    <row r="129" spans="1:14" x14ac:dyDescent="0.35">
      <c r="A129" t="str">
        <f t="shared" si="91"/>
        <v xml:space="preserve">    Mexico</v>
      </c>
      <c r="C129" s="46" t="str">
        <f t="shared" ref="C129:L129" ca="1" si="96">IF(OR(C$28="",$A129=""),"",OFFSET(C$66,8*(ROW(B129)-ROW(B$125)),0))</f>
        <v/>
      </c>
      <c r="D129" s="46" t="str">
        <f t="shared" ca="1" si="96"/>
        <v/>
      </c>
      <c r="E129" s="46" t="str">
        <f t="shared" ca="1" si="96"/>
        <v/>
      </c>
      <c r="F129" s="46" t="str">
        <f t="shared" ca="1" si="96"/>
        <v/>
      </c>
      <c r="G129" s="46" t="str">
        <f t="shared" ca="1" si="96"/>
        <v/>
      </c>
      <c r="H129" s="46" t="str">
        <f t="shared" ca="1" si="96"/>
        <v/>
      </c>
      <c r="I129" s="46" t="str">
        <f t="shared" ca="1" si="96"/>
        <v/>
      </c>
      <c r="J129" s="46" t="str">
        <f t="shared" ca="1" si="96"/>
        <v/>
      </c>
      <c r="K129" s="46" t="str">
        <f t="shared" ca="1" si="96"/>
        <v/>
      </c>
      <c r="L129" s="46" t="str">
        <f t="shared" ca="1" si="96"/>
        <v/>
      </c>
      <c r="N129" s="149"/>
    </row>
    <row r="130" spans="1:14" x14ac:dyDescent="0.35">
      <c r="A130" t="str">
        <f t="shared" si="91"/>
        <v xml:space="preserve">    Reclamation - Shared reserve</v>
      </c>
      <c r="C130" s="46" t="str">
        <f t="shared" ref="C130:L130" ca="1" si="97">IF(OR(C$28="",$A130=""),"",OFFSET(C$66,8*(ROW(B130)-ROW(B$125)),0))</f>
        <v/>
      </c>
      <c r="D130" s="46" t="str">
        <f t="shared" ca="1" si="97"/>
        <v/>
      </c>
      <c r="E130" s="46" t="str">
        <f t="shared" ca="1" si="97"/>
        <v/>
      </c>
      <c r="F130" s="46" t="str">
        <f t="shared" ca="1" si="97"/>
        <v/>
      </c>
      <c r="G130" s="46" t="str">
        <f t="shared" ca="1" si="97"/>
        <v/>
      </c>
      <c r="H130" s="46" t="str">
        <f t="shared" ca="1" si="97"/>
        <v/>
      </c>
      <c r="I130" s="46" t="str">
        <f t="shared" ca="1" si="97"/>
        <v/>
      </c>
      <c r="J130" s="46" t="str">
        <f t="shared" ca="1" si="97"/>
        <v/>
      </c>
      <c r="K130" s="46" t="str">
        <f t="shared" ca="1" si="97"/>
        <v/>
      </c>
      <c r="L130" s="46" t="str">
        <f t="shared" ca="1" si="97"/>
        <v/>
      </c>
      <c r="N130" s="14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48" t="s">
        <v>285</v>
      </c>
    </row>
    <row r="132" spans="1:14" ht="29.5" customHeight="1" x14ac:dyDescent="0.35">
      <c r="A132" s="239" t="s">
        <v>258</v>
      </c>
      <c r="B132" s="240"/>
      <c r="C132" s="133">
        <v>0.5</v>
      </c>
      <c r="D132" s="133">
        <v>0.5</v>
      </c>
      <c r="E132" s="133"/>
      <c r="F132" s="133"/>
      <c r="G132" s="133"/>
      <c r="H132" s="133"/>
      <c r="I132" s="133"/>
      <c r="J132" s="133"/>
      <c r="K132" s="133"/>
      <c r="L132" s="133"/>
      <c r="N132" s="146"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4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48" t="s">
        <v>297</v>
      </c>
    </row>
    <row r="135" spans="1:14" x14ac:dyDescent="0.35">
      <c r="A135" t="s">
        <v>162</v>
      </c>
      <c r="B135" s="1"/>
      <c r="C135" s="60" t="str">
        <f>IF(C$28&lt;&gt;"",VLOOKUP(C133*1000000,'Powell-Elevation-Area'!$B$5:$H$689,7),"")</f>
        <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297</v>
      </c>
    </row>
    <row r="136" spans="1:14" x14ac:dyDescent="0.35">
      <c r="A136" t="s">
        <v>163</v>
      </c>
      <c r="B136" s="1"/>
      <c r="C136" s="60" t="str">
        <f>IF(C$28&lt;&gt;"",VLOOKUP(C134*1000000,'Mead-Elevation-Area'!$B$5:$H$689,7),"")</f>
        <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297</v>
      </c>
    </row>
    <row r="137" spans="1:14" x14ac:dyDescent="0.35">
      <c r="A137" s="1" t="s">
        <v>230</v>
      </c>
      <c r="B137" s="1"/>
      <c r="N137" s="148" t="s">
        <v>287</v>
      </c>
    </row>
    <row r="138" spans="1:14" x14ac:dyDescent="0.35">
      <c r="A138"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288</v>
      </c>
    </row>
    <row r="139" spans="1:14" x14ac:dyDescent="0.35">
      <c r="A139" t="s">
        <v>221</v>
      </c>
      <c r="B139" s="1"/>
      <c r="C139" s="60" t="str">
        <f>IF(C$28&lt;&gt;"",VLOOKUP(C135,PowellReleaseTemperature!$A$5:$B$11,2),"")</f>
        <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289</v>
      </c>
    </row>
    <row r="140" spans="1:14" s="62" customFormat="1" ht="62.5" customHeight="1" x14ac:dyDescent="0.35">
      <c r="A140" s="62" t="s">
        <v>222</v>
      </c>
      <c r="B140" s="61"/>
      <c r="C140" s="90" t="str">
        <f>IF(C$28&lt;&gt;"",VLOOKUP(C$135,PowellReleaseTemperature!$A$5:$E$11,5),"")</f>
        <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291</v>
      </c>
    </row>
    <row r="141" spans="1:14" s="62" customFormat="1" ht="32.15" customHeight="1" x14ac:dyDescent="0.35">
      <c r="A141" s="62" t="s">
        <v>191</v>
      </c>
      <c r="B141" s="61"/>
      <c r="C141" s="90" t="str">
        <f>IF(C$28&lt;&gt;"",VLOOKUP(C$135,PowellReleaseTemperature!$A$5:$F$11,6),"")</f>
        <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290</v>
      </c>
    </row>
    <row r="142" spans="1:14" x14ac:dyDescent="0.35">
      <c r="A142" s="131" t="s">
        <v>259</v>
      </c>
      <c r="C142" s="19"/>
      <c r="N142" s="14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C65">
    <cfRule type="cellIs" dxfId="99" priority="18" operator="greaterThan">
      <formula>$C$64</formula>
    </cfRule>
  </conditionalFormatting>
  <conditionalFormatting sqref="C73">
    <cfRule type="cellIs" dxfId="98" priority="10" operator="greaterThan">
      <formula>$C$72</formula>
    </cfRule>
  </conditionalFormatting>
  <conditionalFormatting sqref="C81">
    <cfRule type="cellIs" dxfId="97" priority="5" operator="greaterThan">
      <formula>$C$80</formula>
    </cfRule>
  </conditionalFormatting>
  <conditionalFormatting sqref="C97">
    <cfRule type="cellIs" dxfId="96" priority="52" operator="greaterThan">
      <formula>$C$96</formula>
    </cfRule>
  </conditionalFormatting>
  <conditionalFormatting sqref="C105">
    <cfRule type="cellIs" dxfId="95" priority="42" operator="greaterThan">
      <formula>$C$104</formula>
    </cfRule>
  </conditionalFormatting>
  <conditionalFormatting sqref="C89:L89">
    <cfRule type="cellIs" dxfId="94" priority="53" operator="greaterThan">
      <formula>$C$88</formula>
    </cfRule>
  </conditionalFormatting>
  <conditionalFormatting sqref="D65">
    <cfRule type="cellIs" dxfId="82" priority="20" operator="greaterThan">
      <formula>$D$64</formula>
    </cfRule>
  </conditionalFormatting>
  <conditionalFormatting sqref="D73">
    <cfRule type="cellIs" dxfId="81" priority="9" operator="greaterThan">
      <formula>$D$72</formula>
    </cfRule>
  </conditionalFormatting>
  <conditionalFormatting sqref="D81">
    <cfRule type="cellIs" dxfId="80" priority="4" operator="greaterThan">
      <formula>$D$80</formula>
    </cfRule>
  </conditionalFormatting>
  <conditionalFormatting sqref="D97">
    <cfRule type="cellIs" dxfId="79" priority="51" operator="greaterThan">
      <formula>$D$96</formula>
    </cfRule>
  </conditionalFormatting>
  <conditionalFormatting sqref="D105">
    <cfRule type="cellIs" dxfId="78" priority="41" operator="greaterThan">
      <formula>$D$104</formula>
    </cfRule>
  </conditionalFormatting>
  <conditionalFormatting sqref="E65">
    <cfRule type="cellIs" dxfId="77" priority="16" operator="greaterThan">
      <formula>$E$64</formula>
    </cfRule>
  </conditionalFormatting>
  <conditionalFormatting sqref="E73">
    <cfRule type="cellIs" dxfId="76" priority="8" operator="greaterThan">
      <formula>$E$72</formula>
    </cfRule>
  </conditionalFormatting>
  <conditionalFormatting sqref="E81">
    <cfRule type="cellIs" dxfId="75" priority="3" operator="greaterThan">
      <formula>$E$80</formula>
    </cfRule>
  </conditionalFormatting>
  <conditionalFormatting sqref="E97">
    <cfRule type="cellIs" dxfId="74" priority="50" operator="greaterThan">
      <formula>$E$96</formula>
    </cfRule>
  </conditionalFormatting>
  <conditionalFormatting sqref="E105">
    <cfRule type="cellIs" dxfId="73" priority="40" operator="greaterThan">
      <formula>$E$104</formula>
    </cfRule>
  </conditionalFormatting>
  <conditionalFormatting sqref="F65">
    <cfRule type="cellIs" dxfId="72" priority="15" operator="greaterThan">
      <formula>$F$64</formula>
    </cfRule>
  </conditionalFormatting>
  <conditionalFormatting sqref="F73">
    <cfRule type="cellIs" dxfId="71" priority="7" operator="greaterThan">
      <formula>$F$72</formula>
    </cfRule>
  </conditionalFormatting>
  <conditionalFormatting sqref="F81">
    <cfRule type="cellIs" dxfId="70" priority="2" operator="greaterThan">
      <formula>$F$80</formula>
    </cfRule>
  </conditionalFormatting>
  <conditionalFormatting sqref="F97">
    <cfRule type="cellIs" dxfId="69" priority="49" operator="greaterThan">
      <formula>$F$96</formula>
    </cfRule>
  </conditionalFormatting>
  <conditionalFormatting sqref="F105">
    <cfRule type="cellIs" dxfId="68" priority="39" operator="greaterThan">
      <formula>$F$104</formula>
    </cfRule>
  </conditionalFormatting>
  <conditionalFormatting sqref="G65">
    <cfRule type="cellIs" dxfId="67" priority="14" operator="greaterThan">
      <formula>$G$64</formula>
    </cfRule>
  </conditionalFormatting>
  <conditionalFormatting sqref="G73">
    <cfRule type="cellIs" dxfId="66" priority="6" operator="greaterThan">
      <formula>$G$72</formula>
    </cfRule>
  </conditionalFormatting>
  <conditionalFormatting sqref="G81">
    <cfRule type="cellIs" dxfId="65" priority="1" operator="greaterThan">
      <formula>$G$80</formula>
    </cfRule>
  </conditionalFormatting>
  <conditionalFormatting sqref="G97">
    <cfRule type="cellIs" dxfId="64" priority="48" operator="greaterThan">
      <formula>$G$96</formula>
    </cfRule>
  </conditionalFormatting>
  <conditionalFormatting sqref="G105">
    <cfRule type="cellIs" dxfId="63" priority="38" operator="greaterThan">
      <formula>$G$104</formula>
    </cfRule>
  </conditionalFormatting>
  <conditionalFormatting sqref="H65">
    <cfRule type="cellIs" dxfId="62" priority="85" operator="greaterThan">
      <formula>$H$64</formula>
    </cfRule>
  </conditionalFormatting>
  <conditionalFormatting sqref="H73">
    <cfRule type="cellIs" dxfId="61" priority="68" operator="greaterThan">
      <formula>$H$72</formula>
    </cfRule>
  </conditionalFormatting>
  <conditionalFormatting sqref="H81">
    <cfRule type="cellIs" dxfId="60" priority="58" operator="greaterThan">
      <formula>$H$80</formula>
    </cfRule>
  </conditionalFormatting>
  <conditionalFormatting sqref="H97">
    <cfRule type="cellIs" dxfId="59" priority="47" operator="greaterThan">
      <formula>$H$96</formula>
    </cfRule>
  </conditionalFormatting>
  <conditionalFormatting sqref="H105">
    <cfRule type="cellIs" dxfId="58" priority="37" operator="greaterThan">
      <formula>$H$104</formula>
    </cfRule>
  </conditionalFormatting>
  <conditionalFormatting sqref="I65">
    <cfRule type="cellIs" dxfId="57" priority="84" operator="greaterThan">
      <formula>$I$64</formula>
    </cfRule>
  </conditionalFormatting>
  <conditionalFormatting sqref="I73">
    <cfRule type="cellIs" dxfId="56" priority="67" operator="greaterThan">
      <formula>$I$72</formula>
    </cfRule>
  </conditionalFormatting>
  <conditionalFormatting sqref="I81">
    <cfRule type="cellIs" dxfId="55" priority="57" operator="greaterThan">
      <formula>$I$80</formula>
    </cfRule>
  </conditionalFormatting>
  <conditionalFormatting sqref="I97">
    <cfRule type="cellIs" dxfId="54" priority="46" operator="greaterThan">
      <formula>$I$96</formula>
    </cfRule>
  </conditionalFormatting>
  <conditionalFormatting sqref="I105">
    <cfRule type="cellIs" dxfId="53" priority="36" operator="greaterThan">
      <formula>$I$104</formula>
    </cfRule>
  </conditionalFormatting>
  <conditionalFormatting sqref="J65">
    <cfRule type="cellIs" dxfId="52" priority="83" operator="greaterThan">
      <formula>$J$64</formula>
    </cfRule>
  </conditionalFormatting>
  <conditionalFormatting sqref="J73">
    <cfRule type="cellIs" dxfId="51" priority="66" operator="greaterThan">
      <formula>$J$72</formula>
    </cfRule>
  </conditionalFormatting>
  <conditionalFormatting sqref="J81">
    <cfRule type="cellIs" dxfId="50" priority="56" operator="greaterThan">
      <formula>$J$80</formula>
    </cfRule>
  </conditionalFormatting>
  <conditionalFormatting sqref="J97">
    <cfRule type="cellIs" dxfId="49" priority="45" operator="greaterThan">
      <formula>$J$96</formula>
    </cfRule>
  </conditionalFormatting>
  <conditionalFormatting sqref="J105">
    <cfRule type="cellIs" dxfId="48" priority="35" operator="greaterThan">
      <formula>$J$104</formula>
    </cfRule>
  </conditionalFormatting>
  <conditionalFormatting sqref="K65">
    <cfRule type="cellIs" dxfId="47" priority="82" operator="greaterThan">
      <formula>$K$64</formula>
    </cfRule>
  </conditionalFormatting>
  <conditionalFormatting sqref="K73">
    <cfRule type="cellIs" dxfId="46" priority="65" operator="greaterThan">
      <formula>$K$72</formula>
    </cfRule>
  </conditionalFormatting>
  <conditionalFormatting sqref="K81">
    <cfRule type="cellIs" dxfId="45" priority="55" operator="greaterThan">
      <formula>$K$80</formula>
    </cfRule>
  </conditionalFormatting>
  <conditionalFormatting sqref="K97">
    <cfRule type="cellIs" dxfId="44" priority="44" operator="greaterThan">
      <formula>$K$96</formula>
    </cfRule>
  </conditionalFormatting>
  <conditionalFormatting sqref="K105">
    <cfRule type="cellIs" dxfId="43" priority="34" operator="greaterThan">
      <formula>$K$104</formula>
    </cfRule>
  </conditionalFormatting>
  <conditionalFormatting sqref="L65">
    <cfRule type="cellIs" dxfId="42" priority="81" operator="greaterThan">
      <formula>$L$64</formula>
    </cfRule>
  </conditionalFormatting>
  <conditionalFormatting sqref="L73">
    <cfRule type="cellIs" dxfId="41" priority="64" operator="greaterThan">
      <formula>$L$72</formula>
    </cfRule>
  </conditionalFormatting>
  <conditionalFormatting sqref="L81">
    <cfRule type="cellIs" dxfId="40" priority="54" operator="greaterThan">
      <formula>$L$80</formula>
    </cfRule>
  </conditionalFormatting>
  <conditionalFormatting sqref="L97">
    <cfRule type="cellIs" dxfId="39" priority="43" operator="greaterThan">
      <formula>$L$96</formula>
    </cfRule>
  </conditionalFormatting>
  <conditionalFormatting sqref="L105">
    <cfRule type="cellIs" dxfId="38" priority="33" operator="greaterThan">
      <formula>$L$104</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cellIs" priority="30" operator="equal" id="{B16FC9FC-6E25-4AE2-9518-C25A97A3B86D}">
            <xm:f>PowellReleaseTemperature!$B$8</xm:f>
            <x14:dxf>
              <font>
                <color rgb="FF9C0006"/>
              </font>
              <fill>
                <patternFill>
                  <bgColor rgb="FFFFC7CE"/>
                </patternFill>
              </fill>
            </x14:dxf>
          </x14:cfRule>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7" operator="equal" id="{04F25BD0-19DE-465C-881C-9CA871D46223}">
            <xm:f>PowellReleaseTemperature!$E$10</xm:f>
            <x14:dxf>
              <font>
                <color auto="1"/>
              </font>
              <fill>
                <patternFill>
                  <bgColor theme="4"/>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4" operator="equal" id="{2968B8F7-FEAC-4C07-B447-FEC1EC951C4E}">
            <xm:f>PowellReleaseTemperature!$E$5</xm:f>
            <x14:dxf>
              <font>
                <color auto="1"/>
              </font>
              <fill>
                <patternFill>
                  <bgColor rgb="FFFF0000"/>
                </patternFill>
              </fill>
            </x14:dxf>
          </x14:cfRule>
          <xm:sqref>C140:L140</xm:sqref>
        </x14:conditionalFormatting>
        <x14:conditionalFormatting xmlns:xm="http://schemas.microsoft.com/office/excel/2006/main">
          <x14:cfRule type="cellIs" priority="23" operator="equal" id="{3F46F846-A686-4908-8443-3AC42C4A3A46}">
            <xm:f>PowellReleaseTemperature!$F$5</xm:f>
            <x14:dxf>
              <font>
                <color auto="1"/>
              </font>
              <fill>
                <patternFill>
                  <bgColor rgb="FFFF0000"/>
                </patternFill>
              </fill>
            </x14:dxf>
          </x14:cfRule>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5" sqref="A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2" t="str">
        <f>'ReadMe-Directions'!A1</f>
        <v>Colorado River Basin Accounts: Provoke discussion about more adaptive operations</v>
      </c>
      <c r="B1" s="232"/>
      <c r="C1" s="232"/>
      <c r="D1" s="232"/>
      <c r="E1" s="232"/>
      <c r="F1" s="232"/>
      <c r="G1" s="232"/>
    </row>
    <row r="2" spans="1:14" x14ac:dyDescent="0.35">
      <c r="A2" s="1" t="s">
        <v>233</v>
      </c>
      <c r="B2" s="1"/>
    </row>
    <row r="3" spans="1:14" ht="32.15" customHeight="1" x14ac:dyDescent="0.35">
      <c r="A3" s="242" t="s">
        <v>385</v>
      </c>
      <c r="B3" s="242"/>
      <c r="C3" s="242"/>
      <c r="D3" s="242"/>
      <c r="E3" s="242"/>
      <c r="F3" s="242"/>
      <c r="G3" s="242"/>
      <c r="H3" s="88"/>
      <c r="I3" s="88"/>
      <c r="J3" s="88"/>
      <c r="K3" s="88"/>
      <c r="N3" s="144" t="s">
        <v>296</v>
      </c>
    </row>
    <row r="4" spans="1:14" x14ac:dyDescent="0.35">
      <c r="A4" s="134" t="s">
        <v>405</v>
      </c>
      <c r="B4" s="134" t="s">
        <v>31</v>
      </c>
      <c r="C4" s="243" t="s">
        <v>32</v>
      </c>
      <c r="D4" s="244"/>
      <c r="E4" s="244"/>
      <c r="F4" s="244"/>
      <c r="G4" s="245"/>
      <c r="N4" s="146" t="s">
        <v>260</v>
      </c>
    </row>
    <row r="5" spans="1:14" x14ac:dyDescent="0.35">
      <c r="A5" s="96" t="str">
        <f>IF(Master!A5="","",Master!A5)</f>
        <v>California</v>
      </c>
      <c r="B5" s="120" t="s">
        <v>331</v>
      </c>
      <c r="C5" s="246" t="s">
        <v>332</v>
      </c>
      <c r="D5" s="241"/>
      <c r="E5" s="241"/>
      <c r="F5" s="241"/>
      <c r="G5" s="241"/>
      <c r="N5" s="149"/>
    </row>
    <row r="6" spans="1:14" x14ac:dyDescent="0.35">
      <c r="A6" s="96" t="str">
        <f>IF(Master!A6="","",Master!A6)</f>
        <v>Arizona</v>
      </c>
      <c r="B6" s="120" t="s">
        <v>331</v>
      </c>
      <c r="C6" s="246" t="s">
        <v>332</v>
      </c>
      <c r="D6" s="241"/>
      <c r="E6" s="241"/>
      <c r="F6" s="241"/>
      <c r="G6" s="241"/>
      <c r="N6" s="149"/>
    </row>
    <row r="7" spans="1:14" x14ac:dyDescent="0.35">
      <c r="A7" s="96" t="str">
        <f>IF(Master!A7="","",Master!A7)</f>
        <v>Nevada</v>
      </c>
      <c r="B7" s="120" t="s">
        <v>331</v>
      </c>
      <c r="C7" s="246" t="s">
        <v>332</v>
      </c>
      <c r="D7" s="241"/>
      <c r="E7" s="241"/>
      <c r="F7" s="241"/>
      <c r="G7" s="241"/>
      <c r="N7" s="149"/>
    </row>
    <row r="8" spans="1:14" x14ac:dyDescent="0.35">
      <c r="A8" s="96" t="str">
        <f>IF(Master!A8="","",Master!A8)</f>
        <v>Colorado River Delta</v>
      </c>
      <c r="B8" s="120" t="s">
        <v>331</v>
      </c>
      <c r="C8" s="246" t="s">
        <v>332</v>
      </c>
      <c r="D8" s="241"/>
      <c r="E8" s="241"/>
      <c r="F8" s="241"/>
      <c r="G8" s="241"/>
      <c r="N8" s="149"/>
    </row>
    <row r="9" spans="1:14" x14ac:dyDescent="0.35">
      <c r="A9" s="96"/>
      <c r="B9" s="120" t="str">
        <f>IF($A9&lt;&gt;"",B8,"")</f>
        <v/>
      </c>
      <c r="C9" s="255" t="s">
        <v>340</v>
      </c>
      <c r="D9" s="256"/>
      <c r="E9" s="256"/>
      <c r="F9" s="256"/>
      <c r="G9" s="257"/>
      <c r="N9" s="149"/>
    </row>
    <row r="10" spans="1:14" x14ac:dyDescent="0.35">
      <c r="A10" s="121" t="s">
        <v>97</v>
      </c>
      <c r="B10" s="121"/>
      <c r="C10" s="248" t="s">
        <v>333</v>
      </c>
      <c r="D10" s="248"/>
      <c r="E10" s="248"/>
      <c r="F10" s="248"/>
      <c r="G10" s="248"/>
      <c r="N10" s="149"/>
    </row>
    <row r="11" spans="1:14" x14ac:dyDescent="0.35">
      <c r="A11" s="14"/>
      <c r="B11" s="2"/>
      <c r="C11"/>
      <c r="N11" s="149"/>
    </row>
    <row r="12" spans="1:14" x14ac:dyDescent="0.35">
      <c r="A12" s="16" t="s">
        <v>236</v>
      </c>
      <c r="B12" s="249" t="s">
        <v>238</v>
      </c>
      <c r="C12" s="250"/>
      <c r="D12" s="251"/>
      <c r="N12" s="148" t="s">
        <v>261</v>
      </c>
    </row>
    <row r="13" spans="1:14" x14ac:dyDescent="0.35">
      <c r="B13" s="252" t="s">
        <v>383</v>
      </c>
      <c r="C13" s="253"/>
      <c r="D13" s="254"/>
      <c r="N13" s="149"/>
    </row>
    <row r="14" spans="1:14" x14ac:dyDescent="0.35">
      <c r="B14" s="233" t="s">
        <v>384</v>
      </c>
      <c r="C14" s="234"/>
      <c r="D14" s="235"/>
      <c r="N14" s="149"/>
    </row>
    <row r="15" spans="1:14" x14ac:dyDescent="0.35">
      <c r="B15" s="236" t="s">
        <v>33</v>
      </c>
      <c r="C15" s="237"/>
      <c r="D15" s="238"/>
      <c r="N15" s="149"/>
    </row>
    <row r="16" spans="1:14" x14ac:dyDescent="0.35">
      <c r="N16" s="149"/>
    </row>
    <row r="17" spans="1:15" x14ac:dyDescent="0.35">
      <c r="A17" s="1" t="s">
        <v>237</v>
      </c>
      <c r="B17" s="1" t="s">
        <v>81</v>
      </c>
      <c r="C17" s="12" t="s">
        <v>82</v>
      </c>
      <c r="N17" s="148" t="s">
        <v>262</v>
      </c>
    </row>
    <row r="18" spans="1:15" x14ac:dyDescent="0.35">
      <c r="A18" t="s">
        <v>80</v>
      </c>
      <c r="B18" s="116">
        <f>Master!B18</f>
        <v>0</v>
      </c>
      <c r="C18" s="116">
        <f>Master!C18</f>
        <v>6</v>
      </c>
      <c r="D18" s="17"/>
      <c r="N18" s="148" t="s">
        <v>264</v>
      </c>
    </row>
    <row r="19" spans="1:15" x14ac:dyDescent="0.35">
      <c r="A19" t="s">
        <v>257</v>
      </c>
      <c r="B19" s="116">
        <f>Master!B19</f>
        <v>0</v>
      </c>
      <c r="C19" s="116">
        <f>Master!C19</f>
        <v>8.2721479999999996</v>
      </c>
      <c r="D19" s="11" t="str">
        <f>Master!D19</f>
        <v>July 12, 2023 values</v>
      </c>
      <c r="F19" s="136"/>
      <c r="N19" s="148" t="s">
        <v>263</v>
      </c>
    </row>
    <row r="20" spans="1:15" x14ac:dyDescent="0.35">
      <c r="A20" t="s">
        <v>118</v>
      </c>
      <c r="B20" s="167">
        <v>3525</v>
      </c>
      <c r="C20" s="167">
        <v>1020</v>
      </c>
      <c r="D20" s="11"/>
      <c r="N20" s="148" t="s">
        <v>265</v>
      </c>
    </row>
    <row r="21" spans="1:15" x14ac:dyDescent="0.35">
      <c r="A21" t="s">
        <v>110</v>
      </c>
      <c r="B21" s="116">
        <f>VLOOKUP(B20,'Powell-Elevation-Area'!$A$5:$B$689,2)/1000000</f>
        <v>5.9265762500000001</v>
      </c>
      <c r="C21" s="116">
        <f>VLOOKUP(C20,'Mead-Elevation-Area'!$A$5:$B$689,2)/1000000</f>
        <v>5.664593</v>
      </c>
      <c r="D21" s="11"/>
      <c r="E21" s="29"/>
      <c r="N21" s="148" t="s">
        <v>267</v>
      </c>
    </row>
    <row r="22" spans="1:15" x14ac:dyDescent="0.35">
      <c r="A22" t="s">
        <v>249</v>
      </c>
      <c r="B22" s="116">
        <f>Master!B22</f>
        <v>78.099999999999994</v>
      </c>
      <c r="C22"/>
      <c r="D22" s="117"/>
      <c r="E22" s="29"/>
      <c r="N22" s="148" t="s">
        <v>266</v>
      </c>
    </row>
    <row r="23" spans="1:15" x14ac:dyDescent="0.35">
      <c r="A23" t="s">
        <v>250</v>
      </c>
      <c r="B23" s="137">
        <f>Master!B23</f>
        <v>0.17</v>
      </c>
      <c r="C23"/>
      <c r="D23" s="117"/>
      <c r="E23" s="29"/>
      <c r="N23" s="148" t="s">
        <v>268</v>
      </c>
    </row>
    <row r="24" spans="1:15" x14ac:dyDescent="0.35">
      <c r="A24" t="s">
        <v>248</v>
      </c>
      <c r="B24" s="116">
        <f>Master!B24</f>
        <v>4.2300000000000058</v>
      </c>
      <c r="C24"/>
      <c r="D24" s="117"/>
      <c r="E24" s="29"/>
      <c r="N24" s="148" t="s">
        <v>269</v>
      </c>
    </row>
    <row r="25" spans="1:15" x14ac:dyDescent="0.35">
      <c r="A25" t="s">
        <v>307</v>
      </c>
      <c r="B25" s="116">
        <f>Master!B25</f>
        <v>1.2399999999999998</v>
      </c>
      <c r="C25"/>
      <c r="D25" s="117"/>
      <c r="E25" s="29"/>
      <c r="N25" s="148" t="s">
        <v>314</v>
      </c>
    </row>
    <row r="26" spans="1:15" x14ac:dyDescent="0.35">
      <c r="B26" s="29"/>
      <c r="N26" s="149"/>
    </row>
    <row r="27" spans="1:15" s="1" customFormat="1" x14ac:dyDescent="0.35">
      <c r="A27" s="108" t="s">
        <v>227</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c r="O27"/>
    </row>
    <row r="28" spans="1:15" x14ac:dyDescent="0.35">
      <c r="A28" s="131" t="s">
        <v>223</v>
      </c>
      <c r="B28" s="1"/>
      <c r="C28" s="103" t="str">
        <f>IF(Master!C28&lt;&gt;"",Master!C28,"")</f>
        <v/>
      </c>
      <c r="D28" s="103" t="str">
        <f>IF(Master!D28&lt;&gt;"",Master!D28,"")</f>
        <v/>
      </c>
      <c r="E28" s="103" t="str">
        <f>IF(Master!E28&lt;&gt;"",Master!E28,"")</f>
        <v/>
      </c>
      <c r="F28" s="103" t="str">
        <f>IF(Master!F28&lt;&gt;"",Master!F28,"")</f>
        <v/>
      </c>
      <c r="G28" s="103" t="str">
        <f>IF(Master!G28&lt;&gt;"",Master!G28,"")</f>
        <v/>
      </c>
      <c r="H28" s="103"/>
      <c r="I28" s="103"/>
      <c r="J28" s="103"/>
      <c r="K28" s="103"/>
      <c r="L28" s="103"/>
      <c r="N28" s="146" t="s">
        <v>270</v>
      </c>
    </row>
    <row r="29" spans="1:15" x14ac:dyDescent="0.35">
      <c r="A29" s="1" t="s">
        <v>86</v>
      </c>
      <c r="B29" s="1"/>
      <c r="C29" s="102" t="str">
        <f>IF(C$28&lt;&gt;"",Master!C29,"")</f>
        <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271</v>
      </c>
    </row>
    <row r="30" spans="1:15" x14ac:dyDescent="0.35">
      <c r="A30" s="1" t="s">
        <v>203</v>
      </c>
      <c r="B30" s="1"/>
      <c r="C30" s="102" t="str">
        <f>IF(C$28&lt;&gt;"",Master!C30,"")</f>
        <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272</v>
      </c>
    </row>
    <row r="31" spans="1:15" x14ac:dyDescent="0.35">
      <c r="A31" s="1" t="s">
        <v>182</v>
      </c>
      <c r="B31" s="1"/>
      <c r="C31" s="102" t="str">
        <f>IF(C$28&lt;&gt;"",Master!C31,"")</f>
        <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273</v>
      </c>
    </row>
    <row r="32" spans="1:15" x14ac:dyDescent="0.35">
      <c r="A32" s="131"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274</v>
      </c>
    </row>
    <row r="33" spans="1:14" x14ac:dyDescent="0.35">
      <c r="A33" t="str">
        <f t="shared" ref="A33:A38" si="4">IF(A5="","","    "&amp;A5&amp;" Balance")</f>
        <v xml:space="preserve">    California Balance</v>
      </c>
      <c r="B33" s="86">
        <f>B19-B21</f>
        <v>-5.9265762500000001</v>
      </c>
      <c r="C33" s="84"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Arizona Balance</v>
      </c>
      <c r="B34" s="86">
        <f>C19-C21-B35</f>
        <v>2.4335549999999997</v>
      </c>
      <c r="C34" s="84"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Nevada Balance</v>
      </c>
      <c r="B35" s="87">
        <v>0.17399999999999999</v>
      </c>
      <c r="C35" s="85" t="str">
        <f t="shared" si="6"/>
        <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Colorado River Delta Balance</v>
      </c>
      <c r="B36" s="86">
        <v>0</v>
      </c>
      <c r="C36" s="84"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234</v>
      </c>
      <c r="C39"/>
      <c r="N39" s="14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275</v>
      </c>
    </row>
    <row r="43" spans="1:14" x14ac:dyDescent="0.35">
      <c r="A43" t="str">
        <f t="shared" ref="A43:A48" si="9">IF(A5="","","    "&amp;A5&amp;" Share")</f>
        <v xml:space="preserve">    California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Arizona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Nevada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226</v>
      </c>
      <c r="B49" s="52"/>
      <c r="C49" s="32" t="str">
        <f>IF(C$28&lt;&gt;"",1.5-0.21/9/2-VLOOKUP(C41,MandatoryConservation!$C$5:$P$13,13)-C57*(1.5/8.7),"")</f>
        <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276</v>
      </c>
    </row>
    <row r="50" spans="1:16" x14ac:dyDescent="0.35">
      <c r="A50" s="131"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5" t="s">
        <v>277</v>
      </c>
      <c r="P50" t="s">
        <v>298</v>
      </c>
    </row>
    <row r="51" spans="1:16" x14ac:dyDescent="0.35">
      <c r="A51" t="str">
        <f t="shared" ref="A51:A56" si="12">IF(A5="","","    To "&amp;A5)</f>
        <v xml:space="preserve">    To California</v>
      </c>
      <c r="B51" s="100" t="s">
        <v>308</v>
      </c>
      <c r="C51" s="84" t="str">
        <f>IF(OR(C$28="",$A52=""),"",MAX(0,C50-SUM(C52:C57)))</f>
        <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Arizona</v>
      </c>
      <c r="B52" s="101">
        <f>7.5-IF($A$9="",0,0.95)-IF(C31="",0.6,C31)*IF($A$9="",(7.2/8.7),(7.2-0.95)/8.7)-B54/2</f>
        <v>6.9956704980842908</v>
      </c>
      <c r="C52" s="84" t="str">
        <f>IF(OR(C$28="",$A52=""),"",IF(C50&lt;=SUM(C53:C57),0,IF(C50&lt;=SUM(C53:C57)+2*$B$25,(C50-SUM(C53:C57))/2,IF(C50&lt;=SUM(C53:C57)+2*$B$25+$B$52-$B$25,C50-SUM(C53:C57)-$B$25,$B$52))))</f>
        <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Nevada</v>
      </c>
      <c r="B53" s="101" t="s">
        <v>393</v>
      </c>
      <c r="C53" s="85" t="str">
        <f>IF(OR(C$28="",$A53=""),"",MIN(C49,C$50-SUM(C54:C57)))</f>
        <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Colorado River Delta</v>
      </c>
      <c r="B54" s="110">
        <f>0.21/9*(2/3)</f>
        <v>1.5555555555555553E-2</v>
      </c>
      <c r="C54" s="111" t="str">
        <f>IF(OR(C$28="",$A54=""),"",MIN($B54,C$50-SUM(C55:C57)))</f>
        <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213</v>
      </c>
      <c r="C56" s="160" t="str">
        <f>IF(OR(C$28="",$A56=""),"",IF(C$50&gt;C48,C48,C50))</f>
        <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309</v>
      </c>
      <c r="C57" s="161" t="str">
        <f>IF(OR(C$28="",$A57=""),"",MIN(C31,C50-C56))</f>
        <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252</v>
      </c>
      <c r="B59" s="104"/>
      <c r="C59" s="104"/>
      <c r="D59" s="104"/>
      <c r="E59" s="104"/>
      <c r="F59" s="104"/>
      <c r="G59" s="104"/>
      <c r="H59" s="104"/>
      <c r="I59" s="104"/>
      <c r="J59" s="104"/>
      <c r="K59" s="104"/>
      <c r="L59" s="104"/>
      <c r="M59" s="104"/>
      <c r="N59" s="145" t="str">
        <f>N3</f>
        <v>HELP, CONTEXT, and SUGGESTIONS</v>
      </c>
    </row>
    <row r="60" spans="1:16" x14ac:dyDescent="0.35">
      <c r="A60" s="125" t="str">
        <f>IF(A$5="[Unused]","",A5)</f>
        <v>California</v>
      </c>
      <c r="B60" s="105"/>
      <c r="C60" s="105"/>
      <c r="D60" s="105"/>
      <c r="E60" s="105"/>
      <c r="F60" s="105"/>
      <c r="G60" s="105"/>
      <c r="H60" s="105"/>
      <c r="I60" s="105"/>
      <c r="J60" s="105"/>
      <c r="K60" s="105"/>
      <c r="L60" s="105"/>
      <c r="M60" s="106" t="s">
        <v>79</v>
      </c>
      <c r="N60" s="146" t="s">
        <v>278</v>
      </c>
    </row>
    <row r="61" spans="1:16" x14ac:dyDescent="0.35">
      <c r="A61" s="132" t="str">
        <f>IF(A60="[Unused]","","   Enter volume to Buy(+) or Sell(-) [maf]")</f>
        <v xml:space="preserve">   Enter volume to Buy(+) or Sell(-) [maf]</v>
      </c>
      <c r="C61" s="99" t="str">
        <f>IF(OR(C$28="",$A61=""),"",IF(C33+C51-C43&lt;4.2,4.2-(C33+C51-C43),0))</f>
        <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SUM(C61:L61)</f>
        <v>0</v>
      </c>
      <c r="N61" s="151" t="s">
        <v>279</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280</v>
      </c>
    </row>
    <row r="63" spans="1:16" x14ac:dyDescent="0.35">
      <c r="A63" t="str">
        <f>IF(A62="","","   Net trade volume all participants (should be zero)")</f>
        <v xml:space="preserve">   Net trade volume all participants (should be zero)</v>
      </c>
      <c r="C63" s="46" t="str">
        <f t="shared" ref="C63:M63" si="52">IF(OR(C$28="",$A63=""),"",C$116)</f>
        <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282</v>
      </c>
    </row>
    <row r="65" spans="1:14" x14ac:dyDescent="0.35">
      <c r="A65" s="131" t="str">
        <f>IF(A64="","","   Enter withdraw [maf] within available water")</f>
        <v xml:space="preserve">   Enter withdraw [maf] within available water</v>
      </c>
      <c r="C65" s="99" t="str">
        <f t="shared" ref="C65:D65" si="54">IF(C$28&lt;&gt;"",IF(C64&gt;4.2,4.2,MAX(C64,0)-0.01),"")</f>
        <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295</v>
      </c>
    </row>
    <row r="66" spans="1:14" x14ac:dyDescent="0.35">
      <c r="A66" t="str">
        <f>IF(A65="","","   End of Year Balance [maf]")</f>
        <v xml:space="preserve">   End of Year Balance [maf]</v>
      </c>
      <c r="C66" s="13" t="str">
        <f>IF(OR(C$28="",$A66=""),"",C64-C65)</f>
        <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283</v>
      </c>
    </row>
    <row r="67" spans="1:14" x14ac:dyDescent="0.35">
      <c r="C67"/>
      <c r="N67" s="149"/>
    </row>
    <row r="68" spans="1:14" x14ac:dyDescent="0.35">
      <c r="A68" s="125" t="str">
        <f>IF(A$6="","[Unused]",A6)</f>
        <v>Arizona</v>
      </c>
      <c r="B68" s="105"/>
      <c r="C68" s="105"/>
      <c r="D68" s="105"/>
      <c r="E68" s="105"/>
      <c r="F68" s="105"/>
      <c r="G68" s="105"/>
      <c r="H68" s="105"/>
      <c r="I68" s="105"/>
      <c r="J68" s="105"/>
      <c r="K68" s="105"/>
      <c r="L68" s="105"/>
      <c r="M68" s="106" t="s">
        <v>79</v>
      </c>
      <c r="N68" s="146" t="s">
        <v>278</v>
      </c>
    </row>
    <row r="69" spans="1:14" x14ac:dyDescent="0.35">
      <c r="A69" s="132" t="str">
        <f>IF(A68="[Unused]","",$A$61)</f>
        <v xml:space="preserve">   Enter volume to Buy(+) or Sell(-) [maf]</v>
      </c>
      <c r="C69" s="99" t="str">
        <f>IF(OR(C$28="",$A69=""),"",IF(C34+C52-C44&lt;C73,C73-(C34+C52-C44),0))</f>
        <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SUM(C69:L69)</f>
        <v>0</v>
      </c>
      <c r="N69" s="151" t="s">
        <v>279</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280</v>
      </c>
    </row>
    <row r="71" spans="1:14" x14ac:dyDescent="0.35">
      <c r="A71" s="138" t="str">
        <f>IF(A70="","",$A$63)</f>
        <v xml:space="preserve">   Net trade volume all participants (should be zero)</v>
      </c>
      <c r="C71" s="46" t="str">
        <f t="shared" ref="C71:M71" si="65">IF(OR(C$28="",$A71=""),"",C$116)</f>
        <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282</v>
      </c>
    </row>
    <row r="73" spans="1:14" x14ac:dyDescent="0.35">
      <c r="A73" s="131" t="str">
        <f>IF(A72="","",$A$65)</f>
        <v xml:space="preserve">   Enter withdraw [maf] within available water</v>
      </c>
      <c r="C73" s="99" t="str">
        <f>IF(C28&lt;&gt;"",7.5-VLOOKUP(C41,MandatoryConservation!$C$5:$P$13,14)-0.001,"")</f>
        <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295</v>
      </c>
    </row>
    <row r="74" spans="1:14" x14ac:dyDescent="0.35">
      <c r="A74" t="str">
        <f>IF(A73="","","   End of Year Balance [maf]")</f>
        <v xml:space="preserve">   End of Year Balance [maf]</v>
      </c>
      <c r="C74" s="13" t="str">
        <f>IF(OR(C$28="",$A74=""),"",C72-C73)</f>
        <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283</v>
      </c>
    </row>
    <row r="75" spans="1:14" x14ac:dyDescent="0.35">
      <c r="C75"/>
      <c r="N75" s="149"/>
    </row>
    <row r="76" spans="1:14" x14ac:dyDescent="0.35">
      <c r="A76" s="125" t="str">
        <f>IF(A$7="","[Unused]",A7)</f>
        <v>Nevada</v>
      </c>
      <c r="B76" s="105"/>
      <c r="C76" s="105"/>
      <c r="D76" s="105"/>
      <c r="E76" s="105"/>
      <c r="F76" s="105"/>
      <c r="G76" s="105"/>
      <c r="H76" s="105"/>
      <c r="I76" s="105"/>
      <c r="J76" s="105"/>
      <c r="K76" s="105"/>
      <c r="L76" s="105"/>
      <c r="M76" s="106" t="s">
        <v>79</v>
      </c>
      <c r="N76" s="146" t="s">
        <v>278</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279</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280</v>
      </c>
    </row>
    <row r="79" spans="1:14" x14ac:dyDescent="0.35">
      <c r="A79" s="138" t="str">
        <f>IF(A78="","",$A$63)</f>
        <v xml:space="preserve">   Net trade volume all participants (should be zero)</v>
      </c>
      <c r="C79" s="46" t="str">
        <f t="shared" ref="C79:M79" si="68">IF(OR(C$28="",$A79=""),"",C$116)</f>
        <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282</v>
      </c>
    </row>
    <row r="81" spans="1:14" x14ac:dyDescent="0.35">
      <c r="A81" s="131" t="str">
        <f>IF(A80="","",$A$65)</f>
        <v xml:space="preserve">   Enter withdraw [maf] within available water</v>
      </c>
      <c r="C81" s="99" t="str">
        <f>IF(C28&lt;&gt;"",MIN(C49,C80-0.001),"")</f>
        <v/>
      </c>
      <c r="D81" s="99" t="str">
        <f t="shared" ref="D81:G81" si="70">IF(D28&lt;&gt;"",MIN(D49,D80-0.001),"")</f>
        <v/>
      </c>
      <c r="E81" s="99" t="str">
        <f t="shared" si="70"/>
        <v/>
      </c>
      <c r="F81" s="99" t="str">
        <f t="shared" si="70"/>
        <v/>
      </c>
      <c r="G81" s="99" t="str">
        <f t="shared" si="70"/>
        <v/>
      </c>
      <c r="H81" s="99"/>
      <c r="I81" s="99"/>
      <c r="J81" s="99"/>
      <c r="K81" s="99"/>
      <c r="L81" s="99"/>
      <c r="N81" s="148" t="s">
        <v>295</v>
      </c>
    </row>
    <row r="82" spans="1:14" x14ac:dyDescent="0.35">
      <c r="A82" t="str">
        <f>IF(A81="","","   End of Year Balance [maf]")</f>
        <v xml:space="preserve">   End of Year Balance [maf]</v>
      </c>
      <c r="C82" s="13" t="str">
        <f>IF(OR(C$28="",$A82=""),"",C80-C81)</f>
        <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283</v>
      </c>
    </row>
    <row r="83" spans="1:14" x14ac:dyDescent="0.35">
      <c r="C83"/>
      <c r="N83" s="149"/>
    </row>
    <row r="84" spans="1:14" x14ac:dyDescent="0.35">
      <c r="A84" s="125" t="str">
        <f>IF(A$8="","[Unused]",A8)</f>
        <v>Colorado River Delta</v>
      </c>
      <c r="B84" s="105"/>
      <c r="C84" s="105"/>
      <c r="D84" s="105"/>
      <c r="E84" s="105"/>
      <c r="F84" s="105"/>
      <c r="G84" s="105"/>
      <c r="H84" s="105"/>
      <c r="I84" s="105"/>
      <c r="J84" s="105"/>
      <c r="K84" s="105"/>
      <c r="L84" s="105"/>
      <c r="M84" s="106" t="s">
        <v>79</v>
      </c>
      <c r="N84" s="146" t="s">
        <v>278</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279</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280</v>
      </c>
    </row>
    <row r="87" spans="1:14" x14ac:dyDescent="0.35">
      <c r="A87" s="138" t="str">
        <f>IF(A86="","",$A$63)</f>
        <v xml:space="preserve">   Net trade volume all participants (should be zero)</v>
      </c>
      <c r="C87" s="46" t="str">
        <f t="shared" ref="C87:M87" si="72">IF(OR(C$28="",$A87=""),"",C$116)</f>
        <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281</v>
      </c>
    </row>
    <row r="88" spans="1:14" x14ac:dyDescent="0.35">
      <c r="A88" s="1" t="str">
        <f>IF(A86="","","   Available Water [maf]")</f>
        <v xml:space="preserve">   Available Water [maf]</v>
      </c>
      <c r="C88" s="123" t="str">
        <f>IF(OR(C$28="",$A88=""),"",C36+C54-C46+C85)</f>
        <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282</v>
      </c>
    </row>
    <row r="89" spans="1:14" x14ac:dyDescent="0.35">
      <c r="A89" s="131" t="str">
        <f>IF(A88="","",$A$65)</f>
        <v xml:space="preserve">   Enter withdraw [maf] within available water</v>
      </c>
      <c r="C89" s="124"/>
      <c r="D89" s="124"/>
      <c r="E89" s="124"/>
      <c r="F89" s="124"/>
      <c r="G89" s="124"/>
      <c r="H89" s="124"/>
      <c r="I89" s="124"/>
      <c r="J89" s="124"/>
      <c r="K89" s="124"/>
      <c r="L89" s="124"/>
      <c r="N89" s="148" t="s">
        <v>295</v>
      </c>
    </row>
    <row r="90" spans="1:14" x14ac:dyDescent="0.35">
      <c r="A90" t="str">
        <f>IF(A89="","","   End of Year Balance [maf]")</f>
        <v xml:space="preserve">   End of Year Balance [maf]</v>
      </c>
      <c r="C90" s="13" t="str">
        <f>IF(OR(C$28="",$A90=""),"",C88-C89)</f>
        <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283</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79</v>
      </c>
      <c r="N92" s="146" t="s">
        <v>278</v>
      </c>
    </row>
    <row r="93" spans="1:14" x14ac:dyDescent="0.35">
      <c r="A93" t="str">
        <f>IF(A92="[Unused]","",$A$61)</f>
        <v/>
      </c>
      <c r="C93" s="97"/>
      <c r="D93" s="97"/>
      <c r="E93" s="97"/>
      <c r="F93" s="97"/>
      <c r="G93" s="97"/>
      <c r="H93" s="97"/>
      <c r="I93" s="97"/>
      <c r="J93" s="97"/>
      <c r="K93" s="97"/>
      <c r="L93" s="97"/>
      <c r="M93" s="46">
        <f>SUM(C93:L93)</f>
        <v>0</v>
      </c>
      <c r="N93" s="151" t="s">
        <v>279</v>
      </c>
    </row>
    <row r="94" spans="1:14" x14ac:dyDescent="0.35">
      <c r="A94" t="str">
        <f>IF(A93="","",$A$62)</f>
        <v/>
      </c>
      <c r="C94" s="98"/>
      <c r="D94" s="98"/>
      <c r="E94" s="98"/>
      <c r="F94" s="98"/>
      <c r="G94" s="98"/>
      <c r="H94" s="98"/>
      <c r="I94" s="98"/>
      <c r="J94" s="98"/>
      <c r="K94" s="98"/>
      <c r="L94" s="98"/>
      <c r="M94" s="45">
        <f>SUM(C94:L94)</f>
        <v>0</v>
      </c>
      <c r="N94" s="152" t="s">
        <v>280</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282</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295</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283</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79</v>
      </c>
      <c r="N100" s="148" t="s">
        <v>293</v>
      </c>
    </row>
    <row r="101" spans="1:14" x14ac:dyDescent="0.35">
      <c r="A101" s="132" t="str">
        <f>IF(A100="[Unused]","",$A$61)</f>
        <v xml:space="preserve">   Enter volume to Buy(+) or Sell(-) [maf]</v>
      </c>
      <c r="C101" s="28" t="str">
        <f>IF(OR(C$28="",$A101=""),"",-C61-C69)</f>
        <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str">
        <f t="shared" ref="C103:M103" si="80">IF(OR(C$28="",$A103=""),"",C$116)</f>
        <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str">
        <f>IF(OR(C$28="",$A106=""),"",C104-C105)</f>
        <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382</v>
      </c>
      <c r="B108" s="107"/>
      <c r="C108" s="107"/>
      <c r="D108" s="107"/>
      <c r="E108" s="107"/>
      <c r="F108" s="107"/>
      <c r="G108" s="107"/>
      <c r="H108" s="107"/>
      <c r="I108" s="107"/>
      <c r="J108" s="107"/>
      <c r="K108" s="107"/>
      <c r="L108" s="107"/>
      <c r="M108" s="107"/>
      <c r="N108" s="148" t="s">
        <v>284</v>
      </c>
    </row>
    <row r="109" spans="1:14" x14ac:dyDescent="0.35">
      <c r="A109" s="1" t="s">
        <v>218</v>
      </c>
      <c r="C109"/>
      <c r="M109" t="s">
        <v>114</v>
      </c>
      <c r="N109" s="149"/>
    </row>
    <row r="110" spans="1:14" x14ac:dyDescent="0.35">
      <c r="A110" t="str">
        <f t="shared" ref="A110:A115" si="83">IF(A5="","","    "&amp;A5)</f>
        <v xml:space="preserve">    California</v>
      </c>
      <c r="B110" s="1"/>
      <c r="C110" s="46" t="str">
        <f t="shared" ref="C110:L115" ca="1" si="84">IF(OR(C$28="",$A110=""),"",OFFSET(C$61,8*(ROW(B110)-ROW(B$110)),0))</f>
        <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Arizona</v>
      </c>
      <c r="B111" s="1"/>
      <c r="C111" s="46" t="str">
        <f t="shared" ca="1" si="84"/>
        <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v>
      </c>
      <c r="N111" s="153"/>
    </row>
    <row r="112" spans="1:14" x14ac:dyDescent="0.35">
      <c r="A112" t="str">
        <f t="shared" si="83"/>
        <v xml:space="preserve">    Nevada</v>
      </c>
      <c r="B112" s="1"/>
      <c r="C112" s="46" t="str">
        <f t="shared" ca="1" si="84"/>
        <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Colorado River Delta</v>
      </c>
      <c r="B113" s="1"/>
      <c r="C113" s="46" t="str">
        <f t="shared" ca="1" si="84"/>
        <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str">
        <f t="shared" ca="1" si="84"/>
        <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v>
      </c>
      <c r="N115" s="153"/>
    </row>
    <row r="116" spans="1:14" x14ac:dyDescent="0.35">
      <c r="A116" t="s">
        <v>93</v>
      </c>
      <c r="B116" s="1"/>
      <c r="C116" s="34" t="str">
        <f>IF(C$28&lt;&gt;"",SUM(C110:C115),"")</f>
        <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219</v>
      </c>
      <c r="B117" s="1"/>
      <c r="C117" s="36"/>
      <c r="D117" s="2"/>
      <c r="E117" s="36"/>
      <c r="F117" s="2"/>
      <c r="G117" s="2"/>
      <c r="H117" s="2"/>
      <c r="I117" s="2"/>
      <c r="J117" s="2"/>
      <c r="K117" s="2"/>
      <c r="L117" s="2"/>
      <c r="N117" s="149"/>
    </row>
    <row r="118" spans="1:14" x14ac:dyDescent="0.35">
      <c r="A118" t="str">
        <f>IF(A5="","","    "&amp;A5&amp;" - Consumptive Use and Headwaters Losses")</f>
        <v xml:space="preserve">    California - Consumptive Use and Headwaters Losses</v>
      </c>
      <c r="C118" s="46" t="str">
        <f t="shared" ref="C118:L123" ca="1" si="87">IF(OR(C$28="",$A118=""),"",OFFSET(C$65,8*(ROW(B118)-ROW(B$118)),0))</f>
        <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Arizona - Release from Mead</v>
      </c>
      <c r="C119" s="46" t="str">
        <f t="shared" ca="1" si="87"/>
        <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Nevada - Release from Mead</v>
      </c>
      <c r="C120" s="46" t="str">
        <f t="shared" ca="1" si="87"/>
        <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Colorado River Delta - Release from Mead</v>
      </c>
      <c r="C121" s="46" t="str">
        <f t="shared" ca="1" si="87"/>
        <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t="str">
        <f t="shared" ca="1" si="87"/>
        <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90</v>
      </c>
      <c r="B124" s="1"/>
      <c r="D124" s="2"/>
      <c r="E124" s="2"/>
      <c r="F124" s="2"/>
      <c r="G124" s="2"/>
      <c r="H124" s="2"/>
      <c r="I124" s="2"/>
      <c r="J124" s="2"/>
      <c r="K124" s="2"/>
      <c r="L124" s="2"/>
      <c r="N124" s="149"/>
    </row>
    <row r="125" spans="1:14" x14ac:dyDescent="0.35">
      <c r="A125" t="str">
        <f t="shared" ref="A125:A130" si="88">IF(A5="","","    "&amp;A5)</f>
        <v xml:space="preserve">    California</v>
      </c>
      <c r="C125" s="46" t="str">
        <f t="shared" ref="C125:L130" ca="1" si="89">IF(OR(C$28="",$A125=""),"",OFFSET(C$66,8*(ROW(B125)-ROW(B$125)),0))</f>
        <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Arizona</v>
      </c>
      <c r="C126" s="46" t="str">
        <f t="shared" ca="1" si="89"/>
        <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Nevada</v>
      </c>
      <c r="C127" s="46" t="str">
        <f t="shared" ca="1" si="89"/>
        <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Colorado River Delta</v>
      </c>
      <c r="C128" s="46" t="str">
        <f t="shared" ca="1" si="89"/>
        <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str">
        <f t="shared" ca="1" si="89"/>
        <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285</v>
      </c>
    </row>
    <row r="132" spans="1:15" ht="29.5" customHeight="1" x14ac:dyDescent="0.35">
      <c r="A132" s="239" t="s">
        <v>258</v>
      </c>
      <c r="B132" s="240"/>
      <c r="C132" s="133">
        <v>0.5</v>
      </c>
      <c r="D132" s="133">
        <v>0.5</v>
      </c>
      <c r="E132" s="133">
        <v>0.5</v>
      </c>
      <c r="F132" s="133"/>
      <c r="G132" s="133"/>
      <c r="H132" s="133"/>
      <c r="I132" s="133"/>
      <c r="J132" s="133"/>
      <c r="K132" s="133"/>
      <c r="L132" s="133"/>
      <c r="N132" s="146" t="s">
        <v>286</v>
      </c>
    </row>
    <row r="133" spans="1:15"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297</v>
      </c>
    </row>
    <row r="134" spans="1:15"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297</v>
      </c>
    </row>
    <row r="135" spans="1:15" x14ac:dyDescent="0.35">
      <c r="A135" t="s">
        <v>162</v>
      </c>
      <c r="B135" s="1"/>
      <c r="C135" s="60" t="str">
        <f>IF(C$28&lt;&gt;"",VLOOKUP(C133*1000000,'Powell-Elevation-Area'!$B$5:$H$689,7),"")</f>
        <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297</v>
      </c>
    </row>
    <row r="136" spans="1:15" x14ac:dyDescent="0.35">
      <c r="A136" t="s">
        <v>163</v>
      </c>
      <c r="B136" s="1"/>
      <c r="C136" s="60" t="str">
        <f>IF(C$28&lt;&gt;"",VLOOKUP(C134*1000000,'Mead-Elevation-Area'!$B$5:$H$689,7),"")</f>
        <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297</v>
      </c>
    </row>
    <row r="137" spans="1:15" x14ac:dyDescent="0.35">
      <c r="A137" s="1" t="s">
        <v>230</v>
      </c>
      <c r="B137" s="1"/>
      <c r="N137" s="148" t="s">
        <v>287</v>
      </c>
    </row>
    <row r="138" spans="1:15" x14ac:dyDescent="0.35">
      <c r="A138"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288</v>
      </c>
    </row>
    <row r="139" spans="1:15" x14ac:dyDescent="0.35">
      <c r="A139" t="s">
        <v>221</v>
      </c>
      <c r="B139" s="1"/>
      <c r="C139" s="60" t="str">
        <f>IF(C$28&lt;&gt;"",VLOOKUP(C135,PowellReleaseTemperature!$A$5:$B$11,2),"")</f>
        <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289</v>
      </c>
    </row>
    <row r="140" spans="1:15" s="62" customFormat="1" ht="62.5" customHeight="1" x14ac:dyDescent="0.35">
      <c r="A140" s="62" t="s">
        <v>222</v>
      </c>
      <c r="B140" s="61"/>
      <c r="C140" s="90" t="str">
        <f>IF(C$28&lt;&gt;"",VLOOKUP(C$135,PowellReleaseTemperature!$A$5:$E$11,5),"")</f>
        <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291</v>
      </c>
      <c r="O140"/>
    </row>
    <row r="141" spans="1:15" s="62" customFormat="1" ht="32.15" customHeight="1" x14ac:dyDescent="0.35">
      <c r="A141" s="62" t="s">
        <v>191</v>
      </c>
      <c r="B141" s="61"/>
      <c r="C141" s="90" t="str">
        <f>IF(C$28&lt;&gt;"",VLOOKUP(C$135,PowellReleaseTemperature!$A$5:$F$11,6),"")</f>
        <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290</v>
      </c>
      <c r="O141"/>
    </row>
    <row r="142" spans="1:15" x14ac:dyDescent="0.35">
      <c r="A142" s="131" t="s">
        <v>259</v>
      </c>
      <c r="C142" s="19"/>
      <c r="N142" s="14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2" t="str">
        <f>'ReadMe-Directions'!A1</f>
        <v>Colorado River Basin Accounts: Provoke discussion about more adaptive operations</v>
      </c>
      <c r="B1" s="232"/>
      <c r="C1" s="232"/>
      <c r="D1" s="232"/>
      <c r="E1" s="232"/>
      <c r="F1" s="232"/>
      <c r="G1" s="232"/>
    </row>
    <row r="2" spans="1:14" x14ac:dyDescent="0.35">
      <c r="A2" s="1" t="s">
        <v>372</v>
      </c>
      <c r="B2" s="1"/>
    </row>
    <row r="3" spans="1:14" ht="32.15" customHeight="1" x14ac:dyDescent="0.35">
      <c r="A3" s="242" t="s">
        <v>365</v>
      </c>
      <c r="B3" s="242"/>
      <c r="C3" s="242"/>
      <c r="D3" s="242"/>
      <c r="E3" s="242"/>
      <c r="F3" s="242"/>
      <c r="G3" s="242"/>
      <c r="H3" s="88"/>
      <c r="I3" s="88"/>
      <c r="J3" s="88"/>
      <c r="K3" s="88"/>
      <c r="N3" s="144" t="s">
        <v>296</v>
      </c>
    </row>
    <row r="4" spans="1:14" x14ac:dyDescent="0.35">
      <c r="A4" s="134" t="s">
        <v>235</v>
      </c>
      <c r="B4" s="134" t="s">
        <v>31</v>
      </c>
      <c r="C4" s="243" t="s">
        <v>32</v>
      </c>
      <c r="D4" s="244"/>
      <c r="E4" s="244"/>
      <c r="F4" s="244"/>
      <c r="G4" s="245"/>
      <c r="N4" s="146" t="s">
        <v>260</v>
      </c>
    </row>
    <row r="5" spans="1:14" x14ac:dyDescent="0.35">
      <c r="A5" s="96" t="s">
        <v>28</v>
      </c>
      <c r="B5" s="120"/>
      <c r="C5" s="246"/>
      <c r="D5" s="241"/>
      <c r="E5" s="241"/>
      <c r="F5" s="241"/>
      <c r="G5" s="241"/>
      <c r="N5" s="149"/>
    </row>
    <row r="6" spans="1:14" x14ac:dyDescent="0.35">
      <c r="A6" s="96" t="s">
        <v>29</v>
      </c>
      <c r="B6" s="120"/>
      <c r="C6" s="246"/>
      <c r="D6" s="241"/>
      <c r="E6" s="241"/>
      <c r="F6" s="241"/>
      <c r="G6" s="241"/>
      <c r="N6" s="149"/>
    </row>
    <row r="7" spans="1:14" x14ac:dyDescent="0.35">
      <c r="A7" s="96" t="s">
        <v>30</v>
      </c>
      <c r="B7" s="120"/>
      <c r="C7" s="246"/>
      <c r="D7" s="241"/>
      <c r="E7" s="241"/>
      <c r="F7" s="241"/>
      <c r="G7" s="241"/>
      <c r="N7" s="149"/>
    </row>
    <row r="8" spans="1:14" x14ac:dyDescent="0.35">
      <c r="A8" s="120" t="s">
        <v>94</v>
      </c>
      <c r="B8" s="96"/>
      <c r="C8" s="241"/>
      <c r="D8" s="241"/>
      <c r="E8" s="241"/>
      <c r="F8" s="241"/>
      <c r="G8" s="241"/>
      <c r="N8" s="149"/>
    </row>
    <row r="9" spans="1:14" x14ac:dyDescent="0.35">
      <c r="A9" s="120" t="s">
        <v>334</v>
      </c>
      <c r="B9" s="96"/>
      <c r="C9" s="247"/>
      <c r="D9" s="247"/>
      <c r="E9" s="247"/>
      <c r="F9" s="247"/>
      <c r="G9" s="247"/>
      <c r="N9" s="149"/>
    </row>
    <row r="10" spans="1:14" x14ac:dyDescent="0.35">
      <c r="A10" s="121" t="s">
        <v>97</v>
      </c>
      <c r="B10" s="121"/>
      <c r="C10" s="248"/>
      <c r="D10" s="248"/>
      <c r="E10" s="248"/>
      <c r="F10" s="248"/>
      <c r="G10" s="248"/>
      <c r="N10" s="149"/>
    </row>
    <row r="11" spans="1:14" x14ac:dyDescent="0.35">
      <c r="A11" s="14"/>
      <c r="B11" s="2"/>
      <c r="C11"/>
      <c r="N11" s="149"/>
    </row>
    <row r="12" spans="1:14" x14ac:dyDescent="0.35">
      <c r="A12" s="16" t="s">
        <v>236</v>
      </c>
      <c r="B12" s="249" t="s">
        <v>238</v>
      </c>
      <c r="C12" s="250"/>
      <c r="D12" s="251"/>
      <c r="N12" s="148" t="s">
        <v>261</v>
      </c>
    </row>
    <row r="13" spans="1:14" x14ac:dyDescent="0.35">
      <c r="B13" s="252" t="s">
        <v>239</v>
      </c>
      <c r="C13" s="253"/>
      <c r="D13" s="254"/>
      <c r="N13" s="149"/>
    </row>
    <row r="14" spans="1:14" x14ac:dyDescent="0.35">
      <c r="B14" s="233" t="s">
        <v>240</v>
      </c>
      <c r="C14" s="234"/>
      <c r="D14" s="235"/>
      <c r="N14" s="149"/>
    </row>
    <row r="15" spans="1:14" x14ac:dyDescent="0.35">
      <c r="B15" s="236" t="s">
        <v>33</v>
      </c>
      <c r="C15" s="237"/>
      <c r="D15" s="238"/>
      <c r="N15" s="149"/>
    </row>
    <row r="16" spans="1:14" x14ac:dyDescent="0.35">
      <c r="N16" s="149"/>
    </row>
    <row r="17" spans="1:14" x14ac:dyDescent="0.35">
      <c r="A17" s="1" t="s">
        <v>237</v>
      </c>
      <c r="B17" s="1" t="s">
        <v>81</v>
      </c>
      <c r="C17" s="12" t="s">
        <v>82</v>
      </c>
      <c r="N17" s="148" t="s">
        <v>262</v>
      </c>
    </row>
    <row r="18" spans="1:14" x14ac:dyDescent="0.35">
      <c r="A18" t="s">
        <v>80</v>
      </c>
      <c r="B18" s="116">
        <v>5.73</v>
      </c>
      <c r="C18" s="116">
        <v>6</v>
      </c>
      <c r="D18" s="17"/>
      <c r="N18" s="148" t="s">
        <v>264</v>
      </c>
    </row>
    <row r="19" spans="1:14" x14ac:dyDescent="0.35">
      <c r="A19" t="s">
        <v>257</v>
      </c>
      <c r="B19" s="116">
        <v>7.2</v>
      </c>
      <c r="C19" s="116">
        <v>9</v>
      </c>
      <c r="D19" s="136" t="s">
        <v>243</v>
      </c>
      <c r="F19" s="136"/>
      <c r="N19" s="148" t="s">
        <v>263</v>
      </c>
    </row>
    <row r="20" spans="1:14" x14ac:dyDescent="0.35">
      <c r="A20" t="s">
        <v>118</v>
      </c>
      <c r="B20" s="167">
        <v>3525</v>
      </c>
      <c r="C20" s="167">
        <v>1020</v>
      </c>
      <c r="D20" s="11"/>
      <c r="N20" s="148" t="s">
        <v>265</v>
      </c>
    </row>
    <row r="21" spans="1:14" x14ac:dyDescent="0.35">
      <c r="A21" t="s">
        <v>110</v>
      </c>
      <c r="B21" s="116">
        <f>VLOOKUP(B20,'Powell-Elevation-Area'!$A$5:$B$689,2)/1000000</f>
        <v>5.9265762500000001</v>
      </c>
      <c r="C21" s="116">
        <f>VLOOKUP(C20,'Mead-Elevation-Area'!$A$5:$B$689,2)/1000000</f>
        <v>5.664593</v>
      </c>
      <c r="D21" s="11"/>
      <c r="E21" s="29"/>
      <c r="N21" s="148" t="s">
        <v>267</v>
      </c>
    </row>
    <row r="22" spans="1:14" x14ac:dyDescent="0.35">
      <c r="A22" t="s">
        <v>249</v>
      </c>
      <c r="B22" s="116">
        <f>78.1</f>
        <v>78.099999999999994</v>
      </c>
      <c r="C22"/>
      <c r="D22" s="117"/>
      <c r="E22" s="29"/>
      <c r="N22" s="148" t="s">
        <v>266</v>
      </c>
    </row>
    <row r="23" spans="1:14" x14ac:dyDescent="0.35">
      <c r="A23" t="s">
        <v>250</v>
      </c>
      <c r="B23" s="137">
        <v>0.17</v>
      </c>
      <c r="C23"/>
      <c r="D23" s="117"/>
      <c r="E23" s="29"/>
      <c r="N23" s="148" t="s">
        <v>268</v>
      </c>
    </row>
    <row r="24" spans="1:14" x14ac:dyDescent="0.35">
      <c r="A24" t="s">
        <v>248</v>
      </c>
      <c r="B24" s="116">
        <f>10*(7.5+1.5/2)-B22-B23</f>
        <v>4.2300000000000058</v>
      </c>
      <c r="C24"/>
      <c r="D24" s="117"/>
      <c r="E24" s="29"/>
      <c r="N24" s="148" t="s">
        <v>269</v>
      </c>
    </row>
    <row r="25" spans="1:14" x14ac:dyDescent="0.35">
      <c r="A25" t="s">
        <v>307</v>
      </c>
      <c r="B25" s="116">
        <f>2.3 - IF(A9&lt;&gt;"",1.06,0)</f>
        <v>1.2399999999999998</v>
      </c>
      <c r="C25"/>
      <c r="D25" s="117"/>
      <c r="E25" s="29"/>
      <c r="N25" s="148" t="s">
        <v>314</v>
      </c>
    </row>
    <row r="26" spans="1:14" x14ac:dyDescent="0.35">
      <c r="B26" s="29"/>
      <c r="N26" s="149"/>
    </row>
    <row r="27" spans="1:14" s="1" customFormat="1" hidden="1" x14ac:dyDescent="0.35">
      <c r="A27" s="108" t="s">
        <v>227</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223</v>
      </c>
      <c r="B28" s="1"/>
      <c r="C28" s="103">
        <v>0</v>
      </c>
      <c r="D28" s="103">
        <v>0</v>
      </c>
      <c r="E28" s="103">
        <v>0.2</v>
      </c>
      <c r="F28" s="103">
        <v>2.1</v>
      </c>
      <c r="G28" s="103">
        <v>3.5</v>
      </c>
      <c r="H28" s="103">
        <v>6</v>
      </c>
      <c r="I28" s="103">
        <v>8</v>
      </c>
      <c r="J28" s="103">
        <v>11.26</v>
      </c>
      <c r="K28" s="103">
        <v>12.5</v>
      </c>
      <c r="L28" s="103">
        <v>16</v>
      </c>
      <c r="N28" s="146" t="s">
        <v>270</v>
      </c>
    </row>
    <row r="29" spans="1:14" x14ac:dyDescent="0.35">
      <c r="A29" s="1" t="s">
        <v>86</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271</v>
      </c>
    </row>
    <row r="30" spans="1:14" x14ac:dyDescent="0.35">
      <c r="A30" s="1" t="s">
        <v>203</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272</v>
      </c>
    </row>
    <row r="31" spans="1:14" x14ac:dyDescent="0.35">
      <c r="A31" s="1" t="s">
        <v>182</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273</v>
      </c>
    </row>
    <row r="32" spans="1:14" x14ac:dyDescent="0.35">
      <c r="A32" s="1" t="s">
        <v>367</v>
      </c>
      <c r="C32"/>
      <c r="N32" s="14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368</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226</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276</v>
      </c>
    </row>
    <row r="39" spans="1:16" x14ac:dyDescent="0.35">
      <c r="A39" s="131"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t="str">
        <f>Master!C50</f>
        <v/>
      </c>
      <c r="N39" s="147" t="s">
        <v>277</v>
      </c>
    </row>
    <row r="40" spans="1:16" x14ac:dyDescent="0.35">
      <c r="A40" t="str">
        <f t="shared" ref="A40:A45" si="6">IF(A5="","","    To "&amp;A5)</f>
        <v xml:space="preserve">    To Upper Basin</v>
      </c>
      <c r="B40" s="100" t="s">
        <v>308</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t="str">
        <f>Master!C51</f>
        <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t="str">
        <f>Master!C52</f>
        <v/>
      </c>
      <c r="N41" s="150"/>
      <c r="P41" s="84"/>
    </row>
    <row r="42" spans="1:16" x14ac:dyDescent="0.35">
      <c r="A42" t="str">
        <f t="shared" si="6"/>
        <v xml:space="preserve">    To Mexico</v>
      </c>
      <c r="B42" s="101" t="s">
        <v>392</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t="str">
        <f>Master!C53</f>
        <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91" t="str">
        <f>Master!C54</f>
        <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t="str">
        <f>Master!C55</f>
        <v/>
      </c>
      <c r="N44" s="150"/>
    </row>
    <row r="45" spans="1:16" x14ac:dyDescent="0.35">
      <c r="A45" t="str">
        <f t="shared" si="6"/>
        <v xml:space="preserve">    To Shared, Reserve</v>
      </c>
      <c r="B45" s="101" t="s">
        <v>213</v>
      </c>
      <c r="C45" s="192">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Master!C56</f>
        <v/>
      </c>
      <c r="N45" s="150"/>
    </row>
    <row r="46" spans="1:16" x14ac:dyDescent="0.35">
      <c r="A46" t="str">
        <f>IF(A31="","","    To "&amp;A31)</f>
        <v xml:space="preserve">    To Havasu / Parker evaporation and ET</v>
      </c>
      <c r="B46" s="159" t="s">
        <v>309</v>
      </c>
      <c r="C46" s="193">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str">
        <f>Master!C57</f>
        <v/>
      </c>
      <c r="N46" s="150"/>
    </row>
    <row r="47" spans="1:16" x14ac:dyDescent="0.35">
      <c r="B47" s="20"/>
      <c r="C47" s="19"/>
      <c r="D47" s="19"/>
      <c r="E47" s="19"/>
      <c r="F47" s="122"/>
      <c r="G47" s="29"/>
      <c r="N47" s="149"/>
    </row>
    <row r="48" spans="1:16" x14ac:dyDescent="0.35">
      <c r="B48" t="s">
        <v>386</v>
      </c>
      <c r="C48" s="191">
        <f>SUM(C40:C46)</f>
        <v>0</v>
      </c>
      <c r="D48" s="191">
        <f>SUM(D40:D46)</f>
        <v>0.6</v>
      </c>
      <c r="E48" s="191">
        <f t="shared" ref="E48:L48" si="15">SUM(E40:E46)</f>
        <v>1.2</v>
      </c>
      <c r="F48" s="191">
        <f t="shared" si="15"/>
        <v>3.1000000000000005</v>
      </c>
      <c r="G48" s="191">
        <f t="shared" si="15"/>
        <v>4.5</v>
      </c>
      <c r="H48" s="191">
        <f t="shared" si="15"/>
        <v>7</v>
      </c>
      <c r="I48" s="191">
        <f t="shared" si="15"/>
        <v>8.9999999999999982</v>
      </c>
      <c r="J48" s="191">
        <f t="shared" si="15"/>
        <v>12.26</v>
      </c>
      <c r="K48" s="191">
        <f t="shared" si="15"/>
        <v>13.5</v>
      </c>
      <c r="L48" s="191">
        <f t="shared" si="15"/>
        <v>17.000000000000004</v>
      </c>
    </row>
    <row r="49" spans="1:8" x14ac:dyDescent="0.35">
      <c r="D49" s="15"/>
    </row>
    <row r="50" spans="1:8" x14ac:dyDescent="0.35">
      <c r="B50" s="2"/>
      <c r="H50" s="122">
        <f>SUM(I42:I46)</f>
        <v>4.4849790327249481</v>
      </c>
    </row>
    <row r="53" spans="1:8" x14ac:dyDescent="0.35">
      <c r="A53" t="s">
        <v>387</v>
      </c>
      <c r="B53">
        <v>8.1999999999999993</v>
      </c>
    </row>
    <row r="54" spans="1:8" x14ac:dyDescent="0.35">
      <c r="A54" t="s">
        <v>388</v>
      </c>
      <c r="B54">
        <v>1.2</v>
      </c>
    </row>
    <row r="55" spans="1:8" x14ac:dyDescent="0.35">
      <c r="A55" t="s">
        <v>389</v>
      </c>
      <c r="B55">
        <v>0.95</v>
      </c>
    </row>
    <row r="56" spans="1:8" x14ac:dyDescent="0.35">
      <c r="A56" t="s">
        <v>390</v>
      </c>
      <c r="B56">
        <f>1.5/2</f>
        <v>0.75</v>
      </c>
    </row>
    <row r="57" spans="1:8" x14ac:dyDescent="0.35">
      <c r="A57" t="s">
        <v>391</v>
      </c>
      <c r="B57">
        <f>B53-SUM(B54:B56)</f>
        <v>5.2999999999999989</v>
      </c>
    </row>
    <row r="58" spans="1:8" x14ac:dyDescent="0.35">
      <c r="B58" s="19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58" t="s">
        <v>138</v>
      </c>
      <c r="E3" s="258"/>
      <c r="F3" s="258" t="s">
        <v>139</v>
      </c>
      <c r="G3" s="258"/>
      <c r="H3" s="258"/>
      <c r="I3" s="258" t="s">
        <v>140</v>
      </c>
      <c r="J3" s="258"/>
      <c r="K3" s="258"/>
      <c r="L3" s="141"/>
      <c r="M3" s="258" t="s">
        <v>30</v>
      </c>
      <c r="N3" s="258"/>
      <c r="O3" s="258"/>
    </row>
    <row r="4" spans="1:16" s="49" customFormat="1" ht="42.65" customHeight="1" x14ac:dyDescent="0.35">
      <c r="A4" s="48" t="s">
        <v>87</v>
      </c>
      <c r="B4" s="48" t="s">
        <v>88</v>
      </c>
      <c r="C4" s="48" t="s">
        <v>149</v>
      </c>
      <c r="D4" s="48" t="s">
        <v>141</v>
      </c>
      <c r="E4" s="48" t="s">
        <v>142</v>
      </c>
      <c r="F4" s="48" t="s">
        <v>141</v>
      </c>
      <c r="G4" s="48" t="s">
        <v>142</v>
      </c>
      <c r="H4" s="48" t="s">
        <v>143</v>
      </c>
      <c r="I4" s="48" t="s">
        <v>141</v>
      </c>
      <c r="J4" s="48" t="s">
        <v>142</v>
      </c>
      <c r="K4" s="48" t="s">
        <v>143</v>
      </c>
      <c r="L4" s="48" t="s">
        <v>147</v>
      </c>
      <c r="M4" s="48" t="s">
        <v>145</v>
      </c>
      <c r="N4" s="48" t="s">
        <v>146</v>
      </c>
      <c r="O4" s="48" t="s">
        <v>144</v>
      </c>
      <c r="P4" s="48" t="s">
        <v>89</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148</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164</v>
      </c>
    </row>
    <row r="2" spans="1:9" x14ac:dyDescent="0.35">
      <c r="A2" s="62" t="s">
        <v>165</v>
      </c>
    </row>
    <row r="3" spans="1:9" x14ac:dyDescent="0.35">
      <c r="I3" s="1" t="s">
        <v>253</v>
      </c>
    </row>
    <row r="4" spans="1:9" s="55" customFormat="1" ht="43.5" x14ac:dyDescent="0.35">
      <c r="A4" s="38" t="s">
        <v>166</v>
      </c>
      <c r="B4" s="38" t="s">
        <v>171</v>
      </c>
      <c r="C4" s="38" t="s">
        <v>172</v>
      </c>
      <c r="D4" s="39" t="s">
        <v>167</v>
      </c>
      <c r="E4" s="38" t="s">
        <v>186</v>
      </c>
      <c r="F4" s="38" t="s">
        <v>187</v>
      </c>
      <c r="G4" s="126" t="s">
        <v>217</v>
      </c>
    </row>
    <row r="5" spans="1:9" s="55" customFormat="1" ht="58" x14ac:dyDescent="0.35">
      <c r="A5" s="67">
        <f>'Powell-Elevation-Area'!A5</f>
        <v>3370</v>
      </c>
      <c r="B5" s="83" t="s">
        <v>178</v>
      </c>
      <c r="C5" s="68" t="s">
        <v>174</v>
      </c>
      <c r="D5" s="69" t="str">
        <f>D7</f>
        <v>Highest uncertainty for native fish. Also represent a substantial risk to the tailwater trout fishery, as sustained temperatures of 19oC or higher are unsuitable for trout.</v>
      </c>
      <c r="E5" s="92" t="s">
        <v>189</v>
      </c>
      <c r="F5" s="92" t="s">
        <v>188</v>
      </c>
      <c r="G5" s="127">
        <f>VLOOKUP(A5,'Powell-Elevation-Area'!$A$5:$B$689,2)/1000000</f>
        <v>0</v>
      </c>
    </row>
    <row r="6" spans="1:9" s="55" customFormat="1" ht="58" x14ac:dyDescent="0.35">
      <c r="A6" s="64">
        <v>3425</v>
      </c>
      <c r="B6" s="65" t="str">
        <f>B7</f>
        <v>&gt; 18</v>
      </c>
      <c r="C6" s="65" t="s">
        <v>174</v>
      </c>
      <c r="D6" s="66" t="str">
        <f>D7</f>
        <v>Highest uncertainty for native fish. Also represent a substantial risk to the tailwater trout fishery, as sustained temperatures of 19oC or higher are unsuitable for trout.</v>
      </c>
      <c r="E6" s="92" t="str">
        <f>E5</f>
        <v>Highly uncertain</v>
      </c>
      <c r="F6" s="92" t="s">
        <v>188</v>
      </c>
      <c r="G6" s="127">
        <f>VLOOKUP(A6,'Powell-Elevation-Area'!$A$5:$B$689,2)/1000000</f>
        <v>1.40786875</v>
      </c>
    </row>
    <row r="7" spans="1:9" s="55" customFormat="1" ht="58" x14ac:dyDescent="0.35">
      <c r="A7" s="70">
        <v>3490</v>
      </c>
      <c r="B7" s="71" t="s">
        <v>178</v>
      </c>
      <c r="C7" s="71" t="s">
        <v>173</v>
      </c>
      <c r="D7" s="72" t="s">
        <v>170</v>
      </c>
      <c r="E7" s="65" t="str">
        <f>E6</f>
        <v>Highly uncertain</v>
      </c>
      <c r="F7" s="92" t="s">
        <v>188</v>
      </c>
      <c r="G7" s="127">
        <f>VLOOKUP(A7,'Powell-Elevation-Area'!$A$5:$B$689,2)/1000000</f>
        <v>3.9971625</v>
      </c>
    </row>
    <row r="8" spans="1:9" ht="72.5" x14ac:dyDescent="0.35">
      <c r="A8" s="73">
        <v>3525</v>
      </c>
      <c r="B8" s="74" t="s">
        <v>177</v>
      </c>
      <c r="C8" s="74" t="s">
        <v>173</v>
      </c>
      <c r="D8" s="75" t="s">
        <v>169</v>
      </c>
      <c r="E8" s="93" t="s">
        <v>190</v>
      </c>
      <c r="F8" s="93" t="s">
        <v>193</v>
      </c>
      <c r="G8" s="128">
        <f>VLOOKUP(A8,'Powell-Elevation-Area'!$A$5:$B$689,2)/1000000</f>
        <v>5.9265762500000001</v>
      </c>
    </row>
    <row r="9" spans="1:9" ht="43.5" x14ac:dyDescent="0.35">
      <c r="A9" s="76">
        <v>3600</v>
      </c>
      <c r="B9" s="77" t="s">
        <v>176</v>
      </c>
      <c r="C9" s="77" t="s">
        <v>173</v>
      </c>
      <c r="D9" s="78" t="s">
        <v>184</v>
      </c>
      <c r="E9" s="94" t="s">
        <v>185</v>
      </c>
      <c r="F9" s="94" t="str">
        <f>F8</f>
        <v>Help grow + incubate</v>
      </c>
      <c r="G9" s="129">
        <f>VLOOKUP(A9,'Powell-Elevation-Area'!$A$5:$B$689,2)/1000000</f>
        <v>11.750075000000001</v>
      </c>
    </row>
    <row r="10" spans="1:9" ht="101.5" x14ac:dyDescent="0.35">
      <c r="A10" s="79">
        <v>3675</v>
      </c>
      <c r="B10" s="80" t="s">
        <v>175</v>
      </c>
      <c r="C10" s="80" t="s">
        <v>173</v>
      </c>
      <c r="D10" s="81" t="s">
        <v>168</v>
      </c>
      <c r="E10" s="95" t="s">
        <v>192</v>
      </c>
      <c r="F10" s="95" t="s">
        <v>194</v>
      </c>
      <c r="G10" s="130">
        <f>VLOOKUP(A10,'Powell-Elevation-Area'!$A$5:$B$689,2)/1000000</f>
        <v>20.539037499999999</v>
      </c>
    </row>
    <row r="11" spans="1:9" ht="101.5" x14ac:dyDescent="0.35">
      <c r="A11" s="79">
        <v>3700</v>
      </c>
      <c r="B11" s="80" t="str">
        <f>B10</f>
        <v>&lt; 12</v>
      </c>
      <c r="C11" s="80" t="s">
        <v>173</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194</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2023-07-12T22:56:27Z</dcterms:modified>
</cp:coreProperties>
</file>