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S+INDELS" sheetId="1" r:id="rId4"/>
    <sheet state="visible" name="AutoDetection" sheetId="2" r:id="rId5"/>
  </sheets>
  <definedNames>
    <definedName hidden="1" localSheetId="0" name="_xlnm._FilterDatabase">'CODIS+INDELS'!$A$1:$AA$1002</definedName>
  </definedNames>
  <calcPr/>
</workbook>
</file>

<file path=xl/sharedStrings.xml><?xml version="1.0" encoding="utf-8"?>
<sst xmlns="http://schemas.openxmlformats.org/spreadsheetml/2006/main" count="228" uniqueCount="204">
  <si>
    <t>D12ATA63 [TTG]n [TTA]n</t>
  </si>
  <si>
    <t>48 [ATT]n | [GTT]n | [GTT]n AT [TAT]n | [GTT]n ATTA [TTA]n | [GTT]n [ATT]n | [TAT]n | [TGT]n | [TGT]n TA [TTA]n | [TGT]n TATT [ATT]n | [TGT]n [TAT]n | [TTA]n | [TTG]n | [TTG]n TT [ATT]n | [TTG]n TTAT [TAT]n | [TTG]n [TTA]n | [TTTT]n | [TTT]n</t>
  </si>
  <si>
    <t>48 [AAAA]n | [AAA]n | [AAC]n | [AAT]n | [AAT]n AA [CAA]n | [AAT]n AACA [ACA]n | [AAT]n [AAC]n | [ACA]n | [ATA]n | [ATA]n AC [AAC]n | [ATA]n ACAA [CAA]n | [ATA]n [ACA]n | [CAA]n | [TAA]n | [TAA]n CA [ACA]n | [TAA]n CAAC [AAC]n | [TAA]n [CAA]n</t>
  </si>
  <si>
    <t>D14S1434 [CTGT]n [CTAT]n</t>
  </si>
  <si>
    <t>48 [ACAG]n | [AGAC]n | [AGAT]n | [AGAT]n AG [ACAG]n | [AGAT]n AGA [CAGA]n | [AGAT]n [AGAC]n | [ATAG]n | [ATAG]n AC [AGAC]n | [ATAG]n ACA [GACA]n | [ATAG]n [ACAG]n | [GACA]n | [GATA]n | [GATA]n GA [CAGA]n | [GATA]n GAC [AGAC]n | [GATA]n [GACA]n | [GGAT]n | [GGAT]n AG [ATAG]n | [GGAT]n AG [ATAG]n AC [AGAC]n | [GGAT]n AG [ATAG]n ACA [GACA]n | [GGAT]n AG [ATAG]n [ACAG]n | [GGAT]n AGA [TAGA]n | [GGAT]n AGA [TAGA]n CA [GACA]n | [GGAT]n AGA [TAGA]n CAG [ACAG]n | [GGAT]n AGA [TAGA]n [CAGA]n | [GGAT]n [AGAT]n | [GGAT]n [AGAT]n AG [ACAG]n | [GGAT]n [AGAT]n AGA [CAGA]n | [GGAT]n [AGAT]n [AGAC]n | [TAGA]n | [TAGA]n CA [GACA]n | [TAGA]n CAG [ACAG]n | [TAGA]n [CAGA]n | [TGGA]n | [TGGA]n TA [GATA]n | [TGGA]n TA [GATA]n GA [CAGA]n | [TGGA]n TA [GATA]n GAC [AGAC]n | [TGGA]n TA [GATA]n [GACA]n | [TGGA]n TAG [ATAG]n | [TGGA]n TAG [ATAG]n AC [AGAC]n | [TGGA]n TAG [ATAG]n ACA [GACA]n | [TGGA]n TAG [ATAG]n [ACAG]n | [TGGA]n [TAGA]n | [TGGA]n [TAGA]n CA [GACA]n | [TGGA]n [TAGA]n CAG [ACAG]n | [TGGA]n [TAGA]n [CAGA]n</t>
  </si>
  <si>
    <t>48 [ATCC]n | [ATCT]n | [ATCT]n AT [CCAT]n | [ATCT]n ATC [CATC]n | [ATCT]n [ATCC]n | [CTAT]n | [CTAT]n CC [ATCC]n | [CTAT]n CCA [TCCA]n | [CTAT]n [CCAT]n | [CTGT]n | [CTGT]n CT [ATCT]n | [CTGT]n CT [ATCT]n AT [CCAT]n | [CTGT]n CT [ATCT]n ATC [CATC]n | [CTGT]n CT [ATCT]n [ATCC]n | [CTGT]n CTA [TCTA]n | [CTGT]n CTA [TCTA]n TC [CATC]n | [CTGT]n CTA [TCTA]n TCC [ATCC]n | [CTGT]n CTA [TCTA]n [TCCA]n | [CTGT]n [CTAT]n | [CTGT]n [CTAT]n CC [ATCC]n | [CTGT]n [CTAT]n CCA [TCCA]n | [CTGT]n [CTAT]n [CCAT]n | [GTCT]n | [GTCT]n AT [CTAT]n | [GTCT]n AT [CTAT]n CC [ATCC]n | [GTCT]n AT [CTAT]n CCA [TCCA]n | [GTCT]n AT [CTAT]n [CCAT]n | [GTCT]n ATC [TATC]n | [GTCT]n ATC [TATC]n CA [TCCA]n | [GTCT]n ATC [TATC]n [CATC]n | [GTCT]n [ATCT]n | [GTCT]n [ATCT]n AT [CCAT]n | [GTCT]n [ATCT]n ATC [CATC]n | [GTCT]n [ATCT]n [ATCC]n | [TATC]n | [TATC]n CA [TCCA]n | [TATC]n [CATC]n | [TCCA]n | [TCTA]n | [TCTA]n TC [CATC]n | [TCTA]n TCC [ATCC]n | [TCTA]n [TCCA]n | [TGTC]n | [TGTC]n TA [TCTA]n | [TGTC]n TA [TCTA]n TC [CATC]n | [TGTC]n TA [TCTA]n TCC [ATCC]n | [TGTC]n TA [TCTA]n [TCCA]n | [TGTC]n TAT [CTAT]n | [TGTC]n TAT [CTAT]n CC [ATCC]n | [TGTC]n TAT [CTAT]n CCA [TCCA]n | [TGTC]n TAT [CTAT]n [CCAT]n | [TGTC]n [TATC]n | [TGTC]n [TATC]n CA [TCCA]n | [TGTC]n [TATC]n [CATC]n</t>
  </si>
  <si>
    <t>D1S1677 [TTCC]n</t>
  </si>
  <si>
    <t>48 [AAGG]n | [AGGA]n | [GAAG]n | [GGAA]n</t>
  </si>
  <si>
    <t>48 [CAT]n | [CAT]n TA [TTT]n | [TCA]n | [TCA]n TTA [TTT]n</t>
  </si>
  <si>
    <t>48 [ATG]n | [TGA]n</t>
  </si>
  <si>
    <t>48 [CCTT]n | [CTTC]n | [TCCT]n | [TTCC]n</t>
  </si>
  <si>
    <t>D2S1776 [AGAT]n</t>
  </si>
  <si>
    <t>48 [AGAT]n | [AGAT]n [GATA]n | [ATAG]n | [ATAG]n AT [GATA]n | [GATA]n | [GATA]n GAT [GATA]n | [TAGA]n</t>
  </si>
  <si>
    <t>48 [ATCT]n | [CTAT]n | [TATC]n | [TCTA]n</t>
  </si>
  <si>
    <t>D3S4529 [GATA]n AATA [GATA]n</t>
  </si>
  <si>
    <t>48 [AGAT]n | [ATAG]n | [GATA]n | [TAGA]n</t>
  </si>
  <si>
    <t>48 [ATCT]n | [ATCT]n ATT [TATC]n | [ATCT]n ATTT [ATCT]n | [CTAT]n | [CTAT]n TT [ATCT]n | [CTAT]n TTA [TCTA]n | [CTAT]n TTA [TCTA]n [TCTG]n | [CTAT]n TTAT [CTAT]n | [CTAT]n TTAT [CTAT]n [CTGT]n | [TATC]n | [TATC]n TATT [TATC]n | [TCTA]n | [TCTA]n TT [TATC]n | [TCTA]n TTT [ATCT]n | [TCTA]n TTTA [TCTA]n | [TCTA]n TTTA [TCTA]n [TCTG]n</t>
  </si>
  <si>
    <t>D6S474 [AGAT]n [GATA]n [GGTA]n [GACA]n</t>
  </si>
  <si>
    <t>48 [AGAT]n | [AGAT]n AAA [AGAT]n | [AGAT]n AAAA [GATA]n | [ATAG]n | [ATG]n | [GATA]n | [GATA]n AA [AGAT]n | [GATA]n AAA [GATA]n | [TAGA]n | [TAGA]n TAAA [AGAT]n</t>
  </si>
  <si>
    <t>48 [ATCT]n | [ATCT]n ATC [ATCT]n | [ATCT]n ATCA [TCTA]n | [CAT]n | [CTAT]n | [CTAT]n CA [TCTA]n | [CTAT]n CAT [CTAT]n | [CTAT]n CATC [TATC]n | [TATC]n | [TATC]n AT [CTAT]n | [TATC]n ATC [TATC]n | [TATC]n [ATCT]n | [TCTA]n | [TCTA]n TC [ATCT]n | [TCTA]n TCA [TCTA]n | [TCTA]n TCAT [CTAT]n</t>
  </si>
  <si>
    <t>DXS10075 nan</t>
  </si>
  <si>
    <t>48 [ATCT]n | [ATCT]n ATC [ATCT]n | [ATCT]n ATCA [TCTA]n | [CTAT]n | [CTAT]n CA [TCTA]n | [CTAT]n CAT [CTAT]n | [CTAT]n CATC [TATC]n | [TATC]n | [TATC]n AT [CTAT]n | [TATC]n ATC [TATC]n | [TATC]n [ATCT]n | [TCTA]n | [TCTA]n TC [ATCT]n | [TCTA]n TCA [TCTA]n | [TCTA]n TCAT [CTAT]n</t>
  </si>
  <si>
    <t>DXS10079 [AGAA]n AGAG [AGAA]n</t>
  </si>
  <si>
    <t>48 [CTCT]n | [CTTT]n | [CTTT]n CTC [TCTT]n | [CTTT]n CTCT [CTTT]n | [TCTT]n | [TCTT]n TCTC [TCTT]n | [TTCT]n | [TTCT]n CT [CTTT]n | [TTCT]n CTC [TTTC]n | [TTTC]n | [TTTC]n TC [TCTT]n | [TTTC]n TCT [CTTT]n | [TTTC]n TCTC [TTTC]n</t>
  </si>
  <si>
    <t>48 [AAAG]n | [AAAG]n AG [AGAA]n | [AAAG]n AGA [GAAA]n | [AAAG]n AGAG [AAAG]n | [AAGA]n | [AAGA]n GA [GAAA]n | [AAGA]n GAG [AAAG]n | [AAGA]n GAGA [AAGA]n | [AGAA]n | [AGAA]n AGAG [AGAA]n | [AGAG]n | [GAAA]n | [GAAA]n GAG [AGAA]n | [GAAA]n GAGA [GAAA]n</t>
  </si>
  <si>
    <t>DXS10101 [AAAG]n gaaagaag [GAAA]n a [GAAA]n aaga [AAAG]n aaaaagaa [AAAG]n AA</t>
  </si>
  <si>
    <t>48 [AAAG]n | [AAGA]n | [AGAA]n | [GAAA]n | [TTT]n | [TTT]n AG [AAA]n</t>
  </si>
  <si>
    <t>48 [AAA]n | [AAA]n TT [TTA]n | [AAA]n TTT [TAT]n | [CTTT]n | [TCTT]n | [TTCT]n | [TTTC]n</t>
  </si>
  <si>
    <t>DXS10147 nan</t>
  </si>
  <si>
    <t>48 [GTTT]n | [TGTT]n | [TTGT]n | [TTTG]n</t>
  </si>
  <si>
    <t>48 [AAAC]n | [AACA]n | [ACAA]n | [CAAA]n</t>
  </si>
  <si>
    <t>DXS7133 nan</t>
  </si>
  <si>
    <t>DXS7424 nan</t>
  </si>
  <si>
    <t>48 [AAT]n | [ATA]n | [GTTTT]n | [TAA]n</t>
  </si>
  <si>
    <t>48 [AAT]n | [ATA]n | [TAA]n</t>
  </si>
  <si>
    <t>48 [ATT]n | [TAT]n | [TTA]n</t>
  </si>
  <si>
    <t>DXS9895 nan</t>
  </si>
  <si>
    <t>48 [AGAT]n | [AGAT]n AA [GATA]n | [AGAT]n AA [GATA]n [GAAT]n | [AGAT]n AAG [ATAG]n | [AGAT]n AAGA [TAGA]n | [ATAG]n | [ATAG]n ATA [AGAT]n | [ATAG]n ATAA [GATA]n | [ATAG]n ATAA [GATA]n [GAAT]n | [GATA]n | [GATA]n AG [ATAG]n | [GATA]n AGA [TAGA]n | [GATA]n [AGAT]n | [TAGA]n | [TAGA]n TA [AGAT]n | [TAGA]n TAA [GATA]n | [TAGA]n TAA [GATA]n [GAAT]n | [TAGA]n TAAG [ATAG]n</t>
  </si>
  <si>
    <t>48 [ATCT]n | [CTAT]n | [TATC]n | [TATC]n [T]n | [TCTA]n</t>
  </si>
  <si>
    <t>Code</t>
  </si>
  <si>
    <t>Chr</t>
  </si>
  <si>
    <t>LocusStart</t>
  </si>
  <si>
    <t>LocusEnd</t>
  </si>
  <si>
    <t>LocusName</t>
  </si>
  <si>
    <t>LocusLength</t>
  </si>
  <si>
    <t>RepeatStructure</t>
  </si>
  <si>
    <t>IsSTR</t>
  </si>
  <si>
    <t>Allele1Pattern</t>
  </si>
  <si>
    <t>Allele2Pattern</t>
  </si>
  <si>
    <t>chr1:230769516-230769783 D1S1656</t>
  </si>
  <si>
    <t xml:space="preserve">CCTA [TCTA]n TCA [TCTA]n </t>
  </si>
  <si>
    <t>chr1:163589926-163590185 D1S1677</t>
  </si>
  <si>
    <t>[TTCC]n</t>
  </si>
  <si>
    <t>[AAGG]n</t>
  </si>
  <si>
    <t>chr10:133526338-133526344 CYP2E15B</t>
  </si>
  <si>
    <t>chr10:129294144-129294395 D10S1248</t>
  </si>
  <si>
    <t>[GGAA]n</t>
  </si>
  <si>
    <t>chr11:2170988-2171215 TH01</t>
  </si>
  <si>
    <t>[AATG]n ATG [AATG]n</t>
  </si>
  <si>
    <t>chr11:89284790-89284796 TYR3</t>
  </si>
  <si>
    <t>chr12:111803959-111803965 ALDH2</t>
  </si>
  <si>
    <t>chr12:107928490-107928728 D12ATA63</t>
  </si>
  <si>
    <t>[TTG]n [TTA]n</t>
  </si>
  <si>
    <t>[TAA]n CA [ACA]n</t>
  </si>
  <si>
    <t>[('[TGT]n TA [TTA]n', 48, 843, 21)]</t>
  </si>
  <si>
    <t>chr12:12296920-12297195 D12S391</t>
  </si>
  <si>
    <t>[AGAT]n GA T [AGAT]n [AGAC]n AGAT</t>
  </si>
  <si>
    <t>chr12:5983877-5984144 VWA</t>
  </si>
  <si>
    <t>[TAGA]n [CAGA]n TAGA</t>
  </si>
  <si>
    <t>chr13:82147925-82148168 D13S317</t>
  </si>
  <si>
    <t>[TATC]n</t>
  </si>
  <si>
    <t>chr14:94841954-94842205 D14S1434</t>
  </si>
  <si>
    <t>[CTGT]n [CTAT]n</t>
  </si>
  <si>
    <t>[GGAT]n AG [ATAG]n [ACAG]n</t>
  </si>
  <si>
    <t>[('[CTGT]n [CTAT]n CC [ATCC]n', 48, 793, 17)]</t>
  </si>
  <si>
    <t>chr14:92416479-92416485 SLC24A42</t>
  </si>
  <si>
    <t>chr15:78601994-78602000 CHRNA3</t>
  </si>
  <si>
    <t>chr15:28120469-28120475 HERC21</t>
  </si>
  <si>
    <t>chr15:28208066-28208072 HERC22</t>
  </si>
  <si>
    <t>chr15:28251046-28251052 HERC23</t>
  </si>
  <si>
    <t>chr15:28111710-28111716 HERC24</t>
  </si>
  <si>
    <t>chr15:28285033-28285039 HERC25</t>
  </si>
  <si>
    <t>chr15:78513678-78513684 HYKK</t>
  </si>
  <si>
    <t>chr15:27951888-27951894 OCA22</t>
  </si>
  <si>
    <t>chr15:28042972-28042978 OCA23</t>
  </si>
  <si>
    <t>chr15:28026626-28026632 OCA24</t>
  </si>
  <si>
    <t>chr15:96830915-96831239 PentaE</t>
  </si>
  <si>
    <t>[TCTTT]n</t>
  </si>
  <si>
    <t>chr15:48134284-48134290 SLC24A5</t>
  </si>
  <si>
    <t>chr16:89317314-89317320 ANKRD11</t>
  </si>
  <si>
    <t>chr16:86352602-86352845 D16S539</t>
  </si>
  <si>
    <t>[GATA]n</t>
  </si>
  <si>
    <t>chr16:89957795-89957801 DEF8</t>
  </si>
  <si>
    <t>chr16:89919340-89919346 MC1R1</t>
  </si>
  <si>
    <t>chr16:89917967-89917973 MC1R11</t>
  </si>
  <si>
    <t>chr17:74684755-74685002 D17S1301</t>
  </si>
  <si>
    <t>[AGAT]n</t>
  </si>
  <si>
    <t>chr17:30197990-30197996 SLC6A4</t>
  </si>
  <si>
    <t>chr18:63281567-63281838 D18S51</t>
  </si>
  <si>
    <t>[AGAA]n AG</t>
  </si>
  <si>
    <t>chr19:29926135-29926398 D19S433</t>
  </si>
  <si>
    <t xml:space="preserve">[CCTT]n ccta [CCTT]n cttt [CCTT]n </t>
  </si>
  <si>
    <t>chr2:218014759-218015050 D2S1338</t>
  </si>
  <si>
    <t>[GGAA]n GGAC [GGAA]n [GGCA]n</t>
  </si>
  <si>
    <t>chr2:168788793-168789036 D2S1776</t>
  </si>
  <si>
    <t>[ATCT]n</t>
  </si>
  <si>
    <t>[('[AGAT]n [GATA]n', 48, 669, 16)]</t>
  </si>
  <si>
    <t>chr2:68011847-68012094 D2S441</t>
  </si>
  <si>
    <t>[TCTA]n TCA [TCTA]n</t>
  </si>
  <si>
    <t>chr2:1489553-1489784 TPOX</t>
  </si>
  <si>
    <t>[AATG]n</t>
  </si>
  <si>
    <t>chr20:34197403-34197409 ASIP</t>
  </si>
  <si>
    <t>chr20:4525592-4525847 D20S482</t>
  </si>
  <si>
    <t>chr20:34077939-34077945 RALY</t>
  </si>
  <si>
    <t>chr21:19181873-19182199 D21S11</t>
  </si>
  <si>
    <t>[TCTA]n [TCTG]n [TCTA]n ta [TCTA]n tca [TCTA]n tccata [TCTA]n TA [TCTA]n</t>
  </si>
  <si>
    <t>chr21:43636105-43636369 PentaD</t>
  </si>
  <si>
    <t>[AAAGA]n</t>
  </si>
  <si>
    <t>chr22:19963745-19963751 COMT</t>
  </si>
  <si>
    <t>chr22:37140187-37140437 D22S1045</t>
  </si>
  <si>
    <t>[ATT]n ACT [ATT]n</t>
  </si>
  <si>
    <t>chr3:45540639-45540902 D3S1358</t>
  </si>
  <si>
    <t>[TCTA]n [TCTG]n [TCTA]n</t>
  </si>
  <si>
    <t>chr3:85803384-85803631 D3S4529</t>
  </si>
  <si>
    <t>[GATA]n AATA [GATA]n</t>
  </si>
  <si>
    <t>[CTAT]n TTA [TCTA]n [TCTG]n</t>
  </si>
  <si>
    <t>chr4:99318159-99318165 ADH1B</t>
  </si>
  <si>
    <t>https://strbase-b.nist.gov/</t>
  </si>
  <si>
    <t>chr4:99339629-99339635 ADH1C</t>
  </si>
  <si>
    <t>chr4:31302698-31302933 D4S2408</t>
  </si>
  <si>
    <t>chr4:154587636-154587923 FGA</t>
  </si>
  <si>
    <t>[GGAA]n GGAG [AAAG]n AGAA AAAA [GAAA]n</t>
  </si>
  <si>
    <t>chr4:46312573-46312579 GABRA2</t>
  </si>
  <si>
    <t>chr5:150076224-150076475 CSF1PO</t>
  </si>
  <si>
    <t>chr5:59401344-59401587 D5S2500</t>
  </si>
  <si>
    <t>[CTAT]n</t>
  </si>
  <si>
    <t>chr5:59403032-59403299 D5S2800</t>
  </si>
  <si>
    <t>[GGTA]n [GACA]n [GATA]n [GATT]n</t>
  </si>
  <si>
    <t>[AATC]n [TATC]n [TGTC]n TA [CCTA]n</t>
  </si>
  <si>
    <t>chr5:123775456-123775699 D5S818</t>
  </si>
  <si>
    <t>chr5:33951585-33951591 SLC45A22</t>
  </si>
  <si>
    <t>chr6:91740125-91740372 D6S1043</t>
  </si>
  <si>
    <t>[ATCT]n [ATGT]n [ATCT]n ATGT [ATCT]n</t>
  </si>
  <si>
    <t>chr6:112557851-112558118 D6S474</t>
  </si>
  <si>
    <t>[AGAT]n [GATA]n [GGTA]n [GACA]n</t>
  </si>
  <si>
    <t>[GATA]n AA [AGAT]n</t>
  </si>
  <si>
    <t>[CTAT]n CA [TCTA]n</t>
  </si>
  <si>
    <t>chr6:154039659-154039665 OPRM1</t>
  </si>
  <si>
    <t>chr6:88277044-88277445 SE33</t>
  </si>
  <si>
    <t>[CTTT]n TT CT [CTTT]n</t>
  </si>
  <si>
    <t>chr7:84160126-84160377 D7S820</t>
  </si>
  <si>
    <t>chr8:124894765-124895016 D8S1179</t>
  </si>
  <si>
    <t>chr9:16858083-16858089 BNC2</t>
  </si>
  <si>
    <t>chr9:77073726-77073973 D9S1122</t>
  </si>
  <si>
    <t>TAGA [TCTG]n [TAGA]n</t>
  </si>
  <si>
    <t>chr9:133160182-133160411 D9S2157</t>
  </si>
  <si>
    <t>[ATA]n</t>
  </si>
  <si>
    <t>chrX:67757245-67757500 DXS10074</t>
  </si>
  <si>
    <t>[AAGA]n [AAGG]n [AAGA]n</t>
  </si>
  <si>
    <t>chrX:67778284-67778554 DXS10075</t>
  </si>
  <si>
    <t>[ATCT]n ATC [ATCT]n</t>
  </si>
  <si>
    <t>chrX:67495981-67496264 DXS10079</t>
  </si>
  <si>
    <t>[AGAA]n AGAG [AGAA]n</t>
  </si>
  <si>
    <t>[TTCT]n CT [CTTT]n</t>
  </si>
  <si>
    <t>('[AAAG]n AGA [GAAA]n', 48, 951, 22)</t>
  </si>
  <si>
    <t>chrX:134520385-134520719 DXS10101</t>
  </si>
  <si>
    <t>[AAAG]n gaaagaag [GAAA]n a [GAAA]n aaga [AAAG]n aaaaagaa [AAAG]n AA</t>
  </si>
  <si>
    <t>[GAAA]n a [GAAA]n aa GAAA a [GAAA]n aa GAAA aa [GAAA]n</t>
  </si>
  <si>
    <t>[TTTC]n tt TTTC tt [TTTC]n t TTTC tt [TTTC]n t [TTTC]n</t>
  </si>
  <si>
    <t>chrX:134284859-134285138 DXS10103</t>
  </si>
  <si>
    <t>[TAGA]n ctga CAGA [TAGA]n [CAGA]n TAGA</t>
  </si>
  <si>
    <t>chrX:150481746-150482131 DXS10134</t>
  </si>
  <si>
    <t xml:space="preserve">[GAAA]n gaga [GAAA]n aa GAAA gaga [GAAA]n N22 GAAA gtaa [GAAA]n aaa [GAAA]n aaa [GAAA]n </t>
  </si>
  <si>
    <t>[AAAG]n agag [AAAG]n aa [AAAG]n agag [AAAG]n</t>
  </si>
  <si>
    <t>[CTTT]n CTCT [CTTT]n tt [CTTT]n ctct [CTTT]n</t>
  </si>
  <si>
    <t>chrX:9338202-9338500 DXS10135</t>
  </si>
  <si>
    <t xml:space="preserve">[AAGA]n gaaagga [AAGA]n AAAG </t>
  </si>
  <si>
    <t>chrX:150403832-150404165 DXS10146</t>
  </si>
  <si>
    <t>[AAAG]n a [AAAG]n N10 [GGAA]n N10 [GGGA]n ggaaggga [GGAA]n a [GGAA]n</t>
  </si>
  <si>
    <t>[GAAA]n a [GAAA]n</t>
  </si>
  <si>
    <t>[CTTT]n t [CTTT]n N6 [CTTT]n</t>
  </si>
  <si>
    <t>chrX:150495107-150495334 DXS10147</t>
  </si>
  <si>
    <t>[GTTT]n</t>
  </si>
  <si>
    <t>[AAAC]n</t>
  </si>
  <si>
    <t>chrX:9270838-9271133 DXS10148</t>
  </si>
  <si>
    <t>[GGAA]n [AAGA]n [AAAG]n aaggaaag [AAGG]n</t>
  </si>
  <si>
    <t>[GAAA]n</t>
  </si>
  <si>
    <t>chrX:65435547-65435802 DXS7132</t>
  </si>
  <si>
    <t xml:space="preserve">[TAGA]n </t>
  </si>
  <si>
    <t>chrX:109798234-109798477 DXS7133</t>
  </si>
  <si>
    <t>[ATAG]n</t>
  </si>
  <si>
    <t>chrX:150542422-150542689 DXS7423</t>
  </si>
  <si>
    <t>[TGGA]n aggacaga [TGGA]n</t>
  </si>
  <si>
    <t>chrX:101363788-101364036 DXS7424</t>
  </si>
  <si>
    <t>[AAT]n</t>
  </si>
  <si>
    <t>[ATT]n</t>
  </si>
  <si>
    <t>chrX:150398147-150398505 DXS8377</t>
  </si>
  <si>
    <t>[AAG]n [AGGAAG]n</t>
  </si>
  <si>
    <t>[TCT]n tcc [TCT]n [TCCTCT]n [TCT]n</t>
  </si>
  <si>
    <t>chrX:9402162-9402401 DXS8378</t>
  </si>
  <si>
    <t>chrX:7459026-7459282 DXS9895</t>
  </si>
  <si>
    <t>[AGAT]n AA [GATA]n [GAAT]n</t>
  </si>
  <si>
    <t>chrX:113931617-113931856 GATA172D05</t>
  </si>
  <si>
    <t>chrX:134481409-134481660 HPRTB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</si>
</sst>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  <font>
      <u/>
      <color rgb="FF0000FF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horizontal="right" vertical="bottom"/>
    </xf>
    <xf borderId="0" fillId="4" fontId="4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0" fillId="2" fontId="1" numFmtId="0" xfId="0" applyAlignment="1" applyFont="1">
      <alignment horizontal="right"/>
    </xf>
    <xf borderId="0" fillId="3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5" fontId="4" numFmtId="0" xfId="0" applyBorder="1" applyFill="1" applyFont="1"/>
    <xf borderId="0" fillId="4" fontId="1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right"/>
    </xf>
    <xf borderId="0" fillId="5" fontId="4" numFmtId="0" xfId="0" applyFont="1"/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readingOrder="0" shrinkToFit="0" vertical="bottom" wrapText="1"/>
    </xf>
    <xf borderId="0" fillId="4" fontId="6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6" fontId="1" numFmtId="0" xfId="0" applyAlignment="1" applyFont="1">
      <alignment shrinkToFit="0" vertical="bottom" wrapText="0"/>
    </xf>
    <xf borderId="0" fillId="6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rbase-b.nist.gov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3" max="4" width="30.14"/>
    <col customWidth="1" min="6" max="6" width="25.57"/>
    <col customWidth="1" min="7" max="7" width="45.29"/>
    <col customWidth="1" min="9" max="9" width="43.71"/>
    <col customWidth="1" min="10" max="10" width="50.57"/>
  </cols>
  <sheetData>
    <row r="1">
      <c r="A1" s="2" t="s">
        <v>39</v>
      </c>
      <c r="B1" s="3" t="s">
        <v>40</v>
      </c>
      <c r="C1" s="3" t="s">
        <v>41</v>
      </c>
      <c r="D1" s="3" t="s">
        <v>42</v>
      </c>
      <c r="E1" s="4" t="s">
        <v>43</v>
      </c>
      <c r="F1" s="3" t="s">
        <v>44</v>
      </c>
      <c r="G1" s="3" t="s">
        <v>45</v>
      </c>
      <c r="H1" s="3" t="s">
        <v>46</v>
      </c>
      <c r="I1" s="5" t="s">
        <v>47</v>
      </c>
      <c r="J1" s="5" t="s">
        <v>48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2" t="s">
        <v>49</v>
      </c>
      <c r="B2" s="2" t="str">
        <f>IFERROR(__xludf.DUMMYFUNCTION("SPLIT(A2, "": -"")"),"chr1")</f>
        <v>chr1</v>
      </c>
      <c r="C2" s="7">
        <f>IFERROR(__xludf.DUMMYFUNCTION("""COMPUTED_VALUE"""),2.30769516E8)</f>
        <v>230769516</v>
      </c>
      <c r="D2" s="8">
        <f>IFERROR(__xludf.DUMMYFUNCTION("""COMPUTED_VALUE"""),2.30769783E8)</f>
        <v>230769783</v>
      </c>
      <c r="E2" s="9" t="str">
        <f>IFERROR(__xludf.DUMMYFUNCTION("""COMPUTED_VALUE"""),"D1S1656")</f>
        <v>D1S1656</v>
      </c>
      <c r="F2" s="1">
        <f t="shared" ref="F2:F86" si="1">D2-C2</f>
        <v>267</v>
      </c>
      <c r="G2" s="10" t="s">
        <v>50</v>
      </c>
      <c r="H2" s="10" t="b">
        <f t="shared" ref="H2:H86" si="2">F2&gt;10</f>
        <v>1</v>
      </c>
      <c r="I2" s="11"/>
      <c r="J2" s="11"/>
      <c r="M2" s="8"/>
      <c r="N2" s="8"/>
    </row>
    <row r="3">
      <c r="A3" s="2" t="s">
        <v>51</v>
      </c>
      <c r="B3" s="2" t="str">
        <f>IFERROR(__xludf.DUMMYFUNCTION("SPLIT(A3, "": -"")"),"chr1")</f>
        <v>chr1</v>
      </c>
      <c r="C3" s="7">
        <f>IFERROR(__xludf.DUMMYFUNCTION("""COMPUTED_VALUE"""),1.63589926E8)</f>
        <v>163589926</v>
      </c>
      <c r="D3" s="8">
        <f>IFERROR(__xludf.DUMMYFUNCTION("""COMPUTED_VALUE"""),1.63590185E8)</f>
        <v>163590185</v>
      </c>
      <c r="E3" s="12" t="str">
        <f>IFERROR(__xludf.DUMMYFUNCTION("""COMPUTED_VALUE"""),"D1S1677")</f>
        <v>D1S1677</v>
      </c>
      <c r="F3" s="1">
        <f t="shared" si="1"/>
        <v>259</v>
      </c>
      <c r="G3" s="1" t="s">
        <v>52</v>
      </c>
      <c r="H3" s="10" t="b">
        <f t="shared" si="2"/>
        <v>1</v>
      </c>
      <c r="I3" s="13" t="s">
        <v>52</v>
      </c>
      <c r="J3" s="13" t="s">
        <v>53</v>
      </c>
      <c r="M3" s="8"/>
      <c r="N3" s="8"/>
    </row>
    <row r="4" hidden="1">
      <c r="A4" s="2" t="s">
        <v>54</v>
      </c>
      <c r="B4" s="2" t="str">
        <f>IFERROR(__xludf.DUMMYFUNCTION("SPLIT(A4, "": -"")"),"chr10")</f>
        <v>chr10</v>
      </c>
      <c r="C4" s="7">
        <f>IFERROR(__xludf.DUMMYFUNCTION("""COMPUTED_VALUE"""),1.33526338E8)</f>
        <v>133526338</v>
      </c>
      <c r="D4" s="8">
        <f>IFERROR(__xludf.DUMMYFUNCTION("""COMPUTED_VALUE"""),1.33526344E8)</f>
        <v>133526344</v>
      </c>
      <c r="E4" s="12" t="str">
        <f>IFERROR(__xludf.DUMMYFUNCTION("""COMPUTED_VALUE"""),"CYP2E15B")</f>
        <v>CYP2E15B</v>
      </c>
      <c r="F4" s="1">
        <f t="shared" si="1"/>
        <v>6</v>
      </c>
      <c r="H4" s="10" t="b">
        <f t="shared" si="2"/>
        <v>0</v>
      </c>
      <c r="M4" s="8"/>
      <c r="N4" s="8"/>
    </row>
    <row r="5">
      <c r="A5" s="2" t="s">
        <v>55</v>
      </c>
      <c r="B5" s="2" t="str">
        <f>IFERROR(__xludf.DUMMYFUNCTION("SPLIT(A5, "": -"")"),"chr10")</f>
        <v>chr10</v>
      </c>
      <c r="C5" s="7">
        <f>IFERROR(__xludf.DUMMYFUNCTION("""COMPUTED_VALUE"""),1.29294144E8)</f>
        <v>129294144</v>
      </c>
      <c r="D5" s="8">
        <f>IFERROR(__xludf.DUMMYFUNCTION("""COMPUTED_VALUE"""),1.29294395E8)</f>
        <v>129294395</v>
      </c>
      <c r="E5" s="9" t="str">
        <f>IFERROR(__xludf.DUMMYFUNCTION("""COMPUTED_VALUE"""),"D10S1248")</f>
        <v>D10S1248</v>
      </c>
      <c r="F5" s="1">
        <f t="shared" si="1"/>
        <v>251</v>
      </c>
      <c r="G5" s="10" t="s">
        <v>56</v>
      </c>
      <c r="H5" s="10" t="b">
        <f t="shared" si="2"/>
        <v>1</v>
      </c>
      <c r="I5" s="14"/>
      <c r="J5" s="15"/>
      <c r="M5" s="8"/>
      <c r="N5" s="8"/>
    </row>
    <row r="6">
      <c r="A6" s="2" t="s">
        <v>57</v>
      </c>
      <c r="B6" s="2" t="str">
        <f>IFERROR(__xludf.DUMMYFUNCTION("SPLIT(A6, "": -"")"),"chr11")</f>
        <v>chr11</v>
      </c>
      <c r="C6" s="16">
        <f>IFERROR(__xludf.DUMMYFUNCTION("""COMPUTED_VALUE"""),2170988.0)</f>
        <v>2170988</v>
      </c>
      <c r="D6" s="16">
        <f>IFERROR(__xludf.DUMMYFUNCTION("""COMPUTED_VALUE"""),2171215.0)</f>
        <v>2171215</v>
      </c>
      <c r="E6" s="17" t="str">
        <f>IFERROR(__xludf.DUMMYFUNCTION("""COMPUTED_VALUE"""),"TH01")</f>
        <v>TH01</v>
      </c>
      <c r="F6" s="1">
        <f t="shared" si="1"/>
        <v>227</v>
      </c>
      <c r="G6" s="10" t="s">
        <v>58</v>
      </c>
      <c r="H6" s="10" t="b">
        <f t="shared" si="2"/>
        <v>1</v>
      </c>
      <c r="I6" s="14"/>
      <c r="J6" s="14"/>
    </row>
    <row r="7" hidden="1">
      <c r="A7" s="2" t="s">
        <v>59</v>
      </c>
      <c r="B7" s="2" t="str">
        <f>IFERROR(__xludf.DUMMYFUNCTION("SPLIT(A7, "": -"")"),"chr11")</f>
        <v>chr11</v>
      </c>
      <c r="C7" s="16">
        <f>IFERROR(__xludf.DUMMYFUNCTION("""COMPUTED_VALUE"""),8.928479E7)</f>
        <v>89284790</v>
      </c>
      <c r="D7" s="16">
        <f>IFERROR(__xludf.DUMMYFUNCTION("""COMPUTED_VALUE"""),8.9284796E7)</f>
        <v>89284796</v>
      </c>
      <c r="E7" s="18" t="str">
        <f>IFERROR(__xludf.DUMMYFUNCTION("""COMPUTED_VALUE"""),"TYR3")</f>
        <v>TYR3</v>
      </c>
      <c r="F7" s="1">
        <f t="shared" si="1"/>
        <v>6</v>
      </c>
      <c r="H7" s="10" t="b">
        <f t="shared" si="2"/>
        <v>0</v>
      </c>
    </row>
    <row r="8" hidden="1">
      <c r="A8" s="2" t="s">
        <v>60</v>
      </c>
      <c r="B8" s="2" t="str">
        <f>IFERROR(__xludf.DUMMYFUNCTION("SPLIT(A8, "": -"")"),"chr12")</f>
        <v>chr12</v>
      </c>
      <c r="C8" s="7">
        <f>IFERROR(__xludf.DUMMYFUNCTION("""COMPUTED_VALUE"""),1.11803959E8)</f>
        <v>111803959</v>
      </c>
      <c r="D8" s="8">
        <f>IFERROR(__xludf.DUMMYFUNCTION("""COMPUTED_VALUE"""),1.11803965E8)</f>
        <v>111803965</v>
      </c>
      <c r="E8" s="12" t="str">
        <f>IFERROR(__xludf.DUMMYFUNCTION("""COMPUTED_VALUE"""),"ALDH2")</f>
        <v>ALDH2</v>
      </c>
      <c r="F8" s="1">
        <f t="shared" si="1"/>
        <v>6</v>
      </c>
      <c r="H8" s="10" t="b">
        <f t="shared" si="2"/>
        <v>0</v>
      </c>
      <c r="M8" s="8"/>
      <c r="N8" s="8"/>
    </row>
    <row r="9">
      <c r="A9" s="2" t="s">
        <v>61</v>
      </c>
      <c r="B9" s="2" t="str">
        <f>IFERROR(__xludf.DUMMYFUNCTION("SPLIT(A9, "": -"")"),"chr12")</f>
        <v>chr12</v>
      </c>
      <c r="C9" s="7">
        <f>IFERROR(__xludf.DUMMYFUNCTION("""COMPUTED_VALUE"""),1.0792849E8)</f>
        <v>107928490</v>
      </c>
      <c r="D9" s="8">
        <f>IFERROR(__xludf.DUMMYFUNCTION("""COMPUTED_VALUE"""),1.07928728E8)</f>
        <v>107928728</v>
      </c>
      <c r="E9" s="12" t="str">
        <f>IFERROR(__xludf.DUMMYFUNCTION("""COMPUTED_VALUE"""),"D12ATA63")</f>
        <v>D12ATA63</v>
      </c>
      <c r="F9" s="1">
        <f t="shared" si="1"/>
        <v>238</v>
      </c>
      <c r="G9" s="1" t="s">
        <v>62</v>
      </c>
      <c r="H9" s="10" t="b">
        <f t="shared" si="2"/>
        <v>1</v>
      </c>
      <c r="I9" s="13" t="s">
        <v>62</v>
      </c>
      <c r="J9" s="19" t="s">
        <v>63</v>
      </c>
      <c r="K9" s="1" t="s">
        <v>64</v>
      </c>
      <c r="M9" s="8"/>
      <c r="N9" s="8"/>
    </row>
    <row r="10">
      <c r="A10" s="2" t="s">
        <v>65</v>
      </c>
      <c r="B10" s="2" t="str">
        <f>IFERROR(__xludf.DUMMYFUNCTION("SPLIT(A10, "": -"")"),"chr12")</f>
        <v>chr12</v>
      </c>
      <c r="C10" s="7">
        <f>IFERROR(__xludf.DUMMYFUNCTION("""COMPUTED_VALUE"""),1.229692E7)</f>
        <v>12296920</v>
      </c>
      <c r="D10" s="8">
        <f>IFERROR(__xludf.DUMMYFUNCTION("""COMPUTED_VALUE"""),1.2297195E7)</f>
        <v>12297195</v>
      </c>
      <c r="E10" s="9" t="str">
        <f>IFERROR(__xludf.DUMMYFUNCTION("""COMPUTED_VALUE"""),"D12S391")</f>
        <v>D12S391</v>
      </c>
      <c r="F10" s="1">
        <f t="shared" si="1"/>
        <v>275</v>
      </c>
      <c r="G10" s="10" t="s">
        <v>66</v>
      </c>
      <c r="H10" s="10" t="b">
        <f t="shared" si="2"/>
        <v>1</v>
      </c>
      <c r="I10" s="14"/>
      <c r="J10" s="14"/>
      <c r="M10" s="8"/>
      <c r="N10" s="8"/>
    </row>
    <row r="11">
      <c r="A11" s="2" t="s">
        <v>67</v>
      </c>
      <c r="B11" s="2" t="str">
        <f>IFERROR(__xludf.DUMMYFUNCTION("SPLIT(A11, "": -"")"),"chr12")</f>
        <v>chr12</v>
      </c>
      <c r="C11" s="16">
        <f>IFERROR(__xludf.DUMMYFUNCTION("""COMPUTED_VALUE"""),5983877.0)</f>
        <v>5983877</v>
      </c>
      <c r="D11" s="16">
        <f>IFERROR(__xludf.DUMMYFUNCTION("""COMPUTED_VALUE"""),5984144.0)</f>
        <v>5984144</v>
      </c>
      <c r="E11" s="17" t="str">
        <f>IFERROR(__xludf.DUMMYFUNCTION("""COMPUTED_VALUE"""),"VWA")</f>
        <v>VWA</v>
      </c>
      <c r="F11" s="1">
        <f t="shared" si="1"/>
        <v>267</v>
      </c>
      <c r="G11" s="10" t="s">
        <v>68</v>
      </c>
      <c r="H11" s="10" t="b">
        <f t="shared" si="2"/>
        <v>1</v>
      </c>
      <c r="I11" s="14"/>
      <c r="J11" s="14"/>
    </row>
    <row r="12">
      <c r="A12" s="2" t="s">
        <v>69</v>
      </c>
      <c r="B12" s="2" t="str">
        <f>IFERROR(__xludf.DUMMYFUNCTION("SPLIT(A12, "": -"")"),"chr13")</f>
        <v>chr13</v>
      </c>
      <c r="C12" s="7">
        <f>IFERROR(__xludf.DUMMYFUNCTION("""COMPUTED_VALUE"""),8.2147925E7)</f>
        <v>82147925</v>
      </c>
      <c r="D12" s="8">
        <f>IFERROR(__xludf.DUMMYFUNCTION("""COMPUTED_VALUE"""),8.2148168E7)</f>
        <v>82148168</v>
      </c>
      <c r="E12" s="9" t="str">
        <f>IFERROR(__xludf.DUMMYFUNCTION("""COMPUTED_VALUE"""),"D13S317")</f>
        <v>D13S317</v>
      </c>
      <c r="F12" s="1">
        <f t="shared" si="1"/>
        <v>243</v>
      </c>
      <c r="G12" s="10" t="s">
        <v>70</v>
      </c>
      <c r="H12" s="10" t="b">
        <f t="shared" si="2"/>
        <v>1</v>
      </c>
      <c r="I12" s="14"/>
      <c r="J12" s="14"/>
      <c r="M12" s="8"/>
      <c r="N12" s="8"/>
    </row>
    <row r="13">
      <c r="A13" s="2" t="s">
        <v>71</v>
      </c>
      <c r="B13" s="2" t="str">
        <f>IFERROR(__xludf.DUMMYFUNCTION("SPLIT(A13, "": -"")"),"chr14")</f>
        <v>chr14</v>
      </c>
      <c r="C13" s="7">
        <f>IFERROR(__xludf.DUMMYFUNCTION("""COMPUTED_VALUE"""),9.4841954E7)</f>
        <v>94841954</v>
      </c>
      <c r="D13" s="8">
        <f>IFERROR(__xludf.DUMMYFUNCTION("""COMPUTED_VALUE"""),9.4842205E7)</f>
        <v>94842205</v>
      </c>
      <c r="E13" s="12" t="str">
        <f>IFERROR(__xludf.DUMMYFUNCTION("""COMPUTED_VALUE"""),"D14S1434")</f>
        <v>D14S1434</v>
      </c>
      <c r="F13" s="1">
        <f t="shared" si="1"/>
        <v>251</v>
      </c>
      <c r="G13" s="1" t="s">
        <v>72</v>
      </c>
      <c r="H13" s="10" t="b">
        <f t="shared" si="2"/>
        <v>1</v>
      </c>
      <c r="I13" s="20" t="s">
        <v>72</v>
      </c>
      <c r="J13" s="20" t="s">
        <v>73</v>
      </c>
      <c r="K13" s="1" t="s">
        <v>74</v>
      </c>
      <c r="M13" s="8"/>
      <c r="N13" s="8"/>
    </row>
    <row r="14" hidden="1">
      <c r="A14" s="2" t="s">
        <v>75</v>
      </c>
      <c r="B14" s="2" t="str">
        <f>IFERROR(__xludf.DUMMYFUNCTION("SPLIT(A14, "": -"")"),"chr14")</f>
        <v>chr14</v>
      </c>
      <c r="C14" s="16">
        <f>IFERROR(__xludf.DUMMYFUNCTION("""COMPUTED_VALUE"""),9.2416479E7)</f>
        <v>92416479</v>
      </c>
      <c r="D14" s="16">
        <f>IFERROR(__xludf.DUMMYFUNCTION("""COMPUTED_VALUE"""),9.2416485E7)</f>
        <v>92416485</v>
      </c>
      <c r="E14" s="18" t="str">
        <f>IFERROR(__xludf.DUMMYFUNCTION("""COMPUTED_VALUE"""),"SLC24A42")</f>
        <v>SLC24A42</v>
      </c>
      <c r="F14" s="1">
        <f t="shared" si="1"/>
        <v>6</v>
      </c>
      <c r="H14" s="10" t="b">
        <f t="shared" si="2"/>
        <v>0</v>
      </c>
    </row>
    <row r="15" hidden="1">
      <c r="A15" s="2" t="s">
        <v>76</v>
      </c>
      <c r="B15" s="2" t="str">
        <f>IFERROR(__xludf.DUMMYFUNCTION("SPLIT(A15, "": -"")"),"chr15")</f>
        <v>chr15</v>
      </c>
      <c r="C15" s="7">
        <f>IFERROR(__xludf.DUMMYFUNCTION("""COMPUTED_VALUE"""),7.8601994E7)</f>
        <v>78601994</v>
      </c>
      <c r="D15" s="8">
        <f>IFERROR(__xludf.DUMMYFUNCTION("""COMPUTED_VALUE"""),7.8602E7)</f>
        <v>78602000</v>
      </c>
      <c r="E15" s="12" t="str">
        <f>IFERROR(__xludf.DUMMYFUNCTION("""COMPUTED_VALUE"""),"CHRNA3")</f>
        <v>CHRNA3</v>
      </c>
      <c r="F15" s="1">
        <f t="shared" si="1"/>
        <v>6</v>
      </c>
      <c r="H15" s="10" t="b">
        <f t="shared" si="2"/>
        <v>0</v>
      </c>
      <c r="M15" s="8"/>
      <c r="N15" s="8"/>
    </row>
    <row r="16" hidden="1">
      <c r="A16" s="2" t="s">
        <v>77</v>
      </c>
      <c r="B16" s="2" t="str">
        <f>IFERROR(__xludf.DUMMYFUNCTION("SPLIT(A16, "": -"")"),"chr15")</f>
        <v>chr15</v>
      </c>
      <c r="C16" s="16">
        <f>IFERROR(__xludf.DUMMYFUNCTION("""COMPUTED_VALUE"""),2.8120469E7)</f>
        <v>28120469</v>
      </c>
      <c r="D16" s="16">
        <f>IFERROR(__xludf.DUMMYFUNCTION("""COMPUTED_VALUE"""),2.8120475E7)</f>
        <v>28120475</v>
      </c>
      <c r="E16" s="18" t="str">
        <f>IFERROR(__xludf.DUMMYFUNCTION("""COMPUTED_VALUE"""),"HERC21")</f>
        <v>HERC21</v>
      </c>
      <c r="F16" s="1">
        <f t="shared" si="1"/>
        <v>6</v>
      </c>
      <c r="H16" s="10" t="b">
        <f t="shared" si="2"/>
        <v>0</v>
      </c>
    </row>
    <row r="17" hidden="1">
      <c r="A17" s="2" t="s">
        <v>78</v>
      </c>
      <c r="B17" s="2" t="str">
        <f>IFERROR(__xludf.DUMMYFUNCTION("SPLIT(A17, "": -"")"),"chr15")</f>
        <v>chr15</v>
      </c>
      <c r="C17" s="16">
        <f>IFERROR(__xludf.DUMMYFUNCTION("""COMPUTED_VALUE"""),2.8208066E7)</f>
        <v>28208066</v>
      </c>
      <c r="D17" s="16">
        <f>IFERROR(__xludf.DUMMYFUNCTION("""COMPUTED_VALUE"""),2.8208072E7)</f>
        <v>28208072</v>
      </c>
      <c r="E17" s="18" t="str">
        <f>IFERROR(__xludf.DUMMYFUNCTION("""COMPUTED_VALUE"""),"HERC22")</f>
        <v>HERC22</v>
      </c>
      <c r="F17" s="1">
        <f t="shared" si="1"/>
        <v>6</v>
      </c>
      <c r="H17" s="10" t="b">
        <f t="shared" si="2"/>
        <v>0</v>
      </c>
    </row>
    <row r="18" hidden="1">
      <c r="A18" s="2" t="s">
        <v>79</v>
      </c>
      <c r="B18" s="2" t="str">
        <f>IFERROR(__xludf.DUMMYFUNCTION("SPLIT(A18, "": -"")"),"chr15")</f>
        <v>chr15</v>
      </c>
      <c r="C18" s="16">
        <f>IFERROR(__xludf.DUMMYFUNCTION("""COMPUTED_VALUE"""),2.8251046E7)</f>
        <v>28251046</v>
      </c>
      <c r="D18" s="16">
        <f>IFERROR(__xludf.DUMMYFUNCTION("""COMPUTED_VALUE"""),2.8251052E7)</f>
        <v>28251052</v>
      </c>
      <c r="E18" s="18" t="str">
        <f>IFERROR(__xludf.DUMMYFUNCTION("""COMPUTED_VALUE"""),"HERC23")</f>
        <v>HERC23</v>
      </c>
      <c r="F18" s="1">
        <f t="shared" si="1"/>
        <v>6</v>
      </c>
      <c r="H18" s="10" t="b">
        <f t="shared" si="2"/>
        <v>0</v>
      </c>
    </row>
    <row r="19" hidden="1">
      <c r="A19" s="2" t="s">
        <v>80</v>
      </c>
      <c r="B19" s="2" t="str">
        <f>IFERROR(__xludf.DUMMYFUNCTION("SPLIT(A19, "": -"")"),"chr15")</f>
        <v>chr15</v>
      </c>
      <c r="C19" s="16">
        <f>IFERROR(__xludf.DUMMYFUNCTION("""COMPUTED_VALUE"""),2.811171E7)</f>
        <v>28111710</v>
      </c>
      <c r="D19" s="16">
        <f>IFERROR(__xludf.DUMMYFUNCTION("""COMPUTED_VALUE"""),2.8111716E7)</f>
        <v>28111716</v>
      </c>
      <c r="E19" s="18" t="str">
        <f>IFERROR(__xludf.DUMMYFUNCTION("""COMPUTED_VALUE"""),"HERC24")</f>
        <v>HERC24</v>
      </c>
      <c r="F19" s="1">
        <f t="shared" si="1"/>
        <v>6</v>
      </c>
      <c r="H19" s="10" t="b">
        <f t="shared" si="2"/>
        <v>0</v>
      </c>
    </row>
    <row r="20" hidden="1">
      <c r="A20" s="2" t="s">
        <v>81</v>
      </c>
      <c r="B20" s="2" t="str">
        <f>IFERROR(__xludf.DUMMYFUNCTION("SPLIT(A20, "": -"")"),"chr15")</f>
        <v>chr15</v>
      </c>
      <c r="C20" s="16">
        <f>IFERROR(__xludf.DUMMYFUNCTION("""COMPUTED_VALUE"""),2.8285033E7)</f>
        <v>28285033</v>
      </c>
      <c r="D20" s="16">
        <f>IFERROR(__xludf.DUMMYFUNCTION("""COMPUTED_VALUE"""),2.8285039E7)</f>
        <v>28285039</v>
      </c>
      <c r="E20" s="18" t="str">
        <f>IFERROR(__xludf.DUMMYFUNCTION("""COMPUTED_VALUE"""),"HERC25")</f>
        <v>HERC25</v>
      </c>
      <c r="F20" s="1">
        <f t="shared" si="1"/>
        <v>6</v>
      </c>
      <c r="H20" s="10" t="b">
        <f t="shared" si="2"/>
        <v>0</v>
      </c>
    </row>
    <row r="21" hidden="1">
      <c r="A21" s="2" t="s">
        <v>82</v>
      </c>
      <c r="B21" s="2" t="str">
        <f>IFERROR(__xludf.DUMMYFUNCTION("SPLIT(A21, "": -"")"),"chr15")</f>
        <v>chr15</v>
      </c>
      <c r="C21" s="16">
        <f>IFERROR(__xludf.DUMMYFUNCTION("""COMPUTED_VALUE"""),7.8513678E7)</f>
        <v>78513678</v>
      </c>
      <c r="D21" s="16">
        <f>IFERROR(__xludf.DUMMYFUNCTION("""COMPUTED_VALUE"""),7.8513684E7)</f>
        <v>78513684</v>
      </c>
      <c r="E21" s="18" t="str">
        <f>IFERROR(__xludf.DUMMYFUNCTION("""COMPUTED_VALUE"""),"HYKK")</f>
        <v>HYKK</v>
      </c>
      <c r="F21" s="1">
        <f t="shared" si="1"/>
        <v>6</v>
      </c>
      <c r="H21" s="10" t="b">
        <f t="shared" si="2"/>
        <v>0</v>
      </c>
    </row>
    <row r="22" hidden="1">
      <c r="A22" s="2" t="s">
        <v>83</v>
      </c>
      <c r="B22" s="2" t="str">
        <f>IFERROR(__xludf.DUMMYFUNCTION("SPLIT(A22, "": -"")"),"chr15")</f>
        <v>chr15</v>
      </c>
      <c r="C22" s="16">
        <f>IFERROR(__xludf.DUMMYFUNCTION("""COMPUTED_VALUE"""),2.7951888E7)</f>
        <v>27951888</v>
      </c>
      <c r="D22" s="16">
        <f>IFERROR(__xludf.DUMMYFUNCTION("""COMPUTED_VALUE"""),2.7951894E7)</f>
        <v>27951894</v>
      </c>
      <c r="E22" s="18" t="str">
        <f>IFERROR(__xludf.DUMMYFUNCTION("""COMPUTED_VALUE"""),"OCA22")</f>
        <v>OCA22</v>
      </c>
      <c r="F22" s="1">
        <f t="shared" si="1"/>
        <v>6</v>
      </c>
      <c r="H22" s="10" t="b">
        <f t="shared" si="2"/>
        <v>0</v>
      </c>
    </row>
    <row r="23" hidden="1">
      <c r="A23" s="2" t="s">
        <v>84</v>
      </c>
      <c r="B23" s="2" t="str">
        <f>IFERROR(__xludf.DUMMYFUNCTION("SPLIT(A23, "": -"")"),"chr15")</f>
        <v>chr15</v>
      </c>
      <c r="C23" s="16">
        <f>IFERROR(__xludf.DUMMYFUNCTION("""COMPUTED_VALUE"""),2.8042972E7)</f>
        <v>28042972</v>
      </c>
      <c r="D23" s="16">
        <f>IFERROR(__xludf.DUMMYFUNCTION("""COMPUTED_VALUE"""),2.8042978E7)</f>
        <v>28042978</v>
      </c>
      <c r="E23" s="18" t="str">
        <f>IFERROR(__xludf.DUMMYFUNCTION("""COMPUTED_VALUE"""),"OCA23")</f>
        <v>OCA23</v>
      </c>
      <c r="F23" s="1">
        <f t="shared" si="1"/>
        <v>6</v>
      </c>
      <c r="H23" s="10" t="b">
        <f t="shared" si="2"/>
        <v>0</v>
      </c>
    </row>
    <row r="24" hidden="1">
      <c r="A24" s="2" t="s">
        <v>85</v>
      </c>
      <c r="B24" s="2" t="str">
        <f>IFERROR(__xludf.DUMMYFUNCTION("SPLIT(A24, "": -"")"),"chr15")</f>
        <v>chr15</v>
      </c>
      <c r="C24" s="16">
        <f>IFERROR(__xludf.DUMMYFUNCTION("""COMPUTED_VALUE"""),2.8026626E7)</f>
        <v>28026626</v>
      </c>
      <c r="D24" s="16">
        <f>IFERROR(__xludf.DUMMYFUNCTION("""COMPUTED_VALUE"""),2.8026632E7)</f>
        <v>28026632</v>
      </c>
      <c r="E24" s="18" t="str">
        <f>IFERROR(__xludf.DUMMYFUNCTION("""COMPUTED_VALUE"""),"OCA24")</f>
        <v>OCA24</v>
      </c>
      <c r="F24" s="1">
        <f t="shared" si="1"/>
        <v>6</v>
      </c>
      <c r="H24" s="10" t="b">
        <f t="shared" si="2"/>
        <v>0</v>
      </c>
    </row>
    <row r="25">
      <c r="A25" s="2" t="s">
        <v>86</v>
      </c>
      <c r="B25" s="2" t="str">
        <f>IFERROR(__xludf.DUMMYFUNCTION("SPLIT(A25, "": -"")"),"chr15")</f>
        <v>chr15</v>
      </c>
      <c r="C25" s="16">
        <f>IFERROR(__xludf.DUMMYFUNCTION("""COMPUTED_VALUE"""),9.6830915E7)</f>
        <v>96830915</v>
      </c>
      <c r="D25" s="16">
        <f>IFERROR(__xludf.DUMMYFUNCTION("""COMPUTED_VALUE"""),9.6831239E7)</f>
        <v>96831239</v>
      </c>
      <c r="E25" s="17" t="str">
        <f>IFERROR(__xludf.DUMMYFUNCTION("""COMPUTED_VALUE"""),"PentaE")</f>
        <v>PentaE</v>
      </c>
      <c r="F25" s="1">
        <f t="shared" si="1"/>
        <v>324</v>
      </c>
      <c r="G25" s="10" t="s">
        <v>87</v>
      </c>
      <c r="H25" s="10" t="b">
        <f t="shared" si="2"/>
        <v>1</v>
      </c>
      <c r="I25" s="14"/>
      <c r="J25" s="15"/>
    </row>
    <row r="26" hidden="1">
      <c r="A26" s="2" t="s">
        <v>88</v>
      </c>
      <c r="B26" s="2" t="str">
        <f>IFERROR(__xludf.DUMMYFUNCTION("SPLIT(A26, "": -"")"),"chr15")</f>
        <v>chr15</v>
      </c>
      <c r="C26" s="16">
        <f>IFERROR(__xludf.DUMMYFUNCTION("""COMPUTED_VALUE"""),4.8134284E7)</f>
        <v>48134284</v>
      </c>
      <c r="D26" s="16">
        <f>IFERROR(__xludf.DUMMYFUNCTION("""COMPUTED_VALUE"""),4.813429E7)</f>
        <v>48134290</v>
      </c>
      <c r="E26" s="18" t="str">
        <f>IFERROR(__xludf.DUMMYFUNCTION("""COMPUTED_VALUE"""),"SLC24A5")</f>
        <v>SLC24A5</v>
      </c>
      <c r="F26" s="1">
        <f t="shared" si="1"/>
        <v>6</v>
      </c>
      <c r="H26" s="10" t="b">
        <f t="shared" si="2"/>
        <v>0</v>
      </c>
    </row>
    <row r="27" hidden="1">
      <c r="A27" s="2" t="s">
        <v>89</v>
      </c>
      <c r="B27" s="2" t="str">
        <f>IFERROR(__xludf.DUMMYFUNCTION("SPLIT(A27, "": -"")"),"chr16")</f>
        <v>chr16</v>
      </c>
      <c r="C27" s="7">
        <f>IFERROR(__xludf.DUMMYFUNCTION("""COMPUTED_VALUE"""),8.9317314E7)</f>
        <v>89317314</v>
      </c>
      <c r="D27" s="8">
        <f>IFERROR(__xludf.DUMMYFUNCTION("""COMPUTED_VALUE"""),8.931732E7)</f>
        <v>89317320</v>
      </c>
      <c r="E27" s="12" t="str">
        <f>IFERROR(__xludf.DUMMYFUNCTION("""COMPUTED_VALUE"""),"ANKRD11")</f>
        <v>ANKRD11</v>
      </c>
      <c r="F27" s="1">
        <f t="shared" si="1"/>
        <v>6</v>
      </c>
      <c r="H27" s="10" t="b">
        <f t="shared" si="2"/>
        <v>0</v>
      </c>
      <c r="M27" s="8"/>
      <c r="N27" s="8"/>
    </row>
    <row r="28">
      <c r="A28" s="2" t="s">
        <v>90</v>
      </c>
      <c r="B28" s="2" t="str">
        <f>IFERROR(__xludf.DUMMYFUNCTION("SPLIT(A28, "": -"")"),"chr16")</f>
        <v>chr16</v>
      </c>
      <c r="C28" s="7">
        <f>IFERROR(__xludf.DUMMYFUNCTION("""COMPUTED_VALUE"""),8.6352602E7)</f>
        <v>86352602</v>
      </c>
      <c r="D28" s="8">
        <f>IFERROR(__xludf.DUMMYFUNCTION("""COMPUTED_VALUE"""),8.6352845E7)</f>
        <v>86352845</v>
      </c>
      <c r="E28" s="9" t="str">
        <f>IFERROR(__xludf.DUMMYFUNCTION("""COMPUTED_VALUE"""),"D16S539")</f>
        <v>D16S539</v>
      </c>
      <c r="F28" s="1">
        <f t="shared" si="1"/>
        <v>243</v>
      </c>
      <c r="G28" s="10" t="s">
        <v>91</v>
      </c>
      <c r="H28" s="10" t="b">
        <f t="shared" si="2"/>
        <v>1</v>
      </c>
      <c r="I28" s="14"/>
      <c r="J28" s="15"/>
      <c r="M28" s="8"/>
      <c r="N28" s="8"/>
    </row>
    <row r="29" hidden="1">
      <c r="A29" s="2" t="s">
        <v>92</v>
      </c>
      <c r="B29" s="2" t="str">
        <f>IFERROR(__xludf.DUMMYFUNCTION("SPLIT(A29, "": -"")"),"chr16")</f>
        <v>chr16</v>
      </c>
      <c r="C29" s="7">
        <f>IFERROR(__xludf.DUMMYFUNCTION("""COMPUTED_VALUE"""),8.9957795E7)</f>
        <v>89957795</v>
      </c>
      <c r="D29" s="8">
        <f>IFERROR(__xludf.DUMMYFUNCTION("""COMPUTED_VALUE"""),8.9957801E7)</f>
        <v>89957801</v>
      </c>
      <c r="E29" s="12" t="str">
        <f>IFERROR(__xludf.DUMMYFUNCTION("""COMPUTED_VALUE"""),"DEF8")</f>
        <v>DEF8</v>
      </c>
      <c r="F29" s="1">
        <f t="shared" si="1"/>
        <v>6</v>
      </c>
      <c r="G29" s="21"/>
      <c r="H29" s="10" t="b">
        <f t="shared" si="2"/>
        <v>0</v>
      </c>
      <c r="M29" s="8"/>
      <c r="N29" s="8"/>
    </row>
    <row r="30" hidden="1">
      <c r="A30" s="2" t="s">
        <v>93</v>
      </c>
      <c r="B30" s="2" t="str">
        <f>IFERROR(__xludf.DUMMYFUNCTION("SPLIT(A30, "": -"")"),"chr16")</f>
        <v>chr16</v>
      </c>
      <c r="C30" s="16">
        <f>IFERROR(__xludf.DUMMYFUNCTION("""COMPUTED_VALUE"""),8.991934E7)</f>
        <v>89919340</v>
      </c>
      <c r="D30" s="16">
        <f>IFERROR(__xludf.DUMMYFUNCTION("""COMPUTED_VALUE"""),8.9919346E7)</f>
        <v>89919346</v>
      </c>
      <c r="E30" s="18" t="str">
        <f>IFERROR(__xludf.DUMMYFUNCTION("""COMPUTED_VALUE"""),"MC1R1")</f>
        <v>MC1R1</v>
      </c>
      <c r="F30" s="1">
        <f t="shared" si="1"/>
        <v>6</v>
      </c>
      <c r="H30" s="10" t="b">
        <f t="shared" si="2"/>
        <v>0</v>
      </c>
    </row>
    <row r="31" hidden="1">
      <c r="A31" s="2" t="s">
        <v>94</v>
      </c>
      <c r="B31" s="2" t="str">
        <f>IFERROR(__xludf.DUMMYFUNCTION("SPLIT(A31, "": -"")"),"chr16")</f>
        <v>chr16</v>
      </c>
      <c r="C31" s="16">
        <f>IFERROR(__xludf.DUMMYFUNCTION("""COMPUTED_VALUE"""),8.9917967E7)</f>
        <v>89917967</v>
      </c>
      <c r="D31" s="16">
        <f>IFERROR(__xludf.DUMMYFUNCTION("""COMPUTED_VALUE"""),8.9917973E7)</f>
        <v>89917973</v>
      </c>
      <c r="E31" s="18" t="str">
        <f>IFERROR(__xludf.DUMMYFUNCTION("""COMPUTED_VALUE"""),"MC1R11")</f>
        <v>MC1R11</v>
      </c>
      <c r="F31" s="1">
        <f t="shared" si="1"/>
        <v>6</v>
      </c>
      <c r="H31" s="10" t="b">
        <f t="shared" si="2"/>
        <v>0</v>
      </c>
    </row>
    <row r="32">
      <c r="A32" s="2" t="s">
        <v>95</v>
      </c>
      <c r="B32" s="2" t="str">
        <f>IFERROR(__xludf.DUMMYFUNCTION("SPLIT(A32, "": -"")"),"chr17")</f>
        <v>chr17</v>
      </c>
      <c r="C32" s="7">
        <f>IFERROR(__xludf.DUMMYFUNCTION("""COMPUTED_VALUE"""),7.4684755E7)</f>
        <v>74684755</v>
      </c>
      <c r="D32" s="8">
        <f>IFERROR(__xludf.DUMMYFUNCTION("""COMPUTED_VALUE"""),7.4685002E7)</f>
        <v>74685002</v>
      </c>
      <c r="E32" s="9" t="str">
        <f>IFERROR(__xludf.DUMMYFUNCTION("""COMPUTED_VALUE"""),"D17S1301")</f>
        <v>D17S1301</v>
      </c>
      <c r="F32" s="1">
        <f t="shared" si="1"/>
        <v>247</v>
      </c>
      <c r="G32" s="1" t="s">
        <v>96</v>
      </c>
      <c r="H32" s="10" t="b">
        <f t="shared" si="2"/>
        <v>1</v>
      </c>
      <c r="I32" s="14"/>
      <c r="J32" s="14"/>
      <c r="M32" s="8"/>
      <c r="N32" s="8"/>
    </row>
    <row r="33" hidden="1">
      <c r="A33" s="2" t="s">
        <v>97</v>
      </c>
      <c r="B33" s="2" t="str">
        <f>IFERROR(__xludf.DUMMYFUNCTION("SPLIT(A33, "": -"")"),"chr17")</f>
        <v>chr17</v>
      </c>
      <c r="C33" s="16">
        <f>IFERROR(__xludf.DUMMYFUNCTION("""COMPUTED_VALUE"""),3.019799E7)</f>
        <v>30197990</v>
      </c>
      <c r="D33" s="16">
        <f>IFERROR(__xludf.DUMMYFUNCTION("""COMPUTED_VALUE"""),3.0197996E7)</f>
        <v>30197996</v>
      </c>
      <c r="E33" s="18" t="str">
        <f>IFERROR(__xludf.DUMMYFUNCTION("""COMPUTED_VALUE"""),"SLC6A4")</f>
        <v>SLC6A4</v>
      </c>
      <c r="F33" s="1">
        <f t="shared" si="1"/>
        <v>6</v>
      </c>
      <c r="H33" s="10" t="b">
        <f t="shared" si="2"/>
        <v>0</v>
      </c>
    </row>
    <row r="34">
      <c r="A34" s="2" t="s">
        <v>98</v>
      </c>
      <c r="B34" s="2" t="str">
        <f>IFERROR(__xludf.DUMMYFUNCTION("SPLIT(A34, "": -"")"),"chr18")</f>
        <v>chr18</v>
      </c>
      <c r="C34" s="7">
        <f>IFERROR(__xludf.DUMMYFUNCTION("""COMPUTED_VALUE"""),6.3281567E7)</f>
        <v>63281567</v>
      </c>
      <c r="D34" s="8">
        <f>IFERROR(__xludf.DUMMYFUNCTION("""COMPUTED_VALUE"""),6.3281838E7)</f>
        <v>63281838</v>
      </c>
      <c r="E34" s="9" t="str">
        <f>IFERROR(__xludf.DUMMYFUNCTION("""COMPUTED_VALUE"""),"D18S51")</f>
        <v>D18S51</v>
      </c>
      <c r="F34" s="1">
        <f t="shared" si="1"/>
        <v>271</v>
      </c>
      <c r="G34" s="10" t="s">
        <v>99</v>
      </c>
      <c r="H34" s="10" t="b">
        <f t="shared" si="2"/>
        <v>1</v>
      </c>
      <c r="I34" s="14"/>
      <c r="J34" s="14"/>
      <c r="M34" s="8"/>
      <c r="N34" s="8"/>
    </row>
    <row r="35">
      <c r="A35" s="2" t="s">
        <v>100</v>
      </c>
      <c r="B35" s="2" t="str">
        <f>IFERROR(__xludf.DUMMYFUNCTION("SPLIT(A35, "": -"")"),"chr19")</f>
        <v>chr19</v>
      </c>
      <c r="C35" s="7">
        <f>IFERROR(__xludf.DUMMYFUNCTION("""COMPUTED_VALUE"""),2.9926135E7)</f>
        <v>29926135</v>
      </c>
      <c r="D35" s="8">
        <f>IFERROR(__xludf.DUMMYFUNCTION("""COMPUTED_VALUE"""),2.9926398E7)</f>
        <v>29926398</v>
      </c>
      <c r="E35" s="9" t="str">
        <f>IFERROR(__xludf.DUMMYFUNCTION("""COMPUTED_VALUE"""),"D19S433")</f>
        <v>D19S433</v>
      </c>
      <c r="F35" s="1">
        <f t="shared" si="1"/>
        <v>263</v>
      </c>
      <c r="G35" s="10" t="s">
        <v>101</v>
      </c>
      <c r="H35" s="10" t="b">
        <f t="shared" si="2"/>
        <v>1</v>
      </c>
      <c r="I35" s="14"/>
      <c r="J35" s="14"/>
      <c r="M35" s="8"/>
      <c r="N35" s="8"/>
    </row>
    <row r="36">
      <c r="A36" s="2" t="s">
        <v>102</v>
      </c>
      <c r="B36" s="2" t="str">
        <f>IFERROR(__xludf.DUMMYFUNCTION("SPLIT(A36, "": -"")"),"chr2")</f>
        <v>chr2</v>
      </c>
      <c r="C36" s="7">
        <f>IFERROR(__xludf.DUMMYFUNCTION("""COMPUTED_VALUE"""),2.18014759E8)</f>
        <v>218014759</v>
      </c>
      <c r="D36" s="8">
        <f>IFERROR(__xludf.DUMMYFUNCTION("""COMPUTED_VALUE"""),2.1801505E8)</f>
        <v>218015050</v>
      </c>
      <c r="E36" s="9" t="str">
        <f>IFERROR(__xludf.DUMMYFUNCTION("""COMPUTED_VALUE"""),"D2S1338")</f>
        <v>D2S1338</v>
      </c>
      <c r="F36" s="1">
        <f t="shared" si="1"/>
        <v>291</v>
      </c>
      <c r="G36" s="10" t="s">
        <v>103</v>
      </c>
      <c r="H36" s="10" t="b">
        <f t="shared" si="2"/>
        <v>1</v>
      </c>
      <c r="I36" s="14"/>
      <c r="J36" s="14"/>
      <c r="M36" s="8"/>
      <c r="N36" s="8"/>
    </row>
    <row r="37">
      <c r="A37" s="2" t="s">
        <v>104</v>
      </c>
      <c r="B37" s="2" t="str">
        <f>IFERROR(__xludf.DUMMYFUNCTION("SPLIT(A37, "": -"")"),"chr2")</f>
        <v>chr2</v>
      </c>
      <c r="C37" s="7">
        <f>IFERROR(__xludf.DUMMYFUNCTION("""COMPUTED_VALUE"""),1.68788793E8)</f>
        <v>168788793</v>
      </c>
      <c r="D37" s="8">
        <f>IFERROR(__xludf.DUMMYFUNCTION("""COMPUTED_VALUE"""),1.68789036E8)</f>
        <v>168789036</v>
      </c>
      <c r="E37" s="12" t="str">
        <f>IFERROR(__xludf.DUMMYFUNCTION("""COMPUTED_VALUE"""),"D2S1776")</f>
        <v>D2S1776</v>
      </c>
      <c r="F37" s="1">
        <f t="shared" si="1"/>
        <v>243</v>
      </c>
      <c r="G37" s="10" t="s">
        <v>96</v>
      </c>
      <c r="H37" s="10" t="b">
        <f t="shared" si="2"/>
        <v>1</v>
      </c>
      <c r="I37" s="13" t="s">
        <v>96</v>
      </c>
      <c r="J37" s="13" t="s">
        <v>105</v>
      </c>
      <c r="K37" s="1" t="s">
        <v>106</v>
      </c>
      <c r="M37" s="8"/>
      <c r="N37" s="8"/>
    </row>
    <row r="38">
      <c r="A38" s="2" t="s">
        <v>107</v>
      </c>
      <c r="B38" s="2" t="str">
        <f>IFERROR(__xludf.DUMMYFUNCTION("SPLIT(A38, "": -"")"),"chr2")</f>
        <v>chr2</v>
      </c>
      <c r="C38" s="7">
        <f>IFERROR(__xludf.DUMMYFUNCTION("""COMPUTED_VALUE"""),6.8011847E7)</f>
        <v>68011847</v>
      </c>
      <c r="D38" s="8">
        <f>IFERROR(__xludf.DUMMYFUNCTION("""COMPUTED_VALUE"""),6.8012094E7)</f>
        <v>68012094</v>
      </c>
      <c r="E38" s="9" t="str">
        <f>IFERROR(__xludf.DUMMYFUNCTION("""COMPUTED_VALUE"""),"D2S441")</f>
        <v>D2S441</v>
      </c>
      <c r="F38" s="1">
        <f t="shared" si="1"/>
        <v>247</v>
      </c>
      <c r="G38" s="1" t="s">
        <v>108</v>
      </c>
      <c r="H38" s="10" t="b">
        <f t="shared" si="2"/>
        <v>1</v>
      </c>
      <c r="I38" s="15"/>
      <c r="J38" s="14"/>
      <c r="M38" s="8"/>
      <c r="N38" s="8"/>
    </row>
    <row r="39">
      <c r="A39" s="2" t="s">
        <v>109</v>
      </c>
      <c r="B39" s="2" t="str">
        <f>IFERROR(__xludf.DUMMYFUNCTION("SPLIT(A39, "": -"")"),"chr2")</f>
        <v>chr2</v>
      </c>
      <c r="C39" s="16">
        <f>IFERROR(__xludf.DUMMYFUNCTION("""COMPUTED_VALUE"""),1489553.0)</f>
        <v>1489553</v>
      </c>
      <c r="D39" s="16">
        <f>IFERROR(__xludf.DUMMYFUNCTION("""COMPUTED_VALUE"""),1489784.0)</f>
        <v>1489784</v>
      </c>
      <c r="E39" s="17" t="str">
        <f>IFERROR(__xludf.DUMMYFUNCTION("""COMPUTED_VALUE"""),"TPOX")</f>
        <v>TPOX</v>
      </c>
      <c r="F39" s="1">
        <f t="shared" si="1"/>
        <v>231</v>
      </c>
      <c r="G39" s="10" t="s">
        <v>110</v>
      </c>
      <c r="H39" s="10" t="b">
        <f t="shared" si="2"/>
        <v>1</v>
      </c>
      <c r="I39" s="14"/>
      <c r="J39" s="14"/>
    </row>
    <row r="40" hidden="1">
      <c r="A40" s="2" t="s">
        <v>111</v>
      </c>
      <c r="B40" s="2" t="str">
        <f>IFERROR(__xludf.DUMMYFUNCTION("SPLIT(A40, "": -"")"),"chr20")</f>
        <v>chr20</v>
      </c>
      <c r="C40" s="7">
        <f>IFERROR(__xludf.DUMMYFUNCTION("""COMPUTED_VALUE"""),3.4197403E7)</f>
        <v>34197403</v>
      </c>
      <c r="D40" s="8">
        <f>IFERROR(__xludf.DUMMYFUNCTION("""COMPUTED_VALUE"""),3.4197409E7)</f>
        <v>34197409</v>
      </c>
      <c r="E40" s="12" t="str">
        <f>IFERROR(__xludf.DUMMYFUNCTION("""COMPUTED_VALUE"""),"ASIP")</f>
        <v>ASIP</v>
      </c>
      <c r="F40" s="1">
        <f t="shared" si="1"/>
        <v>6</v>
      </c>
      <c r="H40" s="10" t="b">
        <f t="shared" si="2"/>
        <v>0</v>
      </c>
      <c r="M40" s="8"/>
      <c r="N40" s="8"/>
    </row>
    <row r="41">
      <c r="A41" s="2" t="s">
        <v>112</v>
      </c>
      <c r="B41" s="2" t="str">
        <f>IFERROR(__xludf.DUMMYFUNCTION("SPLIT(A41, "": -"")"),"chr20")</f>
        <v>chr20</v>
      </c>
      <c r="C41" s="7">
        <f>IFERROR(__xludf.DUMMYFUNCTION("""COMPUTED_VALUE"""),4525592.0)</f>
        <v>4525592</v>
      </c>
      <c r="D41" s="8">
        <f>IFERROR(__xludf.DUMMYFUNCTION("""COMPUTED_VALUE"""),4525847.0)</f>
        <v>4525847</v>
      </c>
      <c r="E41" s="9" t="str">
        <f>IFERROR(__xludf.DUMMYFUNCTION("""COMPUTED_VALUE"""),"D20S482")</f>
        <v>D20S482</v>
      </c>
      <c r="F41" s="1">
        <f t="shared" si="1"/>
        <v>255</v>
      </c>
      <c r="G41" s="22" t="s">
        <v>96</v>
      </c>
      <c r="H41" s="10" t="b">
        <f t="shared" si="2"/>
        <v>1</v>
      </c>
      <c r="I41" s="14"/>
      <c r="J41" s="14"/>
      <c r="M41" s="8"/>
      <c r="N41" s="8"/>
    </row>
    <row r="42" hidden="1">
      <c r="A42" s="2" t="s">
        <v>113</v>
      </c>
      <c r="B42" s="2" t="str">
        <f>IFERROR(__xludf.DUMMYFUNCTION("SPLIT(A42, "": -"")"),"chr20")</f>
        <v>chr20</v>
      </c>
      <c r="C42" s="16">
        <f>IFERROR(__xludf.DUMMYFUNCTION("""COMPUTED_VALUE"""),3.4077939E7)</f>
        <v>34077939</v>
      </c>
      <c r="D42" s="16">
        <f>IFERROR(__xludf.DUMMYFUNCTION("""COMPUTED_VALUE"""),3.4077945E7)</f>
        <v>34077945</v>
      </c>
      <c r="E42" s="18" t="str">
        <f>IFERROR(__xludf.DUMMYFUNCTION("""COMPUTED_VALUE"""),"RALY")</f>
        <v>RALY</v>
      </c>
      <c r="F42" s="1">
        <f t="shared" si="1"/>
        <v>6</v>
      </c>
      <c r="G42" s="23"/>
      <c r="H42" s="10" t="b">
        <f t="shared" si="2"/>
        <v>0</v>
      </c>
    </row>
    <row r="43">
      <c r="A43" s="2" t="s">
        <v>114</v>
      </c>
      <c r="B43" s="2" t="str">
        <f>IFERROR(__xludf.DUMMYFUNCTION("SPLIT(A43, "": -"")"),"chr21")</f>
        <v>chr21</v>
      </c>
      <c r="C43" s="7">
        <f>IFERROR(__xludf.DUMMYFUNCTION("""COMPUTED_VALUE"""),1.9181873E7)</f>
        <v>19181873</v>
      </c>
      <c r="D43" s="8">
        <f>IFERROR(__xludf.DUMMYFUNCTION("""COMPUTED_VALUE"""),1.9182199E7)</f>
        <v>19182199</v>
      </c>
      <c r="E43" s="9" t="str">
        <f>IFERROR(__xludf.DUMMYFUNCTION("""COMPUTED_VALUE"""),"D21S11")</f>
        <v>D21S11</v>
      </c>
      <c r="F43" s="1">
        <f t="shared" si="1"/>
        <v>326</v>
      </c>
      <c r="G43" s="23" t="s">
        <v>115</v>
      </c>
      <c r="H43" s="10" t="b">
        <f t="shared" si="2"/>
        <v>1</v>
      </c>
      <c r="I43" s="14"/>
      <c r="J43" s="14"/>
      <c r="M43" s="8"/>
      <c r="N43" s="8"/>
    </row>
    <row r="44">
      <c r="A44" s="2" t="s">
        <v>116</v>
      </c>
      <c r="B44" s="2" t="str">
        <f>IFERROR(__xludf.DUMMYFUNCTION("SPLIT(A44, "": -"")"),"chr21")</f>
        <v>chr21</v>
      </c>
      <c r="C44" s="16">
        <f>IFERROR(__xludf.DUMMYFUNCTION("""COMPUTED_VALUE"""),4.3636105E7)</f>
        <v>43636105</v>
      </c>
      <c r="D44" s="16">
        <f>IFERROR(__xludf.DUMMYFUNCTION("""COMPUTED_VALUE"""),4.3636369E7)</f>
        <v>43636369</v>
      </c>
      <c r="E44" s="17" t="str">
        <f>IFERROR(__xludf.DUMMYFUNCTION("""COMPUTED_VALUE"""),"PentaD")</f>
        <v>PentaD</v>
      </c>
      <c r="F44" s="1">
        <f t="shared" si="1"/>
        <v>264</v>
      </c>
      <c r="G44" s="23" t="s">
        <v>117</v>
      </c>
      <c r="H44" s="10" t="b">
        <f t="shared" si="2"/>
        <v>1</v>
      </c>
      <c r="I44" s="14"/>
      <c r="J44" s="14"/>
    </row>
    <row r="45" hidden="1">
      <c r="A45" s="2" t="s">
        <v>118</v>
      </c>
      <c r="B45" s="2" t="str">
        <f>IFERROR(__xludf.DUMMYFUNCTION("SPLIT(A45, "": -"")"),"chr22")</f>
        <v>chr22</v>
      </c>
      <c r="C45" s="7">
        <f>IFERROR(__xludf.DUMMYFUNCTION("""COMPUTED_VALUE"""),1.9963745E7)</f>
        <v>19963745</v>
      </c>
      <c r="D45" s="8">
        <f>IFERROR(__xludf.DUMMYFUNCTION("""COMPUTED_VALUE"""),1.9963751E7)</f>
        <v>19963751</v>
      </c>
      <c r="E45" s="12" t="str">
        <f>IFERROR(__xludf.DUMMYFUNCTION("""COMPUTED_VALUE"""),"COMT")</f>
        <v>COMT</v>
      </c>
      <c r="F45" s="1">
        <f t="shared" si="1"/>
        <v>6</v>
      </c>
      <c r="G45" s="23"/>
      <c r="H45" s="10" t="b">
        <f t="shared" si="2"/>
        <v>0</v>
      </c>
      <c r="M45" s="8"/>
      <c r="N45" s="8"/>
    </row>
    <row r="46">
      <c r="A46" s="2" t="s">
        <v>119</v>
      </c>
      <c r="B46" s="2" t="str">
        <f>IFERROR(__xludf.DUMMYFUNCTION("SPLIT(A46, "": -"")"),"chr22")</f>
        <v>chr22</v>
      </c>
      <c r="C46" s="7">
        <f>IFERROR(__xludf.DUMMYFUNCTION("""COMPUTED_VALUE"""),3.7140187E7)</f>
        <v>37140187</v>
      </c>
      <c r="D46" s="8">
        <f>IFERROR(__xludf.DUMMYFUNCTION("""COMPUTED_VALUE"""),3.7140437E7)</f>
        <v>37140437</v>
      </c>
      <c r="E46" s="9" t="str">
        <f>IFERROR(__xludf.DUMMYFUNCTION("""COMPUTED_VALUE"""),"D22S1045")</f>
        <v>D22S1045</v>
      </c>
      <c r="F46" s="1">
        <f t="shared" si="1"/>
        <v>250</v>
      </c>
      <c r="G46" s="23" t="s">
        <v>120</v>
      </c>
      <c r="H46" s="10" t="b">
        <f t="shared" si="2"/>
        <v>1</v>
      </c>
      <c r="I46" s="14"/>
      <c r="J46" s="14"/>
      <c r="M46" s="8"/>
      <c r="N46" s="8"/>
    </row>
    <row r="47">
      <c r="A47" s="2" t="s">
        <v>121</v>
      </c>
      <c r="B47" s="2" t="str">
        <f>IFERROR(__xludf.DUMMYFUNCTION("SPLIT(A47, "": -"")"),"chr3")</f>
        <v>chr3</v>
      </c>
      <c r="C47" s="7">
        <f>IFERROR(__xludf.DUMMYFUNCTION("""COMPUTED_VALUE"""),4.5540639E7)</f>
        <v>45540639</v>
      </c>
      <c r="D47" s="8">
        <f>IFERROR(__xludf.DUMMYFUNCTION("""COMPUTED_VALUE"""),4.5540902E7)</f>
        <v>45540902</v>
      </c>
      <c r="E47" s="9" t="str">
        <f>IFERROR(__xludf.DUMMYFUNCTION("""COMPUTED_VALUE"""),"D3S1358")</f>
        <v>D3S1358</v>
      </c>
      <c r="F47" s="1">
        <f t="shared" si="1"/>
        <v>263</v>
      </c>
      <c r="G47" s="23" t="s">
        <v>122</v>
      </c>
      <c r="H47" s="10" t="b">
        <f t="shared" si="2"/>
        <v>1</v>
      </c>
      <c r="I47" s="14"/>
      <c r="J47" s="14"/>
      <c r="M47" s="8"/>
      <c r="N47" s="8"/>
    </row>
    <row r="48">
      <c r="A48" s="2" t="s">
        <v>123</v>
      </c>
      <c r="B48" s="2" t="str">
        <f>IFERROR(__xludf.DUMMYFUNCTION("SPLIT(A48, "": -"")"),"chr3")</f>
        <v>chr3</v>
      </c>
      <c r="C48" s="7">
        <f>IFERROR(__xludf.DUMMYFUNCTION("""COMPUTED_VALUE"""),8.5803384E7)</f>
        <v>85803384</v>
      </c>
      <c r="D48" s="8">
        <f>IFERROR(__xludf.DUMMYFUNCTION("""COMPUTED_VALUE"""),8.5803631E7)</f>
        <v>85803631</v>
      </c>
      <c r="E48" s="12" t="str">
        <f>IFERROR(__xludf.DUMMYFUNCTION("""COMPUTED_VALUE"""),"D3S4529")</f>
        <v>D3S4529</v>
      </c>
      <c r="F48" s="1">
        <f t="shared" si="1"/>
        <v>247</v>
      </c>
      <c r="G48" s="24" t="s">
        <v>124</v>
      </c>
      <c r="H48" s="10" t="b">
        <f t="shared" si="2"/>
        <v>1</v>
      </c>
      <c r="I48" s="13" t="s">
        <v>91</v>
      </c>
      <c r="J48" s="25" t="s">
        <v>125</v>
      </c>
      <c r="M48" s="8"/>
      <c r="N48" s="8"/>
    </row>
    <row r="49" hidden="1">
      <c r="A49" s="2" t="s">
        <v>126</v>
      </c>
      <c r="B49" s="2" t="str">
        <f>IFERROR(__xludf.DUMMYFUNCTION("SPLIT(A49, "": -"")"),"chr4")</f>
        <v>chr4</v>
      </c>
      <c r="C49" s="7">
        <f>IFERROR(__xludf.DUMMYFUNCTION("""COMPUTED_VALUE"""),9.9318159E7)</f>
        <v>99318159</v>
      </c>
      <c r="D49" s="8">
        <f>IFERROR(__xludf.DUMMYFUNCTION("""COMPUTED_VALUE"""),9.9318165E7)</f>
        <v>99318165</v>
      </c>
      <c r="E49" s="12" t="str">
        <f>IFERROR(__xludf.DUMMYFUNCTION("""COMPUTED_VALUE"""),"ADH1B")</f>
        <v>ADH1B</v>
      </c>
      <c r="F49" s="1">
        <f t="shared" si="1"/>
        <v>6</v>
      </c>
      <c r="G49" s="23"/>
      <c r="H49" s="10" t="b">
        <f t="shared" si="2"/>
        <v>0</v>
      </c>
      <c r="I49" s="1"/>
      <c r="J49" s="1"/>
      <c r="K49" s="26" t="s">
        <v>127</v>
      </c>
      <c r="M49" s="8"/>
      <c r="N49" s="8"/>
    </row>
    <row r="50" hidden="1">
      <c r="A50" s="2" t="s">
        <v>128</v>
      </c>
      <c r="B50" s="2" t="str">
        <f>IFERROR(__xludf.DUMMYFUNCTION("SPLIT(A50, "": -"")"),"chr4")</f>
        <v>chr4</v>
      </c>
      <c r="C50" s="7">
        <f>IFERROR(__xludf.DUMMYFUNCTION("""COMPUTED_VALUE"""),9.9339629E7)</f>
        <v>99339629</v>
      </c>
      <c r="D50" s="8">
        <f>IFERROR(__xludf.DUMMYFUNCTION("""COMPUTED_VALUE"""),9.9339635E7)</f>
        <v>99339635</v>
      </c>
      <c r="E50" s="12" t="str">
        <f>IFERROR(__xludf.DUMMYFUNCTION("""COMPUTED_VALUE"""),"ADH1C")</f>
        <v>ADH1C</v>
      </c>
      <c r="F50" s="1">
        <f t="shared" si="1"/>
        <v>6</v>
      </c>
      <c r="G50" s="23"/>
      <c r="H50" s="10" t="b">
        <f t="shared" si="2"/>
        <v>0</v>
      </c>
      <c r="M50" s="8"/>
      <c r="N50" s="8"/>
    </row>
    <row r="51">
      <c r="A51" s="2" t="s">
        <v>129</v>
      </c>
      <c r="B51" s="2" t="str">
        <f>IFERROR(__xludf.DUMMYFUNCTION("SPLIT(A51, "": -"")"),"chr4")</f>
        <v>chr4</v>
      </c>
      <c r="C51" s="7">
        <f>IFERROR(__xludf.DUMMYFUNCTION("""COMPUTED_VALUE"""),3.1302698E7)</f>
        <v>31302698</v>
      </c>
      <c r="D51" s="8">
        <f>IFERROR(__xludf.DUMMYFUNCTION("""COMPUTED_VALUE"""),3.1302933E7)</f>
        <v>31302933</v>
      </c>
      <c r="E51" s="9" t="str">
        <f>IFERROR(__xludf.DUMMYFUNCTION("""COMPUTED_VALUE"""),"D4S2408")</f>
        <v>D4S2408</v>
      </c>
      <c r="F51" s="1">
        <f t="shared" si="1"/>
        <v>235</v>
      </c>
      <c r="G51" s="22" t="s">
        <v>105</v>
      </c>
      <c r="H51" s="10" t="b">
        <f t="shared" si="2"/>
        <v>1</v>
      </c>
      <c r="I51" s="14"/>
      <c r="J51" s="14"/>
      <c r="M51" s="8"/>
      <c r="N51" s="8"/>
    </row>
    <row r="52">
      <c r="A52" s="2" t="s">
        <v>130</v>
      </c>
      <c r="B52" s="2" t="str">
        <f>IFERROR(__xludf.DUMMYFUNCTION("SPLIT(A52, "": -"")"),"chr4")</f>
        <v>chr4</v>
      </c>
      <c r="C52" s="16">
        <f>IFERROR(__xludf.DUMMYFUNCTION("""COMPUTED_VALUE"""),1.54587636E8)</f>
        <v>154587636</v>
      </c>
      <c r="D52" s="16">
        <f>IFERROR(__xludf.DUMMYFUNCTION("""COMPUTED_VALUE"""),1.54587923E8)</f>
        <v>154587923</v>
      </c>
      <c r="E52" s="17" t="str">
        <f>IFERROR(__xludf.DUMMYFUNCTION("""COMPUTED_VALUE"""),"FGA")</f>
        <v>FGA</v>
      </c>
      <c r="F52" s="1">
        <f t="shared" si="1"/>
        <v>287</v>
      </c>
      <c r="G52" s="23" t="s">
        <v>131</v>
      </c>
      <c r="H52" s="10" t="b">
        <f t="shared" si="2"/>
        <v>1</v>
      </c>
      <c r="I52" s="14"/>
      <c r="J52" s="14"/>
    </row>
    <row r="53" hidden="1">
      <c r="A53" s="2" t="s">
        <v>132</v>
      </c>
      <c r="B53" s="2" t="str">
        <f>IFERROR(__xludf.DUMMYFUNCTION("SPLIT(A53, "": -"")"),"chr4")</f>
        <v>chr4</v>
      </c>
      <c r="C53" s="16">
        <f>IFERROR(__xludf.DUMMYFUNCTION("""COMPUTED_VALUE"""),4.6312573E7)</f>
        <v>46312573</v>
      </c>
      <c r="D53" s="16">
        <f>IFERROR(__xludf.DUMMYFUNCTION("""COMPUTED_VALUE"""),4.6312579E7)</f>
        <v>46312579</v>
      </c>
      <c r="E53" s="18" t="str">
        <f>IFERROR(__xludf.DUMMYFUNCTION("""COMPUTED_VALUE"""),"GABRA2")</f>
        <v>GABRA2</v>
      </c>
      <c r="F53" s="1">
        <f t="shared" si="1"/>
        <v>6</v>
      </c>
      <c r="H53" s="10" t="b">
        <f t="shared" si="2"/>
        <v>0</v>
      </c>
    </row>
    <row r="54">
      <c r="A54" s="27" t="s">
        <v>133</v>
      </c>
      <c r="B54" s="2" t="str">
        <f>IFERROR(__xludf.DUMMYFUNCTION("SPLIT(A54, "": -"")"),"chr5")</f>
        <v>chr5</v>
      </c>
      <c r="C54" s="7">
        <f>IFERROR(__xludf.DUMMYFUNCTION("""COMPUTED_VALUE"""),1.50076224E8)</f>
        <v>150076224</v>
      </c>
      <c r="D54" s="8">
        <f>IFERROR(__xludf.DUMMYFUNCTION("""COMPUTED_VALUE"""),1.50076475E8)</f>
        <v>150076475</v>
      </c>
      <c r="E54" s="9" t="str">
        <f>IFERROR(__xludf.DUMMYFUNCTION("""COMPUTED_VALUE"""),"CSF1PO")</f>
        <v>CSF1PO</v>
      </c>
      <c r="F54" s="1">
        <f t="shared" si="1"/>
        <v>251</v>
      </c>
      <c r="G54" s="10" t="s">
        <v>105</v>
      </c>
      <c r="H54" s="10" t="b">
        <f t="shared" si="2"/>
        <v>1</v>
      </c>
      <c r="I54" s="14"/>
      <c r="J54" s="14"/>
      <c r="M54" s="8"/>
      <c r="N54" s="8"/>
    </row>
    <row r="55">
      <c r="A55" s="2" t="s">
        <v>134</v>
      </c>
      <c r="B55" s="2" t="str">
        <f>IFERROR(__xludf.DUMMYFUNCTION("SPLIT(A55, "": -"")"),"chr5")</f>
        <v>chr5</v>
      </c>
      <c r="C55" s="7">
        <f>IFERROR(__xludf.DUMMYFUNCTION("""COMPUTED_VALUE"""),5.9401344E7)</f>
        <v>59401344</v>
      </c>
      <c r="D55" s="8">
        <f>IFERROR(__xludf.DUMMYFUNCTION("""COMPUTED_VALUE"""),5.9401587E7)</f>
        <v>59401587</v>
      </c>
      <c r="E55" s="28" t="str">
        <f>IFERROR(__xludf.DUMMYFUNCTION("""COMPUTED_VALUE"""),"D5S2500")</f>
        <v>D5S2500</v>
      </c>
      <c r="F55" s="1">
        <f t="shared" si="1"/>
        <v>243</v>
      </c>
      <c r="G55" s="10" t="s">
        <v>135</v>
      </c>
      <c r="H55" s="10" t="b">
        <f t="shared" si="2"/>
        <v>1</v>
      </c>
      <c r="I55" s="14"/>
      <c r="J55" s="14"/>
      <c r="M55" s="8"/>
      <c r="N55" s="8"/>
    </row>
    <row r="56">
      <c r="A56" s="2" t="s">
        <v>136</v>
      </c>
      <c r="B56" s="2" t="str">
        <f>IFERROR(__xludf.DUMMYFUNCTION("SPLIT(A56, "": -"")"),"chr5")</f>
        <v>chr5</v>
      </c>
      <c r="C56" s="7">
        <f>IFERROR(__xludf.DUMMYFUNCTION("""COMPUTED_VALUE"""),5.9403032E7)</f>
        <v>59403032</v>
      </c>
      <c r="D56" s="8">
        <f>IFERROR(__xludf.DUMMYFUNCTION("""COMPUTED_VALUE"""),5.9403299E7)</f>
        <v>59403299</v>
      </c>
      <c r="E56" s="12" t="str">
        <f>IFERROR(__xludf.DUMMYFUNCTION("""COMPUTED_VALUE"""),"D5S2800")</f>
        <v>D5S2800</v>
      </c>
      <c r="F56" s="1">
        <f t="shared" si="1"/>
        <v>267</v>
      </c>
      <c r="G56" s="10" t="s">
        <v>137</v>
      </c>
      <c r="H56" s="10" t="b">
        <f t="shared" si="2"/>
        <v>1</v>
      </c>
      <c r="I56" s="13" t="s">
        <v>137</v>
      </c>
      <c r="J56" s="13" t="s">
        <v>138</v>
      </c>
      <c r="M56" s="8"/>
      <c r="N56" s="8"/>
    </row>
    <row r="57">
      <c r="A57" s="2" t="s">
        <v>139</v>
      </c>
      <c r="B57" s="2" t="str">
        <f>IFERROR(__xludf.DUMMYFUNCTION("SPLIT(A57, "": -"")"),"chr5")</f>
        <v>chr5</v>
      </c>
      <c r="C57" s="7">
        <f>IFERROR(__xludf.DUMMYFUNCTION("""COMPUTED_VALUE"""),1.23775456E8)</f>
        <v>123775456</v>
      </c>
      <c r="D57" s="8">
        <f>IFERROR(__xludf.DUMMYFUNCTION("""COMPUTED_VALUE"""),1.23775699E8)</f>
        <v>123775699</v>
      </c>
      <c r="E57" s="9" t="str">
        <f>IFERROR(__xludf.DUMMYFUNCTION("""COMPUTED_VALUE"""),"D5S818")</f>
        <v>D5S818</v>
      </c>
      <c r="F57" s="1">
        <f t="shared" si="1"/>
        <v>243</v>
      </c>
      <c r="G57" s="10" t="s">
        <v>105</v>
      </c>
      <c r="H57" s="10" t="b">
        <f t="shared" si="2"/>
        <v>1</v>
      </c>
      <c r="I57" s="14"/>
      <c r="J57" s="15"/>
      <c r="M57" s="8"/>
      <c r="N57" s="8"/>
    </row>
    <row r="58" hidden="1">
      <c r="A58" s="2" t="s">
        <v>140</v>
      </c>
      <c r="B58" s="2" t="str">
        <f>IFERROR(__xludf.DUMMYFUNCTION("SPLIT(A58, "": -"")"),"chr5")</f>
        <v>chr5</v>
      </c>
      <c r="C58" s="16">
        <f>IFERROR(__xludf.DUMMYFUNCTION("""COMPUTED_VALUE"""),3.3951585E7)</f>
        <v>33951585</v>
      </c>
      <c r="D58" s="16">
        <f>IFERROR(__xludf.DUMMYFUNCTION("""COMPUTED_VALUE"""),3.3951591E7)</f>
        <v>33951591</v>
      </c>
      <c r="E58" s="18" t="str">
        <f>IFERROR(__xludf.DUMMYFUNCTION("""COMPUTED_VALUE"""),"SLC45A22")</f>
        <v>SLC45A22</v>
      </c>
      <c r="F58" s="1">
        <f t="shared" si="1"/>
        <v>6</v>
      </c>
      <c r="H58" s="10" t="b">
        <f t="shared" si="2"/>
        <v>0</v>
      </c>
    </row>
    <row r="59">
      <c r="A59" s="2" t="s">
        <v>141</v>
      </c>
      <c r="B59" s="2" t="str">
        <f>IFERROR(__xludf.DUMMYFUNCTION("SPLIT(A59, "": -"")"),"chr6")</f>
        <v>chr6</v>
      </c>
      <c r="C59" s="7">
        <f>IFERROR(__xludf.DUMMYFUNCTION("""COMPUTED_VALUE"""),9.1740125E7)</f>
        <v>91740125</v>
      </c>
      <c r="D59" s="8">
        <f>IFERROR(__xludf.DUMMYFUNCTION("""COMPUTED_VALUE"""),9.1740372E7)</f>
        <v>91740372</v>
      </c>
      <c r="E59" s="9" t="str">
        <f>IFERROR(__xludf.DUMMYFUNCTION("""COMPUTED_VALUE"""),"D6S1043")</f>
        <v>D6S1043</v>
      </c>
      <c r="F59" s="1">
        <f t="shared" si="1"/>
        <v>247</v>
      </c>
      <c r="G59" t="s">
        <v>142</v>
      </c>
      <c r="H59" s="10" t="b">
        <f t="shared" si="2"/>
        <v>1</v>
      </c>
      <c r="I59" s="14"/>
      <c r="J59" s="14"/>
      <c r="M59" s="8"/>
      <c r="N59" s="8"/>
    </row>
    <row r="60">
      <c r="A60" s="2" t="s">
        <v>143</v>
      </c>
      <c r="B60" s="2" t="str">
        <f>IFERROR(__xludf.DUMMYFUNCTION("SPLIT(A60, "": -"")"),"chr6")</f>
        <v>chr6</v>
      </c>
      <c r="C60" s="7">
        <f>IFERROR(__xludf.DUMMYFUNCTION("""COMPUTED_VALUE"""),1.12557851E8)</f>
        <v>112557851</v>
      </c>
      <c r="D60" s="8">
        <f>IFERROR(__xludf.DUMMYFUNCTION("""COMPUTED_VALUE"""),1.12558118E8)</f>
        <v>112558118</v>
      </c>
      <c r="E60" s="12" t="str">
        <f>IFERROR(__xludf.DUMMYFUNCTION("""COMPUTED_VALUE"""),"D6S474")</f>
        <v>D6S474</v>
      </c>
      <c r="F60" s="1">
        <f t="shared" si="1"/>
        <v>267</v>
      </c>
      <c r="G60" s="29" t="s">
        <v>144</v>
      </c>
      <c r="H60" s="10" t="b">
        <f t="shared" si="2"/>
        <v>1</v>
      </c>
      <c r="I60" s="25" t="s">
        <v>145</v>
      </c>
      <c r="J60" s="25" t="s">
        <v>146</v>
      </c>
      <c r="M60" s="8"/>
      <c r="N60" s="8"/>
    </row>
    <row r="61" hidden="1">
      <c r="A61" s="2" t="s">
        <v>147</v>
      </c>
      <c r="B61" s="2" t="str">
        <f>IFERROR(__xludf.DUMMYFUNCTION("SPLIT(A61, "": -"")"),"chr6")</f>
        <v>chr6</v>
      </c>
      <c r="C61" s="16">
        <f>IFERROR(__xludf.DUMMYFUNCTION("""COMPUTED_VALUE"""),1.54039659E8)</f>
        <v>154039659</v>
      </c>
      <c r="D61" s="16">
        <f>IFERROR(__xludf.DUMMYFUNCTION("""COMPUTED_VALUE"""),1.54039665E8)</f>
        <v>154039665</v>
      </c>
      <c r="E61" s="18" t="str">
        <f>IFERROR(__xludf.DUMMYFUNCTION("""COMPUTED_VALUE"""),"OPRM1")</f>
        <v>OPRM1</v>
      </c>
      <c r="F61" s="1">
        <f t="shared" si="1"/>
        <v>6</v>
      </c>
      <c r="H61" s="10" t="b">
        <f t="shared" si="2"/>
        <v>0</v>
      </c>
    </row>
    <row r="62">
      <c r="A62" s="2" t="s">
        <v>148</v>
      </c>
      <c r="B62" s="2" t="str">
        <f>IFERROR(__xludf.DUMMYFUNCTION("SPLIT(A62, "": -"")"),"chr6")</f>
        <v>chr6</v>
      </c>
      <c r="C62" s="16">
        <f>IFERROR(__xludf.DUMMYFUNCTION("""COMPUTED_VALUE"""),8.8277044E7)</f>
        <v>88277044</v>
      </c>
      <c r="D62" s="16">
        <f>IFERROR(__xludf.DUMMYFUNCTION("""COMPUTED_VALUE"""),8.8277445E7)</f>
        <v>88277445</v>
      </c>
      <c r="E62" s="17" t="str">
        <f>IFERROR(__xludf.DUMMYFUNCTION("""COMPUTED_VALUE"""),"SE33")</f>
        <v>SE33</v>
      </c>
      <c r="F62" s="1">
        <f t="shared" si="1"/>
        <v>401</v>
      </c>
      <c r="G62" s="10" t="s">
        <v>149</v>
      </c>
      <c r="H62" s="10" t="b">
        <f t="shared" si="2"/>
        <v>1</v>
      </c>
      <c r="I62" s="14"/>
      <c r="J62" s="14"/>
    </row>
    <row r="63">
      <c r="A63" s="2" t="s">
        <v>150</v>
      </c>
      <c r="B63" s="2" t="str">
        <f>IFERROR(__xludf.DUMMYFUNCTION("SPLIT(A63, "": -"")"),"chr7")</f>
        <v>chr7</v>
      </c>
      <c r="C63" s="7">
        <f>IFERROR(__xludf.DUMMYFUNCTION("""COMPUTED_VALUE"""),8.4160126E7)</f>
        <v>84160126</v>
      </c>
      <c r="D63" s="8">
        <f>IFERROR(__xludf.DUMMYFUNCTION("""COMPUTED_VALUE"""),8.4160377E7)</f>
        <v>84160377</v>
      </c>
      <c r="E63" s="9" t="str">
        <f>IFERROR(__xludf.DUMMYFUNCTION("""COMPUTED_VALUE"""),"D7S820")</f>
        <v>D7S820</v>
      </c>
      <c r="F63" s="1">
        <f t="shared" si="1"/>
        <v>251</v>
      </c>
      <c r="G63" s="10" t="s">
        <v>70</v>
      </c>
      <c r="H63" s="10" t="b">
        <f t="shared" si="2"/>
        <v>1</v>
      </c>
      <c r="I63" s="14"/>
      <c r="J63" s="14"/>
      <c r="M63" s="8"/>
      <c r="N63" s="8"/>
    </row>
    <row r="64">
      <c r="A64" s="2" t="s">
        <v>151</v>
      </c>
      <c r="B64" s="2" t="str">
        <f>IFERROR(__xludf.DUMMYFUNCTION("SPLIT(A64, "": -"")"),"chr8")</f>
        <v>chr8</v>
      </c>
      <c r="C64" s="7">
        <f>IFERROR(__xludf.DUMMYFUNCTION("""COMPUTED_VALUE"""),1.24894765E8)</f>
        <v>124894765</v>
      </c>
      <c r="D64" s="8">
        <f>IFERROR(__xludf.DUMMYFUNCTION("""COMPUTED_VALUE"""),1.24895016E8)</f>
        <v>124895016</v>
      </c>
      <c r="E64" s="9" t="str">
        <f>IFERROR(__xludf.DUMMYFUNCTION("""COMPUTED_VALUE"""),"D8S1179")</f>
        <v>D8S1179</v>
      </c>
      <c r="F64" s="1">
        <f t="shared" si="1"/>
        <v>251</v>
      </c>
      <c r="G64" s="10" t="s">
        <v>122</v>
      </c>
      <c r="H64" s="10" t="b">
        <f t="shared" si="2"/>
        <v>1</v>
      </c>
      <c r="I64" s="14"/>
      <c r="J64" s="14"/>
      <c r="M64" s="8"/>
      <c r="N64" s="8"/>
    </row>
    <row r="65" hidden="1">
      <c r="A65" s="2" t="s">
        <v>152</v>
      </c>
      <c r="B65" s="2" t="str">
        <f>IFERROR(__xludf.DUMMYFUNCTION("SPLIT(A65, "": -"")"),"chr9")</f>
        <v>chr9</v>
      </c>
      <c r="C65" s="7">
        <f>IFERROR(__xludf.DUMMYFUNCTION("""COMPUTED_VALUE"""),1.6858083E7)</f>
        <v>16858083</v>
      </c>
      <c r="D65" s="8">
        <f>IFERROR(__xludf.DUMMYFUNCTION("""COMPUTED_VALUE"""),1.6858089E7)</f>
        <v>16858089</v>
      </c>
      <c r="E65" s="12" t="str">
        <f>IFERROR(__xludf.DUMMYFUNCTION("""COMPUTED_VALUE"""),"BNC2")</f>
        <v>BNC2</v>
      </c>
      <c r="F65" s="1">
        <f t="shared" si="1"/>
        <v>6</v>
      </c>
      <c r="H65" s="10" t="b">
        <f t="shared" si="2"/>
        <v>0</v>
      </c>
      <c r="M65" s="8"/>
      <c r="N65" s="8"/>
    </row>
    <row r="66">
      <c r="A66" s="2" t="s">
        <v>153</v>
      </c>
      <c r="B66" s="2" t="str">
        <f>IFERROR(__xludf.DUMMYFUNCTION("SPLIT(A66, "": -"")"),"chr9")</f>
        <v>chr9</v>
      </c>
      <c r="C66" s="7">
        <f>IFERROR(__xludf.DUMMYFUNCTION("""COMPUTED_VALUE"""),7.7073726E7)</f>
        <v>77073726</v>
      </c>
      <c r="D66" s="8">
        <f>IFERROR(__xludf.DUMMYFUNCTION("""COMPUTED_VALUE"""),7.7073973E7)</f>
        <v>77073973</v>
      </c>
      <c r="E66" s="9" t="str">
        <f>IFERROR(__xludf.DUMMYFUNCTION("""COMPUTED_VALUE"""),"D9S1122")</f>
        <v>D9S1122</v>
      </c>
      <c r="F66" s="1">
        <f t="shared" si="1"/>
        <v>247</v>
      </c>
      <c r="G66" s="1" t="s">
        <v>154</v>
      </c>
      <c r="H66" s="10" t="b">
        <f t="shared" si="2"/>
        <v>1</v>
      </c>
      <c r="I66" s="14"/>
      <c r="J66" s="14"/>
      <c r="M66" s="8"/>
      <c r="N66" s="8"/>
    </row>
    <row r="67">
      <c r="A67" s="2" t="s">
        <v>155</v>
      </c>
      <c r="B67" s="2" t="str">
        <f>IFERROR(__xludf.DUMMYFUNCTION("SPLIT(A67, "": -"")"),"chr9")</f>
        <v>chr9</v>
      </c>
      <c r="C67" s="7">
        <f>IFERROR(__xludf.DUMMYFUNCTION("""COMPUTED_VALUE"""),1.33160182E8)</f>
        <v>133160182</v>
      </c>
      <c r="D67" s="8">
        <f>IFERROR(__xludf.DUMMYFUNCTION("""COMPUTED_VALUE"""),1.33160411E8)</f>
        <v>133160411</v>
      </c>
      <c r="E67" s="30" t="str">
        <f>IFERROR(__xludf.DUMMYFUNCTION("""COMPUTED_VALUE"""),"D9S2157")</f>
        <v>D9S2157</v>
      </c>
      <c r="F67" s="1">
        <f t="shared" si="1"/>
        <v>229</v>
      </c>
      <c r="G67" s="31" t="s">
        <v>156</v>
      </c>
      <c r="H67" s="10" t="b">
        <f t="shared" si="2"/>
        <v>1</v>
      </c>
      <c r="I67" s="14"/>
      <c r="J67" s="14"/>
      <c r="M67" s="8"/>
      <c r="N67" s="8"/>
    </row>
    <row r="68">
      <c r="A68" s="2" t="s">
        <v>157</v>
      </c>
      <c r="B68" s="2" t="str">
        <f>IFERROR(__xludf.DUMMYFUNCTION("SPLIT(A68, "": -"")"),"chrX")</f>
        <v>chrX</v>
      </c>
      <c r="C68" s="7">
        <f>IFERROR(__xludf.DUMMYFUNCTION("""COMPUTED_VALUE"""),6.7757245E7)</f>
        <v>67757245</v>
      </c>
      <c r="D68" s="8">
        <f>IFERROR(__xludf.DUMMYFUNCTION("""COMPUTED_VALUE"""),6.77575E7)</f>
        <v>67757500</v>
      </c>
      <c r="E68" s="9" t="str">
        <f>IFERROR(__xludf.DUMMYFUNCTION("""COMPUTED_VALUE"""),"DXS10074")</f>
        <v>DXS10074</v>
      </c>
      <c r="F68" s="1">
        <f t="shared" si="1"/>
        <v>255</v>
      </c>
      <c r="G68" s="21" t="s">
        <v>158</v>
      </c>
      <c r="H68" s="10" t="b">
        <f t="shared" si="2"/>
        <v>1</v>
      </c>
      <c r="I68" s="15"/>
      <c r="J68" s="14"/>
      <c r="M68" s="8"/>
      <c r="N68" s="8"/>
    </row>
    <row r="69">
      <c r="A69" s="2" t="s">
        <v>159</v>
      </c>
      <c r="B69" s="2" t="str">
        <f>IFERROR(__xludf.DUMMYFUNCTION("SPLIT(A69, "": -"")"),"chrX")</f>
        <v>chrX</v>
      </c>
      <c r="C69" s="7">
        <f>IFERROR(__xludf.DUMMYFUNCTION("""COMPUTED_VALUE"""),6.7778284E7)</f>
        <v>67778284</v>
      </c>
      <c r="D69" s="8">
        <f>IFERROR(__xludf.DUMMYFUNCTION("""COMPUTED_VALUE"""),6.7778554E7)</f>
        <v>67778554</v>
      </c>
      <c r="E69" s="12" t="str">
        <f>IFERROR(__xludf.DUMMYFUNCTION("""COMPUTED_VALUE"""),"DXS10075")</f>
        <v>DXS10075</v>
      </c>
      <c r="F69" s="1">
        <f t="shared" si="1"/>
        <v>270</v>
      </c>
      <c r="G69" s="32"/>
      <c r="H69" s="10" t="b">
        <f t="shared" si="2"/>
        <v>1</v>
      </c>
      <c r="I69" s="33" t="s">
        <v>96</v>
      </c>
      <c r="J69" s="25" t="s">
        <v>160</v>
      </c>
      <c r="M69" s="8"/>
      <c r="N69" s="8"/>
    </row>
    <row r="70">
      <c r="A70" s="2" t="s">
        <v>161</v>
      </c>
      <c r="B70" s="2" t="str">
        <f>IFERROR(__xludf.DUMMYFUNCTION("SPLIT(A70, "": -"")"),"chrX")</f>
        <v>chrX</v>
      </c>
      <c r="C70" s="7">
        <f>IFERROR(__xludf.DUMMYFUNCTION("""COMPUTED_VALUE"""),6.7495981E7)</f>
        <v>67495981</v>
      </c>
      <c r="D70" s="8">
        <f>IFERROR(__xludf.DUMMYFUNCTION("""COMPUTED_VALUE"""),6.7496264E7)</f>
        <v>67496264</v>
      </c>
      <c r="E70" s="12" t="str">
        <f>IFERROR(__xludf.DUMMYFUNCTION("""COMPUTED_VALUE"""),"DXS10079")</f>
        <v>DXS10079</v>
      </c>
      <c r="F70" s="1">
        <f t="shared" si="1"/>
        <v>283</v>
      </c>
      <c r="G70" s="21" t="s">
        <v>162</v>
      </c>
      <c r="H70" s="10" t="b">
        <f t="shared" si="2"/>
        <v>1</v>
      </c>
      <c r="I70" s="13" t="s">
        <v>162</v>
      </c>
      <c r="J70" s="34" t="s">
        <v>163</v>
      </c>
      <c r="K70" s="1" t="s">
        <v>164</v>
      </c>
      <c r="M70" s="8"/>
      <c r="N70" s="8"/>
    </row>
    <row r="71">
      <c r="A71" s="2" t="s">
        <v>165</v>
      </c>
      <c r="B71" s="2" t="str">
        <f>IFERROR(__xludf.DUMMYFUNCTION("SPLIT(A71, "": -"")"),"chrX")</f>
        <v>chrX</v>
      </c>
      <c r="C71" s="7">
        <f>IFERROR(__xludf.DUMMYFUNCTION("""COMPUTED_VALUE"""),1.34520385E8)</f>
        <v>134520385</v>
      </c>
      <c r="D71" s="8">
        <f>IFERROR(__xludf.DUMMYFUNCTION("""COMPUTED_VALUE"""),1.34520719E8)</f>
        <v>134520719</v>
      </c>
      <c r="E71" s="12" t="str">
        <f>IFERROR(__xludf.DUMMYFUNCTION("""COMPUTED_VALUE"""),"DXS10101")</f>
        <v>DXS10101</v>
      </c>
      <c r="F71" s="1">
        <f t="shared" si="1"/>
        <v>334</v>
      </c>
      <c r="G71" s="21" t="s">
        <v>166</v>
      </c>
      <c r="H71" s="10" t="b">
        <f t="shared" si="2"/>
        <v>1</v>
      </c>
      <c r="I71" s="19" t="s">
        <v>167</v>
      </c>
      <c r="J71" s="19" t="s">
        <v>168</v>
      </c>
      <c r="M71" s="8"/>
      <c r="N71" s="8"/>
    </row>
    <row r="72">
      <c r="A72" s="2" t="s">
        <v>169</v>
      </c>
      <c r="B72" s="2" t="str">
        <f>IFERROR(__xludf.DUMMYFUNCTION("SPLIT(A72, "": -"")"),"chrX")</f>
        <v>chrX</v>
      </c>
      <c r="C72" s="7">
        <f>IFERROR(__xludf.DUMMYFUNCTION("""COMPUTED_VALUE"""),1.34284859E8)</f>
        <v>134284859</v>
      </c>
      <c r="D72" s="8">
        <f>IFERROR(__xludf.DUMMYFUNCTION("""COMPUTED_VALUE"""),1.34285138E8)</f>
        <v>134285138</v>
      </c>
      <c r="E72" s="9" t="str">
        <f>IFERROR(__xludf.DUMMYFUNCTION("""COMPUTED_VALUE"""),"DXS10103")</f>
        <v>DXS10103</v>
      </c>
      <c r="F72" s="1">
        <f t="shared" si="1"/>
        <v>279</v>
      </c>
      <c r="G72" s="21" t="s">
        <v>170</v>
      </c>
      <c r="H72" s="10" t="b">
        <f t="shared" si="2"/>
        <v>1</v>
      </c>
      <c r="I72" s="35"/>
      <c r="J72" s="14"/>
      <c r="M72" s="8"/>
      <c r="N72" s="8"/>
    </row>
    <row r="73">
      <c r="A73" s="2" t="s">
        <v>171</v>
      </c>
      <c r="B73" s="2" t="str">
        <f>IFERROR(__xludf.DUMMYFUNCTION("SPLIT(A73, "": -"")"),"chrX")</f>
        <v>chrX</v>
      </c>
      <c r="C73" s="7">
        <f>IFERROR(__xludf.DUMMYFUNCTION("""COMPUTED_VALUE"""),1.50481746E8)</f>
        <v>150481746</v>
      </c>
      <c r="D73" s="8">
        <f>IFERROR(__xludf.DUMMYFUNCTION("""COMPUTED_VALUE"""),1.50482131E8)</f>
        <v>150482131</v>
      </c>
      <c r="E73" s="12" t="str">
        <f>IFERROR(__xludf.DUMMYFUNCTION("""COMPUTED_VALUE"""),"DXS10134")</f>
        <v>DXS10134</v>
      </c>
      <c r="F73" s="1">
        <f t="shared" si="1"/>
        <v>385</v>
      </c>
      <c r="G73" s="21" t="s">
        <v>172</v>
      </c>
      <c r="H73" s="10" t="b">
        <f t="shared" si="2"/>
        <v>1</v>
      </c>
      <c r="I73" s="20" t="s">
        <v>173</v>
      </c>
      <c r="J73" s="13" t="s">
        <v>174</v>
      </c>
      <c r="M73" s="8"/>
      <c r="N73" s="8"/>
    </row>
    <row r="74">
      <c r="A74" s="2" t="s">
        <v>175</v>
      </c>
      <c r="B74" s="2" t="str">
        <f>IFERROR(__xludf.DUMMYFUNCTION("SPLIT(A74, "": -"")"),"chrX")</f>
        <v>chrX</v>
      </c>
      <c r="C74" s="7">
        <f>IFERROR(__xludf.DUMMYFUNCTION("""COMPUTED_VALUE"""),9338202.0)</f>
        <v>9338202</v>
      </c>
      <c r="D74" s="8">
        <f>IFERROR(__xludf.DUMMYFUNCTION("""COMPUTED_VALUE"""),9338500.0)</f>
        <v>9338500</v>
      </c>
      <c r="E74" s="9" t="str">
        <f>IFERROR(__xludf.DUMMYFUNCTION("""COMPUTED_VALUE"""),"DXS10135")</f>
        <v>DXS10135</v>
      </c>
      <c r="F74" s="1">
        <f t="shared" si="1"/>
        <v>298</v>
      </c>
      <c r="G74" s="21" t="s">
        <v>176</v>
      </c>
      <c r="H74" s="10" t="b">
        <f t="shared" si="2"/>
        <v>1</v>
      </c>
      <c r="I74" s="35"/>
      <c r="J74" s="14"/>
      <c r="M74" s="8"/>
      <c r="N74" s="8"/>
    </row>
    <row r="75">
      <c r="A75" s="2" t="s">
        <v>177</v>
      </c>
      <c r="B75" s="2" t="str">
        <f>IFERROR(__xludf.DUMMYFUNCTION("SPLIT(A75, "": -"")"),"chrX")</f>
        <v>chrX</v>
      </c>
      <c r="C75" s="7">
        <f>IFERROR(__xludf.DUMMYFUNCTION("""COMPUTED_VALUE"""),1.50403832E8)</f>
        <v>150403832</v>
      </c>
      <c r="D75" s="8">
        <f>IFERROR(__xludf.DUMMYFUNCTION("""COMPUTED_VALUE"""),1.50404165E8)</f>
        <v>150404165</v>
      </c>
      <c r="E75" s="12" t="str">
        <f>IFERROR(__xludf.DUMMYFUNCTION("""COMPUTED_VALUE"""),"DXS10146")</f>
        <v>DXS10146</v>
      </c>
      <c r="F75" s="1">
        <f t="shared" si="1"/>
        <v>333</v>
      </c>
      <c r="G75" s="21" t="s">
        <v>178</v>
      </c>
      <c r="H75" s="10" t="b">
        <f t="shared" si="2"/>
        <v>1</v>
      </c>
      <c r="I75" s="33" t="s">
        <v>179</v>
      </c>
      <c r="J75" s="25" t="s">
        <v>180</v>
      </c>
      <c r="M75" s="8"/>
      <c r="N75" s="8"/>
    </row>
    <row r="76">
      <c r="A76" s="2" t="s">
        <v>181</v>
      </c>
      <c r="B76" s="2" t="str">
        <f>IFERROR(__xludf.DUMMYFUNCTION("SPLIT(A76, "": -"")"),"chrX")</f>
        <v>chrX</v>
      </c>
      <c r="C76" s="7">
        <f>IFERROR(__xludf.DUMMYFUNCTION("""COMPUTED_VALUE"""),1.50495107E8)</f>
        <v>150495107</v>
      </c>
      <c r="D76" s="8">
        <f>IFERROR(__xludf.DUMMYFUNCTION("""COMPUTED_VALUE"""),1.50495334E8)</f>
        <v>150495334</v>
      </c>
      <c r="E76" s="12" t="str">
        <f>IFERROR(__xludf.DUMMYFUNCTION("""COMPUTED_VALUE"""),"DXS10147")</f>
        <v>DXS10147</v>
      </c>
      <c r="F76" s="1">
        <f t="shared" si="1"/>
        <v>227</v>
      </c>
      <c r="G76" s="36"/>
      <c r="H76" s="10" t="b">
        <f t="shared" si="2"/>
        <v>1</v>
      </c>
      <c r="I76" s="33" t="s">
        <v>182</v>
      </c>
      <c r="J76" s="25" t="s">
        <v>183</v>
      </c>
      <c r="M76" s="8"/>
      <c r="N76" s="8"/>
    </row>
    <row r="77">
      <c r="A77" s="2" t="s">
        <v>184</v>
      </c>
      <c r="B77" s="2" t="str">
        <f>IFERROR(__xludf.DUMMYFUNCTION("SPLIT(A77, "": -"")"),"chrX")</f>
        <v>chrX</v>
      </c>
      <c r="C77" s="16">
        <f>IFERROR(__xludf.DUMMYFUNCTION("""COMPUTED_VALUE"""),9270838.0)</f>
        <v>9270838</v>
      </c>
      <c r="D77" s="16">
        <f>IFERROR(__xludf.DUMMYFUNCTION("""COMPUTED_VALUE"""),9271133.0)</f>
        <v>9271133</v>
      </c>
      <c r="E77" s="18" t="str">
        <f>IFERROR(__xludf.DUMMYFUNCTION("""COMPUTED_VALUE"""),"DXS10148")</f>
        <v>DXS10148</v>
      </c>
      <c r="F77" s="1">
        <f t="shared" si="1"/>
        <v>295</v>
      </c>
      <c r="G77" s="21" t="s">
        <v>185</v>
      </c>
      <c r="H77" s="10" t="b">
        <f t="shared" si="2"/>
        <v>1</v>
      </c>
      <c r="I77" s="19" t="s">
        <v>186</v>
      </c>
      <c r="J77" s="14"/>
    </row>
    <row r="78">
      <c r="A78" s="2" t="s">
        <v>187</v>
      </c>
      <c r="B78" s="2" t="str">
        <f>IFERROR(__xludf.DUMMYFUNCTION("SPLIT(A78, "": -"")"),"chrX")</f>
        <v>chrX</v>
      </c>
      <c r="C78" s="16">
        <f>IFERROR(__xludf.DUMMYFUNCTION("""COMPUTED_VALUE"""),6.5435547E7)</f>
        <v>65435547</v>
      </c>
      <c r="D78" s="16">
        <f>IFERROR(__xludf.DUMMYFUNCTION("""COMPUTED_VALUE"""),6.5435802E7)</f>
        <v>65435802</v>
      </c>
      <c r="E78" s="17" t="str">
        <f>IFERROR(__xludf.DUMMYFUNCTION("""COMPUTED_VALUE"""),"DXS7132")</f>
        <v>DXS7132</v>
      </c>
      <c r="F78" s="1">
        <f t="shared" si="1"/>
        <v>255</v>
      </c>
      <c r="G78" s="21" t="s">
        <v>188</v>
      </c>
      <c r="H78" s="10" t="b">
        <f t="shared" si="2"/>
        <v>1</v>
      </c>
      <c r="I78" s="35"/>
      <c r="J78" s="14"/>
    </row>
    <row r="79">
      <c r="A79" s="2" t="s">
        <v>189</v>
      </c>
      <c r="B79" s="2" t="str">
        <f>IFERROR(__xludf.DUMMYFUNCTION("SPLIT(A79, "": -"")"),"chrX")</f>
        <v>chrX</v>
      </c>
      <c r="C79" s="16">
        <f>IFERROR(__xludf.DUMMYFUNCTION("""COMPUTED_VALUE"""),1.09798234E8)</f>
        <v>109798234</v>
      </c>
      <c r="D79" s="16">
        <f>IFERROR(__xludf.DUMMYFUNCTION("""COMPUTED_VALUE"""),1.09798477E8)</f>
        <v>109798477</v>
      </c>
      <c r="E79" s="18" t="str">
        <f>IFERROR(__xludf.DUMMYFUNCTION("""COMPUTED_VALUE"""),"DXS7133")</f>
        <v>DXS7133</v>
      </c>
      <c r="F79" s="1">
        <f t="shared" si="1"/>
        <v>243</v>
      </c>
      <c r="G79" s="37"/>
      <c r="H79" s="10" t="b">
        <f t="shared" si="2"/>
        <v>1</v>
      </c>
      <c r="I79" s="33" t="s">
        <v>190</v>
      </c>
      <c r="J79" s="25" t="s">
        <v>135</v>
      </c>
    </row>
    <row r="80">
      <c r="A80" s="2" t="s">
        <v>191</v>
      </c>
      <c r="B80" s="2" t="str">
        <f>IFERROR(__xludf.DUMMYFUNCTION("SPLIT(A80, "": -"")"),"chrX")</f>
        <v>chrX</v>
      </c>
      <c r="C80" s="16">
        <f>IFERROR(__xludf.DUMMYFUNCTION("""COMPUTED_VALUE"""),1.50542422E8)</f>
        <v>150542422</v>
      </c>
      <c r="D80" s="16">
        <f>IFERROR(__xludf.DUMMYFUNCTION("""COMPUTED_VALUE"""),1.50542689E8)</f>
        <v>150542689</v>
      </c>
      <c r="E80" s="17" t="str">
        <f>IFERROR(__xludf.DUMMYFUNCTION("""COMPUTED_VALUE"""),"DXS7423")</f>
        <v>DXS7423</v>
      </c>
      <c r="F80" s="1">
        <f t="shared" si="1"/>
        <v>267</v>
      </c>
      <c r="G80" s="10" t="s">
        <v>192</v>
      </c>
      <c r="H80" s="10" t="b">
        <f t="shared" si="2"/>
        <v>1</v>
      </c>
      <c r="I80" s="35"/>
      <c r="J80" s="14"/>
    </row>
    <row r="81">
      <c r="A81" s="2" t="s">
        <v>193</v>
      </c>
      <c r="B81" s="2" t="str">
        <f>IFERROR(__xludf.DUMMYFUNCTION("SPLIT(A81, "": -"")"),"chrX")</f>
        <v>chrX</v>
      </c>
      <c r="C81" s="16">
        <f>IFERROR(__xludf.DUMMYFUNCTION("""COMPUTED_VALUE"""),1.01363788E8)</f>
        <v>101363788</v>
      </c>
      <c r="D81" s="16">
        <f>IFERROR(__xludf.DUMMYFUNCTION("""COMPUTED_VALUE"""),1.01364036E8)</f>
        <v>101364036</v>
      </c>
      <c r="E81" s="18" t="str">
        <f>IFERROR(__xludf.DUMMYFUNCTION("""COMPUTED_VALUE"""),"DXS7424")</f>
        <v>DXS7424</v>
      </c>
      <c r="F81" s="1">
        <f t="shared" si="1"/>
        <v>248</v>
      </c>
      <c r="G81" s="37"/>
      <c r="H81" s="10" t="b">
        <f t="shared" si="2"/>
        <v>1</v>
      </c>
      <c r="I81" s="25" t="s">
        <v>194</v>
      </c>
      <c r="J81" s="25" t="s">
        <v>195</v>
      </c>
    </row>
    <row r="82">
      <c r="A82" s="2" t="s">
        <v>196</v>
      </c>
      <c r="B82" s="2" t="str">
        <f>IFERROR(__xludf.DUMMYFUNCTION("SPLIT(A82, "": -"")"),"chrX")</f>
        <v>chrX</v>
      </c>
      <c r="C82" s="16">
        <f>IFERROR(__xludf.DUMMYFUNCTION("""COMPUTED_VALUE"""),1.50398147E8)</f>
        <v>150398147</v>
      </c>
      <c r="D82" s="16">
        <f>IFERROR(__xludf.DUMMYFUNCTION("""COMPUTED_VALUE"""),1.50398505E8)</f>
        <v>150398505</v>
      </c>
      <c r="E82" s="18" t="str">
        <f>IFERROR(__xludf.DUMMYFUNCTION("""COMPUTED_VALUE"""),"DXS8377")</f>
        <v>DXS8377</v>
      </c>
      <c r="F82" s="1">
        <f t="shared" si="1"/>
        <v>358</v>
      </c>
      <c r="G82" s="37"/>
      <c r="H82" s="10" t="b">
        <f t="shared" si="2"/>
        <v>1</v>
      </c>
      <c r="I82" s="25" t="s">
        <v>197</v>
      </c>
      <c r="J82" s="20" t="s">
        <v>198</v>
      </c>
    </row>
    <row r="83">
      <c r="A83" s="2" t="s">
        <v>199</v>
      </c>
      <c r="B83" s="2" t="str">
        <f>IFERROR(__xludf.DUMMYFUNCTION("SPLIT(A83, "": -"")"),"chrX")</f>
        <v>chrX</v>
      </c>
      <c r="C83" s="16">
        <f>IFERROR(__xludf.DUMMYFUNCTION("""COMPUTED_VALUE"""),9402162.0)</f>
        <v>9402162</v>
      </c>
      <c r="D83" s="16">
        <f>IFERROR(__xludf.DUMMYFUNCTION("""COMPUTED_VALUE"""),9402401.0)</f>
        <v>9402401</v>
      </c>
      <c r="E83" s="17" t="str">
        <f>IFERROR(__xludf.DUMMYFUNCTION("""COMPUTED_VALUE"""),"DXS8378")</f>
        <v>DXS8378</v>
      </c>
      <c r="F83" s="1">
        <f t="shared" si="1"/>
        <v>239</v>
      </c>
      <c r="G83" s="10" t="s">
        <v>190</v>
      </c>
      <c r="H83" s="10" t="b">
        <f t="shared" si="2"/>
        <v>1</v>
      </c>
      <c r="I83" s="14"/>
      <c r="J83" s="14"/>
    </row>
    <row r="84">
      <c r="A84" s="2" t="s">
        <v>200</v>
      </c>
      <c r="B84" s="2" t="str">
        <f>IFERROR(__xludf.DUMMYFUNCTION("SPLIT(A84, "": -"")"),"chrX")</f>
        <v>chrX</v>
      </c>
      <c r="C84" s="16">
        <f>IFERROR(__xludf.DUMMYFUNCTION("""COMPUTED_VALUE"""),7459026.0)</f>
        <v>7459026</v>
      </c>
      <c r="D84" s="16">
        <f>IFERROR(__xludf.DUMMYFUNCTION("""COMPUTED_VALUE"""),7459282.0)</f>
        <v>7459282</v>
      </c>
      <c r="E84" s="18" t="str">
        <f>IFERROR(__xludf.DUMMYFUNCTION("""COMPUTED_VALUE"""),"DXS9895")</f>
        <v>DXS9895</v>
      </c>
      <c r="F84" s="1">
        <f t="shared" si="1"/>
        <v>256</v>
      </c>
      <c r="G84" s="37"/>
      <c r="H84" s="10" t="b">
        <f t="shared" si="2"/>
        <v>1</v>
      </c>
      <c r="I84" s="25" t="s">
        <v>201</v>
      </c>
      <c r="J84" s="25" t="s">
        <v>70</v>
      </c>
    </row>
    <row r="85">
      <c r="A85" s="2" t="s">
        <v>202</v>
      </c>
      <c r="B85" s="2" t="str">
        <f>IFERROR(__xludf.DUMMYFUNCTION("SPLIT(A85, "": -"")"),"chrX")</f>
        <v>chrX</v>
      </c>
      <c r="C85" s="16">
        <f>IFERROR(__xludf.DUMMYFUNCTION("""COMPUTED_VALUE"""),1.13931617E8)</f>
        <v>113931617</v>
      </c>
      <c r="D85" s="16">
        <f>IFERROR(__xludf.DUMMYFUNCTION("""COMPUTED_VALUE"""),1.13931856E8)</f>
        <v>113931856</v>
      </c>
      <c r="E85" s="18" t="str">
        <f>IFERROR(__xludf.DUMMYFUNCTION("""COMPUTED_VALUE"""),"GATA172D05")</f>
        <v>GATA172D05</v>
      </c>
      <c r="F85" s="1">
        <f t="shared" si="1"/>
        <v>239</v>
      </c>
      <c r="G85" s="37"/>
      <c r="H85" s="10" t="b">
        <f t="shared" si="2"/>
        <v>1</v>
      </c>
      <c r="I85" s="19" t="s">
        <v>135</v>
      </c>
      <c r="J85" s="19" t="s">
        <v>190</v>
      </c>
    </row>
    <row r="86">
      <c r="A86" s="2" t="s">
        <v>203</v>
      </c>
      <c r="B86" s="2" t="str">
        <f>IFERROR(__xludf.DUMMYFUNCTION("SPLIT(A86, "": -"")"),"chrX")</f>
        <v>chrX</v>
      </c>
      <c r="C86" s="16">
        <f>IFERROR(__xludf.DUMMYFUNCTION("""COMPUTED_VALUE"""),1.34481409E8)</f>
        <v>134481409</v>
      </c>
      <c r="D86" s="16">
        <f>IFERROR(__xludf.DUMMYFUNCTION("""COMPUTED_VALUE"""),1.3448166E8)</f>
        <v>134481660</v>
      </c>
      <c r="E86" s="17" t="str">
        <f>IFERROR(__xludf.DUMMYFUNCTION("""COMPUTED_VALUE"""),"HPRTB")</f>
        <v>HPRTB</v>
      </c>
      <c r="F86" s="1">
        <f t="shared" si="1"/>
        <v>251</v>
      </c>
      <c r="G86" s="10" t="s">
        <v>105</v>
      </c>
      <c r="H86" s="10" t="b">
        <f t="shared" si="2"/>
        <v>1</v>
      </c>
      <c r="I86" s="14"/>
      <c r="J86" s="14"/>
    </row>
    <row r="87" hidden="1">
      <c r="A87" s="38"/>
      <c r="B87" s="38"/>
      <c r="C87" s="16"/>
      <c r="D87" s="16"/>
      <c r="E87" s="16"/>
    </row>
    <row r="88" hidden="1">
      <c r="A88" s="38"/>
      <c r="B88" s="38"/>
      <c r="C88" s="16"/>
      <c r="D88" s="16"/>
      <c r="E88" s="16"/>
    </row>
    <row r="89" hidden="1">
      <c r="A89" s="38"/>
      <c r="B89" s="38"/>
      <c r="C89" s="16"/>
      <c r="D89" s="16"/>
      <c r="E89" s="16"/>
    </row>
    <row r="90" hidden="1">
      <c r="A90" s="38"/>
      <c r="B90" s="38"/>
      <c r="C90" s="16"/>
      <c r="D90" s="16"/>
      <c r="E90" s="16"/>
    </row>
    <row r="91" hidden="1">
      <c r="A91" s="38"/>
      <c r="B91" s="38"/>
      <c r="C91" s="16"/>
      <c r="D91" s="16"/>
      <c r="E91" s="16"/>
    </row>
    <row r="92" hidden="1">
      <c r="A92" s="38"/>
      <c r="B92" s="38"/>
      <c r="C92" s="16"/>
      <c r="D92" s="16"/>
      <c r="E92" s="16"/>
    </row>
    <row r="93" hidden="1">
      <c r="A93" s="38"/>
      <c r="B93" s="38"/>
      <c r="C93" s="16"/>
      <c r="D93" s="16"/>
      <c r="E93" s="16"/>
    </row>
    <row r="94" hidden="1">
      <c r="A94" s="38"/>
      <c r="B94" s="38"/>
      <c r="C94" s="16"/>
      <c r="D94" s="16"/>
      <c r="E94" s="16"/>
    </row>
    <row r="95" hidden="1">
      <c r="A95" s="38"/>
      <c r="B95" s="38"/>
      <c r="C95" s="16"/>
      <c r="D95" s="16"/>
      <c r="E95" s="16"/>
    </row>
    <row r="96" hidden="1">
      <c r="A96" s="38"/>
      <c r="B96" s="38"/>
      <c r="C96" s="16"/>
      <c r="D96" s="16"/>
      <c r="E96" s="16"/>
    </row>
    <row r="97" hidden="1">
      <c r="A97" s="38"/>
      <c r="B97" s="38"/>
      <c r="C97" s="16"/>
      <c r="D97" s="16"/>
      <c r="E97" s="16"/>
    </row>
    <row r="98" hidden="1">
      <c r="A98" s="38"/>
      <c r="B98" s="38"/>
      <c r="C98" s="16"/>
      <c r="D98" s="16"/>
      <c r="E98" s="16"/>
    </row>
    <row r="99" hidden="1">
      <c r="A99" s="38"/>
      <c r="B99" s="38"/>
      <c r="C99" s="16"/>
      <c r="D99" s="16"/>
      <c r="E99" s="16"/>
    </row>
    <row r="100" hidden="1">
      <c r="A100" s="38"/>
      <c r="B100" s="38"/>
      <c r="C100" s="16"/>
      <c r="D100" s="16"/>
      <c r="E100" s="16"/>
    </row>
    <row r="101" hidden="1">
      <c r="A101" s="38"/>
      <c r="B101" s="38"/>
      <c r="C101" s="16"/>
      <c r="D101" s="16"/>
      <c r="E101" s="16"/>
    </row>
    <row r="102" hidden="1">
      <c r="A102" s="38"/>
      <c r="B102" s="38"/>
      <c r="C102" s="16"/>
      <c r="D102" s="16"/>
      <c r="E102" s="16"/>
    </row>
    <row r="103" hidden="1">
      <c r="A103" s="38"/>
      <c r="B103" s="38"/>
      <c r="C103" s="16"/>
      <c r="D103" s="16"/>
      <c r="E103" s="16"/>
    </row>
    <row r="104" hidden="1">
      <c r="A104" s="38"/>
      <c r="B104" s="38"/>
      <c r="C104" s="16"/>
      <c r="D104" s="16"/>
      <c r="E104" s="16"/>
    </row>
    <row r="105" hidden="1">
      <c r="A105" s="38"/>
      <c r="B105" s="38"/>
      <c r="C105" s="16"/>
      <c r="D105" s="16"/>
      <c r="E105" s="16"/>
    </row>
    <row r="106" hidden="1">
      <c r="A106" s="38"/>
      <c r="B106" s="38"/>
      <c r="C106" s="16"/>
      <c r="D106" s="16"/>
      <c r="E106" s="16"/>
    </row>
    <row r="107" hidden="1">
      <c r="A107" s="38"/>
      <c r="B107" s="38"/>
      <c r="C107" s="16"/>
      <c r="D107" s="16"/>
      <c r="E107" s="16"/>
    </row>
    <row r="108" hidden="1">
      <c r="A108" s="38"/>
      <c r="B108" s="38"/>
      <c r="C108" s="16"/>
      <c r="D108" s="16"/>
      <c r="E108" s="16"/>
    </row>
    <row r="109" hidden="1">
      <c r="A109" s="38"/>
      <c r="B109" s="38"/>
      <c r="C109" s="16"/>
      <c r="D109" s="16"/>
      <c r="E109" s="16"/>
    </row>
    <row r="110" hidden="1">
      <c r="A110" s="38"/>
      <c r="B110" s="38"/>
      <c r="C110" s="16"/>
      <c r="D110" s="16"/>
      <c r="E110" s="16"/>
    </row>
    <row r="111" hidden="1">
      <c r="A111" s="38"/>
      <c r="B111" s="38"/>
      <c r="C111" s="16"/>
      <c r="D111" s="16"/>
      <c r="E111" s="16"/>
    </row>
    <row r="112" hidden="1">
      <c r="A112" s="38"/>
      <c r="B112" s="38"/>
      <c r="C112" s="16"/>
      <c r="D112" s="16"/>
      <c r="E112" s="16"/>
    </row>
    <row r="113" hidden="1">
      <c r="A113" s="38"/>
      <c r="B113" s="38"/>
      <c r="C113" s="16"/>
      <c r="D113" s="16"/>
      <c r="E113" s="16"/>
    </row>
    <row r="114" hidden="1">
      <c r="A114" s="38"/>
      <c r="B114" s="38"/>
      <c r="C114" s="16"/>
      <c r="D114" s="16"/>
      <c r="E114" s="16"/>
    </row>
    <row r="115" hidden="1">
      <c r="A115" s="38"/>
      <c r="B115" s="38"/>
      <c r="C115" s="16"/>
      <c r="D115" s="16"/>
      <c r="E115" s="16"/>
    </row>
    <row r="116" hidden="1">
      <c r="A116" s="38"/>
      <c r="B116" s="38"/>
      <c r="C116" s="16"/>
      <c r="D116" s="16"/>
      <c r="E116" s="16"/>
    </row>
    <row r="117" hidden="1">
      <c r="A117" s="38"/>
      <c r="B117" s="38"/>
      <c r="C117" s="16"/>
      <c r="D117" s="16"/>
      <c r="E117" s="16"/>
    </row>
    <row r="118" hidden="1">
      <c r="A118" s="38"/>
      <c r="B118" s="38"/>
      <c r="C118" s="16"/>
      <c r="D118" s="16"/>
      <c r="E118" s="16"/>
    </row>
    <row r="119" hidden="1">
      <c r="A119" s="38"/>
      <c r="B119" s="38"/>
      <c r="C119" s="16"/>
      <c r="D119" s="16"/>
      <c r="E119" s="16"/>
    </row>
    <row r="120" hidden="1">
      <c r="A120" s="38"/>
      <c r="B120" s="38"/>
      <c r="C120" s="16"/>
      <c r="D120" s="16"/>
      <c r="E120" s="16"/>
    </row>
    <row r="121" hidden="1">
      <c r="A121" s="38"/>
      <c r="B121" s="38"/>
      <c r="C121" s="16"/>
      <c r="D121" s="16"/>
      <c r="E121" s="16"/>
    </row>
    <row r="122" hidden="1">
      <c r="A122" s="38"/>
      <c r="B122" s="38"/>
      <c r="C122" s="16"/>
      <c r="D122" s="16"/>
      <c r="E122" s="16"/>
    </row>
    <row r="123" hidden="1">
      <c r="A123" s="38"/>
      <c r="B123" s="38"/>
      <c r="C123" s="16"/>
      <c r="D123" s="16"/>
      <c r="E123" s="16"/>
    </row>
    <row r="124" hidden="1">
      <c r="A124" s="38"/>
      <c r="B124" s="38"/>
      <c r="C124" s="16"/>
      <c r="D124" s="16"/>
      <c r="E124" s="16"/>
    </row>
    <row r="125" hidden="1">
      <c r="A125" s="38"/>
      <c r="B125" s="38"/>
      <c r="C125" s="16"/>
      <c r="D125" s="16"/>
      <c r="E125" s="16"/>
    </row>
    <row r="126" hidden="1">
      <c r="A126" s="38"/>
      <c r="B126" s="38"/>
      <c r="C126" s="16"/>
      <c r="D126" s="16"/>
      <c r="E126" s="16"/>
    </row>
    <row r="127" hidden="1">
      <c r="A127" s="38"/>
      <c r="B127" s="38"/>
      <c r="C127" s="16"/>
      <c r="D127" s="16"/>
      <c r="E127" s="16"/>
    </row>
    <row r="128" hidden="1">
      <c r="A128" s="38"/>
      <c r="B128" s="38"/>
      <c r="C128" s="16"/>
      <c r="D128" s="16"/>
      <c r="E128" s="16"/>
    </row>
    <row r="129" hidden="1">
      <c r="A129" s="38"/>
      <c r="B129" s="38"/>
      <c r="C129" s="16"/>
      <c r="D129" s="16"/>
      <c r="E129" s="16"/>
    </row>
    <row r="130" hidden="1">
      <c r="A130" s="38"/>
      <c r="B130" s="38"/>
      <c r="C130" s="16"/>
      <c r="D130" s="16"/>
      <c r="E130" s="16"/>
    </row>
    <row r="131" hidden="1">
      <c r="A131" s="38"/>
      <c r="B131" s="38"/>
      <c r="C131" s="16"/>
      <c r="D131" s="16"/>
      <c r="E131" s="16"/>
    </row>
    <row r="132" hidden="1">
      <c r="A132" s="38"/>
      <c r="B132" s="38"/>
      <c r="C132" s="16"/>
      <c r="D132" s="16"/>
      <c r="E132" s="16"/>
    </row>
    <row r="133" hidden="1">
      <c r="A133" s="38"/>
      <c r="B133" s="38"/>
      <c r="C133" s="16"/>
      <c r="D133" s="16"/>
      <c r="E133" s="16"/>
    </row>
    <row r="134" hidden="1">
      <c r="A134" s="38"/>
      <c r="B134" s="38"/>
      <c r="C134" s="16"/>
      <c r="D134" s="16"/>
      <c r="E134" s="16"/>
    </row>
    <row r="135" hidden="1">
      <c r="A135" s="38"/>
      <c r="B135" s="38"/>
      <c r="C135" s="16"/>
      <c r="D135" s="16"/>
      <c r="E135" s="16"/>
    </row>
    <row r="136" hidden="1">
      <c r="A136" s="38"/>
      <c r="B136" s="38"/>
      <c r="C136" s="16"/>
      <c r="D136" s="16"/>
      <c r="E136" s="16"/>
    </row>
    <row r="137" hidden="1">
      <c r="A137" s="38"/>
      <c r="B137" s="38"/>
      <c r="C137" s="16"/>
      <c r="D137" s="16"/>
      <c r="E137" s="16"/>
    </row>
    <row r="138" hidden="1">
      <c r="A138" s="38"/>
      <c r="B138" s="38"/>
      <c r="C138" s="16"/>
      <c r="D138" s="16"/>
      <c r="E138" s="16"/>
    </row>
    <row r="139" hidden="1">
      <c r="A139" s="38"/>
      <c r="B139" s="38"/>
      <c r="C139" s="16"/>
      <c r="D139" s="16"/>
      <c r="E139" s="16"/>
    </row>
    <row r="140" hidden="1">
      <c r="A140" s="38"/>
      <c r="B140" s="38"/>
      <c r="C140" s="16"/>
      <c r="D140" s="16"/>
      <c r="E140" s="16"/>
    </row>
    <row r="141" hidden="1">
      <c r="A141" s="38"/>
      <c r="B141" s="38"/>
      <c r="C141" s="16"/>
      <c r="D141" s="16"/>
      <c r="E141" s="16"/>
    </row>
    <row r="142" hidden="1">
      <c r="A142" s="38"/>
      <c r="B142" s="38"/>
      <c r="C142" s="16"/>
      <c r="D142" s="16"/>
      <c r="E142" s="16"/>
    </row>
    <row r="143" hidden="1">
      <c r="A143" s="38"/>
      <c r="B143" s="38"/>
      <c r="C143" s="16"/>
      <c r="D143" s="16"/>
      <c r="E143" s="16"/>
    </row>
    <row r="144" hidden="1">
      <c r="A144" s="38"/>
      <c r="B144" s="38"/>
      <c r="C144" s="16"/>
      <c r="D144" s="16"/>
      <c r="E144" s="16"/>
    </row>
    <row r="145" hidden="1">
      <c r="A145" s="38"/>
      <c r="B145" s="38"/>
      <c r="C145" s="16"/>
      <c r="D145" s="16"/>
      <c r="E145" s="16"/>
    </row>
    <row r="146" hidden="1">
      <c r="A146" s="38"/>
      <c r="B146" s="38"/>
      <c r="C146" s="16"/>
      <c r="D146" s="16"/>
      <c r="E146" s="16"/>
    </row>
    <row r="147" hidden="1">
      <c r="A147" s="38"/>
      <c r="B147" s="38"/>
      <c r="C147" s="16"/>
      <c r="D147" s="16"/>
      <c r="E147" s="16"/>
    </row>
    <row r="148" hidden="1">
      <c r="A148" s="38"/>
      <c r="B148" s="38"/>
      <c r="C148" s="16"/>
      <c r="D148" s="16"/>
      <c r="E148" s="16"/>
    </row>
    <row r="149" hidden="1">
      <c r="A149" s="38"/>
      <c r="B149" s="38"/>
      <c r="C149" s="16"/>
      <c r="D149" s="16"/>
      <c r="E149" s="16"/>
    </row>
    <row r="150" hidden="1">
      <c r="A150" s="38"/>
      <c r="B150" s="38"/>
      <c r="C150" s="16"/>
      <c r="D150" s="16"/>
      <c r="E150" s="16"/>
    </row>
    <row r="151" hidden="1">
      <c r="A151" s="38"/>
      <c r="B151" s="38"/>
      <c r="C151" s="16"/>
      <c r="D151" s="16"/>
      <c r="E151" s="16"/>
    </row>
    <row r="152" hidden="1">
      <c r="A152" s="38"/>
      <c r="B152" s="38"/>
      <c r="C152" s="16"/>
      <c r="D152" s="16"/>
      <c r="E152" s="16"/>
    </row>
    <row r="153" hidden="1">
      <c r="A153" s="38"/>
      <c r="B153" s="38"/>
      <c r="C153" s="16"/>
      <c r="D153" s="16"/>
      <c r="E153" s="16"/>
    </row>
    <row r="154" hidden="1">
      <c r="A154" s="38"/>
      <c r="B154" s="38"/>
      <c r="C154" s="16"/>
      <c r="D154" s="16"/>
      <c r="E154" s="16"/>
    </row>
    <row r="155" hidden="1">
      <c r="A155" s="38"/>
      <c r="B155" s="38"/>
      <c r="C155" s="16"/>
      <c r="D155" s="16"/>
      <c r="E155" s="16"/>
    </row>
    <row r="156" hidden="1">
      <c r="A156" s="38"/>
      <c r="B156" s="38"/>
      <c r="C156" s="16"/>
      <c r="D156" s="16"/>
      <c r="E156" s="16"/>
    </row>
    <row r="157" hidden="1">
      <c r="A157" s="38"/>
      <c r="B157" s="38"/>
      <c r="C157" s="16"/>
      <c r="D157" s="16"/>
      <c r="E157" s="16"/>
    </row>
    <row r="158" hidden="1">
      <c r="A158" s="38"/>
      <c r="B158" s="38"/>
      <c r="C158" s="16"/>
      <c r="D158" s="16"/>
      <c r="E158" s="16"/>
    </row>
    <row r="159" hidden="1">
      <c r="A159" s="38"/>
      <c r="B159" s="38"/>
      <c r="C159" s="16"/>
      <c r="D159" s="16"/>
      <c r="E159" s="16"/>
    </row>
    <row r="160" hidden="1">
      <c r="A160" s="38"/>
      <c r="B160" s="38"/>
      <c r="C160" s="16"/>
      <c r="D160" s="16"/>
      <c r="E160" s="16"/>
    </row>
    <row r="161" hidden="1">
      <c r="A161" s="38"/>
      <c r="B161" s="38"/>
      <c r="C161" s="16"/>
      <c r="D161" s="16"/>
      <c r="E161" s="16"/>
    </row>
    <row r="162" hidden="1">
      <c r="A162" s="38"/>
      <c r="B162" s="38"/>
      <c r="C162" s="16"/>
      <c r="D162" s="16"/>
      <c r="E162" s="16"/>
    </row>
    <row r="163" hidden="1">
      <c r="A163" s="38"/>
      <c r="B163" s="38"/>
      <c r="C163" s="16"/>
      <c r="D163" s="16"/>
      <c r="E163" s="16"/>
    </row>
    <row r="164" hidden="1">
      <c r="A164" s="38"/>
      <c r="B164" s="38"/>
      <c r="C164" s="16"/>
      <c r="D164" s="16"/>
      <c r="E164" s="16"/>
    </row>
    <row r="165" hidden="1">
      <c r="A165" s="38"/>
      <c r="B165" s="38"/>
      <c r="C165" s="16"/>
      <c r="D165" s="16"/>
      <c r="E165" s="16"/>
    </row>
    <row r="166" hidden="1">
      <c r="A166" s="38"/>
      <c r="B166" s="38"/>
      <c r="C166" s="16"/>
      <c r="D166" s="16"/>
      <c r="E166" s="16"/>
    </row>
    <row r="167" hidden="1">
      <c r="A167" s="38"/>
      <c r="B167" s="38"/>
      <c r="C167" s="16"/>
      <c r="D167" s="16"/>
      <c r="E167" s="16"/>
    </row>
    <row r="168" hidden="1">
      <c r="A168" s="38"/>
      <c r="B168" s="38"/>
      <c r="C168" s="16"/>
      <c r="D168" s="16"/>
      <c r="E168" s="16"/>
    </row>
    <row r="169" hidden="1">
      <c r="A169" s="38"/>
      <c r="B169" s="38"/>
      <c r="C169" s="16"/>
      <c r="D169" s="16"/>
      <c r="E169" s="16"/>
    </row>
    <row r="170" hidden="1">
      <c r="A170" s="38"/>
      <c r="B170" s="38"/>
      <c r="C170" s="16"/>
      <c r="D170" s="16"/>
      <c r="E170" s="16"/>
    </row>
    <row r="171" hidden="1">
      <c r="A171" s="38"/>
      <c r="B171" s="38"/>
      <c r="C171" s="16"/>
      <c r="D171" s="16"/>
      <c r="E171" s="16"/>
    </row>
    <row r="172" hidden="1">
      <c r="A172" s="38"/>
      <c r="B172" s="38"/>
      <c r="C172" s="16"/>
      <c r="D172" s="16"/>
      <c r="E172" s="16"/>
    </row>
    <row r="173" hidden="1">
      <c r="A173" s="38"/>
      <c r="B173" s="38"/>
      <c r="C173" s="16"/>
      <c r="D173" s="16"/>
      <c r="E173" s="16"/>
    </row>
    <row r="174" hidden="1">
      <c r="A174" s="38"/>
      <c r="B174" s="38"/>
      <c r="C174" s="16"/>
      <c r="D174" s="16"/>
      <c r="E174" s="16"/>
    </row>
    <row r="175" hidden="1">
      <c r="A175" s="38"/>
      <c r="B175" s="38"/>
      <c r="C175" s="16"/>
      <c r="D175" s="16"/>
      <c r="E175" s="16"/>
    </row>
    <row r="176" hidden="1">
      <c r="A176" s="38"/>
      <c r="B176" s="38"/>
      <c r="C176" s="16"/>
      <c r="D176" s="16"/>
      <c r="E176" s="16"/>
    </row>
    <row r="177" hidden="1">
      <c r="A177" s="38"/>
      <c r="B177" s="38"/>
      <c r="C177" s="16"/>
      <c r="D177" s="16"/>
      <c r="E177" s="16"/>
    </row>
    <row r="178" hidden="1">
      <c r="A178" s="38"/>
      <c r="B178" s="38"/>
      <c r="C178" s="16"/>
      <c r="D178" s="16"/>
      <c r="E178" s="16"/>
    </row>
    <row r="179" hidden="1">
      <c r="A179" s="38"/>
      <c r="B179" s="38"/>
      <c r="C179" s="16"/>
      <c r="D179" s="16"/>
      <c r="E179" s="16"/>
    </row>
    <row r="180" hidden="1">
      <c r="A180" s="38"/>
      <c r="B180" s="38"/>
      <c r="C180" s="16"/>
      <c r="D180" s="16"/>
      <c r="E180" s="16"/>
    </row>
    <row r="181" hidden="1">
      <c r="A181" s="38"/>
      <c r="B181" s="38"/>
      <c r="C181" s="16"/>
      <c r="D181" s="16"/>
      <c r="E181" s="16"/>
    </row>
    <row r="182" hidden="1">
      <c r="A182" s="38"/>
      <c r="B182" s="38"/>
      <c r="C182" s="16"/>
      <c r="D182" s="16"/>
      <c r="E182" s="16"/>
    </row>
    <row r="183" hidden="1">
      <c r="A183" s="38"/>
      <c r="B183" s="38"/>
      <c r="C183" s="16"/>
      <c r="D183" s="16"/>
      <c r="E183" s="16"/>
    </row>
    <row r="184" hidden="1">
      <c r="A184" s="38"/>
      <c r="B184" s="38"/>
      <c r="C184" s="16"/>
      <c r="D184" s="16"/>
      <c r="E184" s="16"/>
    </row>
    <row r="185" hidden="1">
      <c r="A185" s="38"/>
      <c r="B185" s="38"/>
      <c r="C185" s="16"/>
      <c r="D185" s="16"/>
      <c r="E185" s="16"/>
    </row>
    <row r="186" hidden="1">
      <c r="A186" s="38"/>
      <c r="B186" s="38"/>
      <c r="C186" s="16"/>
      <c r="D186" s="16"/>
      <c r="E186" s="16"/>
    </row>
    <row r="187" hidden="1">
      <c r="A187" s="38"/>
      <c r="B187" s="38"/>
      <c r="C187" s="16"/>
      <c r="D187" s="16"/>
      <c r="E187" s="16"/>
    </row>
    <row r="188" hidden="1">
      <c r="A188" s="38"/>
      <c r="B188" s="38"/>
      <c r="C188" s="16"/>
      <c r="D188" s="16"/>
      <c r="E188" s="16"/>
    </row>
    <row r="189" hidden="1">
      <c r="A189" s="38"/>
      <c r="B189" s="38"/>
      <c r="C189" s="16"/>
      <c r="D189" s="16"/>
      <c r="E189" s="16"/>
    </row>
    <row r="190" hidden="1">
      <c r="A190" s="38"/>
      <c r="B190" s="38"/>
      <c r="C190" s="16"/>
      <c r="D190" s="16"/>
      <c r="E190" s="16"/>
    </row>
    <row r="191" hidden="1">
      <c r="A191" s="38"/>
      <c r="B191" s="38"/>
      <c r="C191" s="16"/>
      <c r="D191" s="16"/>
      <c r="E191" s="16"/>
    </row>
    <row r="192" hidden="1">
      <c r="A192" s="38"/>
      <c r="B192" s="38"/>
      <c r="C192" s="16"/>
      <c r="D192" s="16"/>
      <c r="E192" s="16"/>
    </row>
    <row r="193" hidden="1">
      <c r="A193" s="38"/>
      <c r="B193" s="38"/>
      <c r="C193" s="16"/>
      <c r="D193" s="16"/>
      <c r="E193" s="16"/>
    </row>
    <row r="194" hidden="1">
      <c r="A194" s="38"/>
      <c r="B194" s="38"/>
      <c r="C194" s="16"/>
      <c r="D194" s="16"/>
      <c r="E194" s="16"/>
    </row>
    <row r="195" hidden="1">
      <c r="A195" s="38"/>
      <c r="B195" s="38"/>
      <c r="C195" s="16"/>
      <c r="D195" s="16"/>
      <c r="E195" s="16"/>
    </row>
    <row r="196" hidden="1">
      <c r="A196" s="38"/>
      <c r="B196" s="38"/>
      <c r="C196" s="16"/>
      <c r="D196" s="16"/>
      <c r="E196" s="16"/>
    </row>
    <row r="197" hidden="1">
      <c r="A197" s="38"/>
      <c r="B197" s="38"/>
      <c r="C197" s="16"/>
      <c r="D197" s="16"/>
      <c r="E197" s="16"/>
    </row>
    <row r="198" hidden="1">
      <c r="A198" s="38"/>
      <c r="B198" s="38"/>
      <c r="C198" s="16"/>
      <c r="D198" s="16"/>
      <c r="E198" s="16"/>
    </row>
    <row r="199" hidden="1">
      <c r="A199" s="38"/>
      <c r="B199" s="38"/>
      <c r="C199" s="16"/>
      <c r="D199" s="16"/>
      <c r="E199" s="16"/>
    </row>
    <row r="200" hidden="1">
      <c r="A200" s="38"/>
      <c r="B200" s="38"/>
      <c r="C200" s="16"/>
      <c r="D200" s="16"/>
      <c r="E200" s="16"/>
    </row>
    <row r="201" hidden="1">
      <c r="A201" s="38"/>
      <c r="B201" s="38"/>
      <c r="C201" s="16"/>
      <c r="D201" s="16"/>
      <c r="E201" s="16"/>
    </row>
    <row r="202" hidden="1">
      <c r="A202" s="38"/>
      <c r="B202" s="38"/>
      <c r="C202" s="16"/>
      <c r="D202" s="16"/>
      <c r="E202" s="16"/>
    </row>
    <row r="203" hidden="1">
      <c r="A203" s="38"/>
      <c r="B203" s="38"/>
      <c r="C203" s="16"/>
      <c r="D203" s="16"/>
      <c r="E203" s="16"/>
    </row>
    <row r="204" hidden="1">
      <c r="A204" s="38"/>
      <c r="B204" s="38"/>
      <c r="C204" s="16"/>
      <c r="D204" s="16"/>
      <c r="E204" s="16"/>
    </row>
    <row r="205" hidden="1">
      <c r="A205" s="38"/>
      <c r="B205" s="38"/>
      <c r="C205" s="16"/>
      <c r="D205" s="16"/>
      <c r="E205" s="16"/>
    </row>
    <row r="206" hidden="1">
      <c r="A206" s="38"/>
      <c r="B206" s="38"/>
      <c r="C206" s="16"/>
      <c r="D206" s="16"/>
      <c r="E206" s="16"/>
    </row>
    <row r="207" hidden="1">
      <c r="A207" s="38"/>
      <c r="B207" s="38"/>
      <c r="C207" s="16"/>
      <c r="D207" s="16"/>
      <c r="E207" s="16"/>
    </row>
    <row r="208" hidden="1">
      <c r="A208" s="38"/>
      <c r="B208" s="38"/>
      <c r="C208" s="16"/>
      <c r="D208" s="16"/>
      <c r="E208" s="16"/>
    </row>
    <row r="209" hidden="1">
      <c r="A209" s="38"/>
      <c r="B209" s="38"/>
      <c r="C209" s="16"/>
      <c r="D209" s="16"/>
      <c r="E209" s="16"/>
    </row>
    <row r="210" hidden="1">
      <c r="A210" s="38"/>
      <c r="B210" s="38"/>
      <c r="C210" s="16"/>
      <c r="D210" s="16"/>
      <c r="E210" s="16"/>
    </row>
    <row r="211" hidden="1">
      <c r="A211" s="38"/>
      <c r="B211" s="38"/>
      <c r="C211" s="16"/>
      <c r="D211" s="16"/>
      <c r="E211" s="16"/>
    </row>
    <row r="212" hidden="1">
      <c r="A212" s="38"/>
      <c r="B212" s="38"/>
      <c r="C212" s="16"/>
      <c r="D212" s="16"/>
      <c r="E212" s="16"/>
    </row>
    <row r="213" hidden="1">
      <c r="A213" s="38"/>
      <c r="B213" s="38"/>
      <c r="C213" s="16"/>
      <c r="D213" s="16"/>
      <c r="E213" s="16"/>
    </row>
    <row r="214" hidden="1">
      <c r="A214" s="38"/>
      <c r="B214" s="38"/>
      <c r="C214" s="16"/>
      <c r="D214" s="16"/>
      <c r="E214" s="16"/>
    </row>
    <row r="215" hidden="1">
      <c r="A215" s="38"/>
      <c r="B215" s="38"/>
      <c r="C215" s="16"/>
      <c r="D215" s="16"/>
      <c r="E215" s="16"/>
    </row>
    <row r="216" hidden="1">
      <c r="A216" s="38"/>
      <c r="B216" s="38"/>
      <c r="C216" s="16"/>
      <c r="D216" s="16"/>
      <c r="E216" s="16"/>
    </row>
    <row r="217" hidden="1">
      <c r="A217" s="38"/>
      <c r="B217" s="38"/>
      <c r="C217" s="16"/>
      <c r="D217" s="16"/>
      <c r="E217" s="16"/>
    </row>
    <row r="218" hidden="1">
      <c r="A218" s="38"/>
      <c r="B218" s="38"/>
      <c r="C218" s="16"/>
      <c r="D218" s="16"/>
      <c r="E218" s="16"/>
    </row>
    <row r="219" hidden="1">
      <c r="A219" s="38"/>
      <c r="B219" s="38"/>
      <c r="C219" s="16"/>
      <c r="D219" s="16"/>
      <c r="E219" s="16"/>
    </row>
    <row r="220" hidden="1">
      <c r="A220" s="38"/>
      <c r="B220" s="38"/>
      <c r="C220" s="16"/>
      <c r="D220" s="16"/>
      <c r="E220" s="16"/>
    </row>
    <row r="221" hidden="1">
      <c r="A221" s="38"/>
      <c r="B221" s="38"/>
      <c r="C221" s="16"/>
      <c r="D221" s="16"/>
      <c r="E221" s="16"/>
    </row>
    <row r="222" hidden="1">
      <c r="A222" s="38"/>
      <c r="B222" s="38"/>
      <c r="C222" s="16"/>
      <c r="D222" s="16"/>
      <c r="E222" s="16"/>
    </row>
    <row r="223" hidden="1">
      <c r="A223" s="38"/>
      <c r="B223" s="38"/>
      <c r="C223" s="16"/>
      <c r="D223" s="16"/>
      <c r="E223" s="16"/>
    </row>
    <row r="224" hidden="1">
      <c r="A224" s="38"/>
      <c r="B224" s="38"/>
      <c r="C224" s="16"/>
      <c r="D224" s="16"/>
      <c r="E224" s="16"/>
    </row>
    <row r="225" hidden="1">
      <c r="A225" s="38"/>
      <c r="B225" s="38"/>
      <c r="C225" s="16"/>
      <c r="D225" s="16"/>
      <c r="E225" s="16"/>
    </row>
    <row r="226" hidden="1">
      <c r="A226" s="38"/>
      <c r="B226" s="38"/>
      <c r="C226" s="16"/>
      <c r="D226" s="16"/>
      <c r="E226" s="16"/>
    </row>
    <row r="227" hidden="1">
      <c r="A227" s="38"/>
      <c r="B227" s="38"/>
      <c r="C227" s="16"/>
      <c r="D227" s="16"/>
      <c r="E227" s="16"/>
    </row>
    <row r="228" hidden="1">
      <c r="A228" s="38"/>
      <c r="B228" s="38"/>
      <c r="C228" s="16"/>
      <c r="D228" s="16"/>
      <c r="E228" s="16"/>
    </row>
    <row r="229" hidden="1">
      <c r="A229" s="38"/>
      <c r="B229" s="38"/>
      <c r="C229" s="16"/>
      <c r="D229" s="16"/>
      <c r="E229" s="16"/>
    </row>
    <row r="230" hidden="1">
      <c r="A230" s="38"/>
      <c r="B230" s="38"/>
      <c r="C230" s="16"/>
      <c r="D230" s="16"/>
      <c r="E230" s="16"/>
    </row>
    <row r="231" hidden="1">
      <c r="A231" s="38"/>
      <c r="B231" s="38"/>
      <c r="C231" s="16"/>
      <c r="D231" s="16"/>
      <c r="E231" s="16"/>
    </row>
    <row r="232" hidden="1">
      <c r="A232" s="38"/>
      <c r="B232" s="38"/>
      <c r="C232" s="16"/>
      <c r="D232" s="16"/>
      <c r="E232" s="16"/>
    </row>
    <row r="233" hidden="1">
      <c r="A233" s="38"/>
      <c r="B233" s="38"/>
      <c r="C233" s="16"/>
      <c r="D233" s="16"/>
      <c r="E233" s="16"/>
    </row>
    <row r="234" hidden="1">
      <c r="A234" s="38"/>
      <c r="B234" s="38"/>
      <c r="C234" s="16"/>
      <c r="D234" s="16"/>
      <c r="E234" s="16"/>
    </row>
    <row r="235" hidden="1">
      <c r="A235" s="38"/>
      <c r="B235" s="38"/>
      <c r="C235" s="16"/>
      <c r="D235" s="16"/>
      <c r="E235" s="16"/>
    </row>
    <row r="236" hidden="1">
      <c r="A236" s="38"/>
      <c r="B236" s="38"/>
      <c r="C236" s="16"/>
      <c r="D236" s="16"/>
      <c r="E236" s="16"/>
    </row>
    <row r="237" hidden="1">
      <c r="A237" s="38"/>
      <c r="B237" s="38"/>
      <c r="C237" s="16"/>
      <c r="D237" s="16"/>
      <c r="E237" s="16"/>
    </row>
    <row r="238" hidden="1">
      <c r="A238" s="38"/>
      <c r="B238" s="38"/>
      <c r="C238" s="16"/>
      <c r="D238" s="16"/>
      <c r="E238" s="16"/>
    </row>
    <row r="239" hidden="1">
      <c r="A239" s="38"/>
      <c r="B239" s="38"/>
      <c r="C239" s="16"/>
      <c r="D239" s="16"/>
      <c r="E239" s="16"/>
    </row>
    <row r="240" hidden="1">
      <c r="A240" s="38"/>
      <c r="B240" s="38"/>
      <c r="C240" s="16"/>
      <c r="D240" s="16"/>
      <c r="E240" s="16"/>
    </row>
    <row r="241" hidden="1">
      <c r="A241" s="38"/>
      <c r="B241" s="38"/>
      <c r="C241" s="16"/>
      <c r="D241" s="16"/>
      <c r="E241" s="16"/>
    </row>
    <row r="242" hidden="1">
      <c r="A242" s="38"/>
      <c r="B242" s="38"/>
      <c r="C242" s="16"/>
      <c r="D242" s="16"/>
      <c r="E242" s="16"/>
    </row>
    <row r="243" hidden="1">
      <c r="A243" s="38"/>
      <c r="B243" s="38"/>
      <c r="C243" s="16"/>
      <c r="D243" s="16"/>
      <c r="E243" s="16"/>
    </row>
    <row r="244" hidden="1">
      <c r="A244" s="38"/>
      <c r="B244" s="38"/>
      <c r="C244" s="16"/>
      <c r="D244" s="16"/>
      <c r="E244" s="16"/>
    </row>
    <row r="245" hidden="1">
      <c r="A245" s="38"/>
      <c r="B245" s="38"/>
      <c r="C245" s="16"/>
      <c r="D245" s="16"/>
      <c r="E245" s="16"/>
    </row>
    <row r="246" hidden="1">
      <c r="A246" s="38"/>
      <c r="B246" s="38"/>
      <c r="C246" s="16"/>
      <c r="D246" s="16"/>
      <c r="E246" s="16"/>
    </row>
    <row r="247" hidden="1">
      <c r="A247" s="38"/>
      <c r="B247" s="38"/>
      <c r="C247" s="16"/>
      <c r="D247" s="16"/>
      <c r="E247" s="16"/>
    </row>
    <row r="248" hidden="1">
      <c r="A248" s="38"/>
      <c r="B248" s="38"/>
      <c r="C248" s="16"/>
      <c r="D248" s="16"/>
      <c r="E248" s="16"/>
    </row>
    <row r="249" hidden="1">
      <c r="A249" s="38"/>
      <c r="B249" s="38"/>
      <c r="C249" s="16"/>
      <c r="D249" s="16"/>
      <c r="E249" s="16"/>
    </row>
    <row r="250" hidden="1">
      <c r="A250" s="38"/>
      <c r="B250" s="38"/>
      <c r="C250" s="16"/>
      <c r="D250" s="16"/>
      <c r="E250" s="16"/>
    </row>
    <row r="251" hidden="1">
      <c r="A251" s="38"/>
      <c r="B251" s="38"/>
      <c r="C251" s="16"/>
      <c r="D251" s="16"/>
      <c r="E251" s="16"/>
    </row>
    <row r="252" hidden="1">
      <c r="A252" s="38"/>
      <c r="B252" s="38"/>
      <c r="C252" s="16"/>
      <c r="D252" s="16"/>
      <c r="E252" s="16"/>
    </row>
    <row r="253" hidden="1">
      <c r="A253" s="38"/>
      <c r="B253" s="38"/>
      <c r="C253" s="16"/>
      <c r="D253" s="16"/>
      <c r="E253" s="16"/>
    </row>
    <row r="254" hidden="1">
      <c r="A254" s="38"/>
      <c r="B254" s="38"/>
      <c r="C254" s="16"/>
      <c r="D254" s="16"/>
      <c r="E254" s="16"/>
    </row>
    <row r="255" hidden="1">
      <c r="A255" s="38"/>
      <c r="B255" s="38"/>
      <c r="C255" s="16"/>
      <c r="D255" s="16"/>
      <c r="E255" s="16"/>
    </row>
    <row r="256" hidden="1">
      <c r="A256" s="38"/>
      <c r="B256" s="38"/>
      <c r="C256" s="16"/>
      <c r="D256" s="16"/>
      <c r="E256" s="16"/>
    </row>
    <row r="257" hidden="1">
      <c r="A257" s="38"/>
      <c r="B257" s="38"/>
      <c r="C257" s="16"/>
      <c r="D257" s="16"/>
      <c r="E257" s="16"/>
    </row>
    <row r="258" hidden="1">
      <c r="A258" s="38"/>
      <c r="B258" s="38"/>
      <c r="C258" s="16"/>
      <c r="D258" s="16"/>
      <c r="E258" s="16"/>
    </row>
    <row r="259" hidden="1">
      <c r="A259" s="38"/>
      <c r="B259" s="38"/>
      <c r="C259" s="16"/>
      <c r="D259" s="16"/>
      <c r="E259" s="16"/>
    </row>
    <row r="260" hidden="1">
      <c r="A260" s="38"/>
      <c r="B260" s="38"/>
      <c r="C260" s="16"/>
      <c r="D260" s="16"/>
      <c r="E260" s="16"/>
    </row>
    <row r="261" hidden="1">
      <c r="A261" s="38"/>
      <c r="B261" s="38"/>
      <c r="C261" s="16"/>
      <c r="D261" s="16"/>
      <c r="E261" s="16"/>
    </row>
    <row r="262" hidden="1">
      <c r="A262" s="38"/>
      <c r="B262" s="38"/>
      <c r="C262" s="16"/>
      <c r="D262" s="16"/>
      <c r="E262" s="16"/>
    </row>
    <row r="263" hidden="1">
      <c r="A263" s="38"/>
      <c r="B263" s="38"/>
      <c r="C263" s="16"/>
      <c r="D263" s="16"/>
      <c r="E263" s="16"/>
    </row>
    <row r="264" hidden="1">
      <c r="A264" s="38"/>
      <c r="B264" s="38"/>
      <c r="C264" s="16"/>
      <c r="D264" s="16"/>
      <c r="E264" s="16"/>
    </row>
    <row r="265" hidden="1">
      <c r="A265" s="38"/>
      <c r="B265" s="38"/>
      <c r="C265" s="16"/>
      <c r="D265" s="16"/>
      <c r="E265" s="16"/>
    </row>
    <row r="266" hidden="1">
      <c r="A266" s="38"/>
      <c r="B266" s="38"/>
      <c r="C266" s="16"/>
      <c r="D266" s="16"/>
      <c r="E266" s="16"/>
    </row>
    <row r="267" hidden="1">
      <c r="A267" s="38"/>
      <c r="B267" s="38"/>
      <c r="C267" s="16"/>
      <c r="D267" s="16"/>
      <c r="E267" s="16"/>
    </row>
    <row r="268" hidden="1">
      <c r="A268" s="38"/>
      <c r="B268" s="38"/>
      <c r="C268" s="16"/>
      <c r="D268" s="16"/>
      <c r="E268" s="16"/>
    </row>
    <row r="269" hidden="1">
      <c r="A269" s="38"/>
      <c r="B269" s="38"/>
      <c r="C269" s="16"/>
      <c r="D269" s="16"/>
      <c r="E269" s="16"/>
    </row>
    <row r="270" hidden="1">
      <c r="A270" s="38"/>
      <c r="B270" s="38"/>
      <c r="C270" s="16"/>
      <c r="D270" s="16"/>
      <c r="E270" s="16"/>
    </row>
    <row r="271" hidden="1">
      <c r="A271" s="38"/>
      <c r="B271" s="38"/>
      <c r="C271" s="16"/>
      <c r="D271" s="16"/>
      <c r="E271" s="16"/>
    </row>
    <row r="272" hidden="1">
      <c r="A272" s="38"/>
      <c r="B272" s="38"/>
      <c r="C272" s="16"/>
      <c r="D272" s="16"/>
      <c r="E272" s="16"/>
    </row>
    <row r="273" hidden="1">
      <c r="A273" s="38"/>
      <c r="B273" s="38"/>
      <c r="C273" s="16"/>
      <c r="D273" s="16"/>
      <c r="E273" s="16"/>
    </row>
    <row r="274" hidden="1">
      <c r="A274" s="38"/>
      <c r="B274" s="38"/>
      <c r="C274" s="16"/>
      <c r="D274" s="16"/>
      <c r="E274" s="16"/>
    </row>
    <row r="275" hidden="1">
      <c r="A275" s="38"/>
      <c r="B275" s="38"/>
      <c r="C275" s="16"/>
      <c r="D275" s="16"/>
      <c r="E275" s="16"/>
    </row>
    <row r="276" hidden="1">
      <c r="A276" s="38"/>
      <c r="B276" s="38"/>
      <c r="C276" s="16"/>
      <c r="D276" s="16"/>
      <c r="E276" s="16"/>
    </row>
    <row r="277" hidden="1">
      <c r="A277" s="38"/>
      <c r="B277" s="38"/>
      <c r="C277" s="16"/>
      <c r="D277" s="16"/>
      <c r="E277" s="16"/>
    </row>
    <row r="278" hidden="1">
      <c r="A278" s="38"/>
      <c r="B278" s="38"/>
      <c r="C278" s="16"/>
      <c r="D278" s="16"/>
      <c r="E278" s="16"/>
    </row>
    <row r="279" hidden="1">
      <c r="A279" s="38"/>
      <c r="B279" s="38"/>
      <c r="C279" s="16"/>
      <c r="D279" s="16"/>
      <c r="E279" s="16"/>
    </row>
    <row r="280" hidden="1">
      <c r="A280" s="38"/>
      <c r="B280" s="38"/>
      <c r="C280" s="16"/>
      <c r="D280" s="16"/>
      <c r="E280" s="16"/>
    </row>
    <row r="281" hidden="1">
      <c r="A281" s="38"/>
      <c r="B281" s="38"/>
      <c r="C281" s="16"/>
      <c r="D281" s="16"/>
      <c r="E281" s="16"/>
    </row>
    <row r="282" hidden="1">
      <c r="A282" s="38"/>
      <c r="B282" s="38"/>
      <c r="C282" s="16"/>
      <c r="D282" s="16"/>
      <c r="E282" s="16"/>
    </row>
    <row r="283" hidden="1">
      <c r="A283" s="38"/>
      <c r="B283" s="38"/>
      <c r="C283" s="16"/>
      <c r="D283" s="16"/>
      <c r="E283" s="16"/>
    </row>
    <row r="284" hidden="1">
      <c r="A284" s="38"/>
      <c r="B284" s="38"/>
      <c r="C284" s="16"/>
      <c r="D284" s="16"/>
      <c r="E284" s="16"/>
    </row>
    <row r="285" hidden="1">
      <c r="A285" s="38"/>
      <c r="B285" s="38"/>
      <c r="C285" s="16"/>
      <c r="D285" s="16"/>
      <c r="E285" s="16"/>
    </row>
    <row r="286" hidden="1">
      <c r="A286" s="38"/>
      <c r="B286" s="38"/>
      <c r="C286" s="16"/>
      <c r="D286" s="16"/>
      <c r="E286" s="16"/>
    </row>
    <row r="287" hidden="1">
      <c r="A287" s="38"/>
      <c r="B287" s="38"/>
      <c r="C287" s="16"/>
      <c r="D287" s="16"/>
      <c r="E287" s="16"/>
    </row>
    <row r="288" hidden="1">
      <c r="A288" s="38"/>
      <c r="B288" s="38"/>
      <c r="C288" s="16"/>
      <c r="D288" s="16"/>
      <c r="E288" s="16"/>
    </row>
    <row r="289" hidden="1">
      <c r="A289" s="38"/>
      <c r="B289" s="38"/>
      <c r="C289" s="16"/>
      <c r="D289" s="16"/>
      <c r="E289" s="16"/>
    </row>
    <row r="290" hidden="1">
      <c r="A290" s="38"/>
      <c r="B290" s="38"/>
      <c r="C290" s="16"/>
      <c r="D290" s="16"/>
      <c r="E290" s="16"/>
    </row>
    <row r="291" hidden="1">
      <c r="A291" s="38"/>
      <c r="B291" s="38"/>
      <c r="C291" s="16"/>
      <c r="D291" s="16"/>
      <c r="E291" s="16"/>
    </row>
    <row r="292" hidden="1">
      <c r="A292" s="38"/>
      <c r="B292" s="38"/>
      <c r="C292" s="16"/>
      <c r="D292" s="16"/>
      <c r="E292" s="16"/>
    </row>
    <row r="293" hidden="1">
      <c r="A293" s="38"/>
      <c r="B293" s="38"/>
      <c r="C293" s="16"/>
      <c r="D293" s="16"/>
      <c r="E293" s="16"/>
    </row>
    <row r="294" hidden="1">
      <c r="A294" s="38"/>
      <c r="B294" s="38"/>
      <c r="C294" s="16"/>
      <c r="D294" s="16"/>
      <c r="E294" s="16"/>
    </row>
    <row r="295" hidden="1">
      <c r="A295" s="38"/>
      <c r="B295" s="38"/>
      <c r="C295" s="16"/>
      <c r="D295" s="16"/>
      <c r="E295" s="16"/>
    </row>
    <row r="296" hidden="1">
      <c r="A296" s="38"/>
      <c r="B296" s="38"/>
      <c r="C296" s="16"/>
      <c r="D296" s="16"/>
      <c r="E296" s="16"/>
    </row>
    <row r="297" hidden="1">
      <c r="A297" s="38"/>
      <c r="B297" s="38"/>
      <c r="C297" s="16"/>
      <c r="D297" s="16"/>
      <c r="E297" s="16"/>
    </row>
    <row r="298" hidden="1">
      <c r="A298" s="38"/>
      <c r="B298" s="38"/>
      <c r="C298" s="16"/>
      <c r="D298" s="16"/>
      <c r="E298" s="16"/>
    </row>
    <row r="299" hidden="1">
      <c r="A299" s="38"/>
      <c r="B299" s="38"/>
      <c r="C299" s="16"/>
      <c r="D299" s="16"/>
      <c r="E299" s="16"/>
    </row>
    <row r="300" hidden="1">
      <c r="A300" s="38"/>
      <c r="B300" s="38"/>
      <c r="C300" s="16"/>
      <c r="D300" s="16"/>
      <c r="E300" s="16"/>
    </row>
    <row r="301" hidden="1">
      <c r="A301" s="38"/>
      <c r="B301" s="38"/>
      <c r="C301" s="16"/>
      <c r="D301" s="16"/>
      <c r="E301" s="16"/>
    </row>
    <row r="302" hidden="1">
      <c r="A302" s="38"/>
      <c r="B302" s="38"/>
      <c r="C302" s="16"/>
      <c r="D302" s="16"/>
      <c r="E302" s="16"/>
    </row>
    <row r="303" hidden="1">
      <c r="A303" s="38"/>
      <c r="B303" s="38"/>
      <c r="C303" s="16"/>
      <c r="D303" s="16"/>
      <c r="E303" s="16"/>
    </row>
    <row r="304" hidden="1">
      <c r="A304" s="38"/>
      <c r="B304" s="38"/>
      <c r="C304" s="16"/>
      <c r="D304" s="16"/>
      <c r="E304" s="16"/>
    </row>
    <row r="305" hidden="1">
      <c r="A305" s="38"/>
      <c r="B305" s="38"/>
      <c r="C305" s="16"/>
      <c r="D305" s="16"/>
      <c r="E305" s="16"/>
    </row>
    <row r="306" hidden="1">
      <c r="A306" s="38"/>
      <c r="B306" s="38"/>
      <c r="C306" s="16"/>
      <c r="D306" s="16"/>
      <c r="E306" s="16"/>
    </row>
    <row r="307" hidden="1">
      <c r="A307" s="38"/>
      <c r="B307" s="38"/>
      <c r="C307" s="16"/>
      <c r="D307" s="16"/>
      <c r="E307" s="16"/>
    </row>
    <row r="308" hidden="1">
      <c r="A308" s="38"/>
      <c r="B308" s="38"/>
      <c r="C308" s="16"/>
      <c r="D308" s="16"/>
      <c r="E308" s="16"/>
    </row>
    <row r="309" hidden="1">
      <c r="A309" s="38"/>
      <c r="B309" s="38"/>
      <c r="C309" s="16"/>
      <c r="D309" s="16"/>
      <c r="E309" s="16"/>
    </row>
    <row r="310" hidden="1">
      <c r="A310" s="38"/>
      <c r="B310" s="38"/>
      <c r="C310" s="16"/>
      <c r="D310" s="16"/>
      <c r="E310" s="16"/>
    </row>
    <row r="311" hidden="1">
      <c r="A311" s="38"/>
      <c r="B311" s="38"/>
      <c r="C311" s="16"/>
      <c r="D311" s="16"/>
      <c r="E311" s="16"/>
    </row>
    <row r="312" hidden="1">
      <c r="A312" s="38"/>
      <c r="B312" s="38"/>
      <c r="C312" s="16"/>
      <c r="D312" s="16"/>
      <c r="E312" s="16"/>
    </row>
    <row r="313" hidden="1">
      <c r="A313" s="38"/>
      <c r="B313" s="38"/>
      <c r="C313" s="16"/>
      <c r="D313" s="16"/>
      <c r="E313" s="16"/>
    </row>
    <row r="314" hidden="1">
      <c r="A314" s="38"/>
      <c r="B314" s="38"/>
      <c r="C314" s="16"/>
      <c r="D314" s="16"/>
      <c r="E314" s="16"/>
    </row>
    <row r="315" hidden="1">
      <c r="A315" s="38"/>
      <c r="B315" s="38"/>
      <c r="C315" s="16"/>
      <c r="D315" s="16"/>
      <c r="E315" s="16"/>
    </row>
    <row r="316" hidden="1">
      <c r="A316" s="38"/>
      <c r="B316" s="38"/>
      <c r="C316" s="16"/>
      <c r="D316" s="16"/>
      <c r="E316" s="16"/>
    </row>
    <row r="317" hidden="1">
      <c r="A317" s="38"/>
      <c r="B317" s="38"/>
      <c r="C317" s="16"/>
      <c r="D317" s="16"/>
      <c r="E317" s="16"/>
    </row>
    <row r="318" hidden="1">
      <c r="A318" s="38"/>
      <c r="B318" s="38"/>
      <c r="C318" s="16"/>
      <c r="D318" s="16"/>
      <c r="E318" s="16"/>
    </row>
    <row r="319" hidden="1">
      <c r="A319" s="38"/>
      <c r="B319" s="38"/>
      <c r="C319" s="16"/>
      <c r="D319" s="16"/>
      <c r="E319" s="16"/>
    </row>
    <row r="320" hidden="1">
      <c r="A320" s="38"/>
      <c r="B320" s="38"/>
      <c r="C320" s="16"/>
      <c r="D320" s="16"/>
      <c r="E320" s="16"/>
    </row>
    <row r="321" hidden="1">
      <c r="A321" s="38"/>
      <c r="B321" s="38"/>
      <c r="C321" s="16"/>
      <c r="D321" s="16"/>
      <c r="E321" s="16"/>
    </row>
    <row r="322" hidden="1">
      <c r="A322" s="38"/>
      <c r="B322" s="38"/>
      <c r="C322" s="16"/>
      <c r="D322" s="16"/>
      <c r="E322" s="16"/>
    </row>
    <row r="323" hidden="1">
      <c r="A323" s="38"/>
      <c r="B323" s="38"/>
      <c r="C323" s="16"/>
      <c r="D323" s="16"/>
      <c r="E323" s="16"/>
    </row>
    <row r="324" hidden="1">
      <c r="A324" s="38"/>
      <c r="B324" s="38"/>
      <c r="C324" s="16"/>
      <c r="D324" s="16"/>
      <c r="E324" s="16"/>
    </row>
    <row r="325" hidden="1">
      <c r="A325" s="38"/>
      <c r="B325" s="38"/>
      <c r="C325" s="16"/>
      <c r="D325" s="16"/>
      <c r="E325" s="16"/>
    </row>
    <row r="326" hidden="1">
      <c r="A326" s="38"/>
      <c r="B326" s="38"/>
      <c r="C326" s="16"/>
      <c r="D326" s="16"/>
      <c r="E326" s="16"/>
    </row>
    <row r="327" hidden="1">
      <c r="A327" s="38"/>
      <c r="B327" s="38"/>
      <c r="C327" s="16"/>
      <c r="D327" s="16"/>
      <c r="E327" s="16"/>
    </row>
    <row r="328" hidden="1">
      <c r="A328" s="38"/>
      <c r="B328" s="38"/>
      <c r="C328" s="16"/>
      <c r="D328" s="16"/>
      <c r="E328" s="16"/>
    </row>
    <row r="329" hidden="1">
      <c r="A329" s="38"/>
      <c r="B329" s="38"/>
      <c r="C329" s="16"/>
      <c r="D329" s="16"/>
      <c r="E329" s="16"/>
    </row>
    <row r="330" hidden="1">
      <c r="A330" s="38"/>
      <c r="B330" s="38"/>
      <c r="C330" s="16"/>
      <c r="D330" s="16"/>
      <c r="E330" s="16"/>
    </row>
    <row r="331" hidden="1">
      <c r="A331" s="38"/>
      <c r="B331" s="38"/>
      <c r="C331" s="16"/>
      <c r="D331" s="16"/>
      <c r="E331" s="16"/>
    </row>
    <row r="332" hidden="1">
      <c r="A332" s="38"/>
      <c r="B332" s="38"/>
      <c r="C332" s="16"/>
      <c r="D332" s="16"/>
      <c r="E332" s="16"/>
    </row>
    <row r="333" hidden="1">
      <c r="A333" s="38"/>
      <c r="B333" s="38"/>
      <c r="C333" s="16"/>
      <c r="D333" s="16"/>
      <c r="E333" s="16"/>
    </row>
    <row r="334" hidden="1">
      <c r="A334" s="38"/>
      <c r="B334" s="38"/>
      <c r="C334" s="16"/>
      <c r="D334" s="16"/>
      <c r="E334" s="16"/>
    </row>
    <row r="335" hidden="1">
      <c r="A335" s="38"/>
      <c r="B335" s="38"/>
      <c r="C335" s="16"/>
      <c r="D335" s="16"/>
      <c r="E335" s="16"/>
    </row>
    <row r="336" hidden="1">
      <c r="A336" s="38"/>
      <c r="B336" s="38"/>
      <c r="C336" s="16"/>
      <c r="D336" s="16"/>
      <c r="E336" s="16"/>
    </row>
    <row r="337" hidden="1">
      <c r="A337" s="38"/>
      <c r="B337" s="38"/>
      <c r="C337" s="16"/>
      <c r="D337" s="16"/>
      <c r="E337" s="16"/>
    </row>
    <row r="338" hidden="1">
      <c r="A338" s="38"/>
      <c r="B338" s="38"/>
      <c r="C338" s="16"/>
      <c r="D338" s="16"/>
      <c r="E338" s="16"/>
    </row>
    <row r="339" hidden="1">
      <c r="A339" s="38"/>
      <c r="B339" s="38"/>
      <c r="C339" s="16"/>
      <c r="D339" s="16"/>
      <c r="E339" s="16"/>
    </row>
    <row r="340" hidden="1">
      <c r="A340" s="38"/>
      <c r="B340" s="38"/>
      <c r="C340" s="16"/>
      <c r="D340" s="16"/>
      <c r="E340" s="16"/>
    </row>
    <row r="341" hidden="1">
      <c r="A341" s="38"/>
      <c r="B341" s="38"/>
      <c r="C341" s="16"/>
      <c r="D341" s="16"/>
      <c r="E341" s="16"/>
    </row>
    <row r="342" hidden="1">
      <c r="A342" s="38"/>
      <c r="B342" s="38"/>
      <c r="C342" s="16"/>
      <c r="D342" s="16"/>
      <c r="E342" s="16"/>
    </row>
    <row r="343" hidden="1">
      <c r="A343" s="38"/>
      <c r="B343" s="38"/>
      <c r="C343" s="16"/>
      <c r="D343" s="16"/>
      <c r="E343" s="16"/>
    </row>
    <row r="344" hidden="1">
      <c r="A344" s="38"/>
      <c r="B344" s="38"/>
      <c r="C344" s="16"/>
      <c r="D344" s="16"/>
      <c r="E344" s="16"/>
    </row>
    <row r="345" hidden="1">
      <c r="A345" s="38"/>
      <c r="B345" s="38"/>
      <c r="C345" s="16"/>
      <c r="D345" s="16"/>
      <c r="E345" s="16"/>
    </row>
    <row r="346" hidden="1">
      <c r="A346" s="38"/>
      <c r="B346" s="38"/>
      <c r="C346" s="16"/>
      <c r="D346" s="16"/>
      <c r="E346" s="16"/>
    </row>
    <row r="347" hidden="1">
      <c r="A347" s="38"/>
      <c r="B347" s="38"/>
      <c r="C347" s="16"/>
      <c r="D347" s="16"/>
      <c r="E347" s="16"/>
    </row>
    <row r="348" hidden="1">
      <c r="A348" s="38"/>
      <c r="B348" s="38"/>
      <c r="C348" s="16"/>
      <c r="D348" s="16"/>
      <c r="E348" s="16"/>
    </row>
    <row r="349" hidden="1">
      <c r="A349" s="38"/>
      <c r="B349" s="38"/>
      <c r="C349" s="16"/>
      <c r="D349" s="16"/>
      <c r="E349" s="16"/>
    </row>
    <row r="350" hidden="1">
      <c r="A350" s="38"/>
      <c r="B350" s="38"/>
      <c r="C350" s="16"/>
      <c r="D350" s="16"/>
      <c r="E350" s="16"/>
    </row>
    <row r="351" hidden="1">
      <c r="A351" s="38"/>
      <c r="B351" s="38"/>
      <c r="C351" s="16"/>
      <c r="D351" s="16"/>
      <c r="E351" s="16"/>
    </row>
    <row r="352" hidden="1">
      <c r="A352" s="38"/>
      <c r="B352" s="38"/>
      <c r="C352" s="16"/>
      <c r="D352" s="16"/>
      <c r="E352" s="16"/>
    </row>
    <row r="353" hidden="1">
      <c r="A353" s="38"/>
      <c r="B353" s="38"/>
      <c r="C353" s="16"/>
      <c r="D353" s="16"/>
      <c r="E353" s="16"/>
    </row>
    <row r="354" hidden="1">
      <c r="A354" s="38"/>
      <c r="B354" s="38"/>
      <c r="C354" s="16"/>
      <c r="D354" s="16"/>
      <c r="E354" s="16"/>
    </row>
    <row r="355" hidden="1">
      <c r="A355" s="38"/>
      <c r="B355" s="38"/>
      <c r="C355" s="16"/>
      <c r="D355" s="16"/>
      <c r="E355" s="16"/>
    </row>
    <row r="356" hidden="1">
      <c r="A356" s="38"/>
      <c r="B356" s="38"/>
      <c r="C356" s="16"/>
      <c r="D356" s="16"/>
      <c r="E356" s="16"/>
    </row>
    <row r="357" hidden="1">
      <c r="A357" s="38"/>
      <c r="B357" s="38"/>
      <c r="C357" s="16"/>
      <c r="D357" s="16"/>
      <c r="E357" s="16"/>
    </row>
    <row r="358" hidden="1">
      <c r="A358" s="38"/>
      <c r="B358" s="38"/>
      <c r="C358" s="16"/>
      <c r="D358" s="16"/>
      <c r="E358" s="16"/>
    </row>
    <row r="359" hidden="1">
      <c r="A359" s="38"/>
      <c r="B359" s="38"/>
      <c r="C359" s="16"/>
      <c r="D359" s="16"/>
      <c r="E359" s="16"/>
    </row>
    <row r="360" hidden="1">
      <c r="A360" s="38"/>
      <c r="B360" s="38"/>
      <c r="C360" s="16"/>
      <c r="D360" s="16"/>
      <c r="E360" s="16"/>
    </row>
    <row r="361" hidden="1">
      <c r="A361" s="38"/>
      <c r="B361" s="38"/>
      <c r="C361" s="16"/>
      <c r="D361" s="16"/>
      <c r="E361" s="16"/>
    </row>
    <row r="362" hidden="1">
      <c r="A362" s="38"/>
      <c r="B362" s="38"/>
      <c r="C362" s="16"/>
      <c r="D362" s="16"/>
      <c r="E362" s="16"/>
    </row>
    <row r="363" hidden="1">
      <c r="A363" s="38"/>
      <c r="B363" s="38"/>
      <c r="C363" s="16"/>
      <c r="D363" s="16"/>
      <c r="E363" s="16"/>
    </row>
    <row r="364" hidden="1">
      <c r="A364" s="38"/>
      <c r="B364" s="38"/>
      <c r="C364" s="16"/>
      <c r="D364" s="16"/>
      <c r="E364" s="16"/>
    </row>
    <row r="365" hidden="1">
      <c r="A365" s="38"/>
      <c r="B365" s="38"/>
      <c r="C365" s="16"/>
      <c r="D365" s="16"/>
      <c r="E365" s="16"/>
    </row>
    <row r="366" hidden="1">
      <c r="A366" s="38"/>
      <c r="B366" s="38"/>
      <c r="C366" s="16"/>
      <c r="D366" s="16"/>
      <c r="E366" s="16"/>
    </row>
    <row r="367" hidden="1">
      <c r="A367" s="38"/>
      <c r="B367" s="38"/>
      <c r="C367" s="16"/>
      <c r="D367" s="16"/>
      <c r="E367" s="16"/>
    </row>
    <row r="368" hidden="1">
      <c r="A368" s="38"/>
      <c r="B368" s="38"/>
      <c r="C368" s="16"/>
      <c r="D368" s="16"/>
      <c r="E368" s="16"/>
    </row>
    <row r="369" hidden="1">
      <c r="A369" s="38"/>
      <c r="B369" s="38"/>
      <c r="C369" s="16"/>
      <c r="D369" s="16"/>
      <c r="E369" s="16"/>
    </row>
    <row r="370" hidden="1">
      <c r="A370" s="38"/>
      <c r="B370" s="38"/>
      <c r="C370" s="16"/>
      <c r="D370" s="16"/>
      <c r="E370" s="16"/>
    </row>
    <row r="371" hidden="1">
      <c r="A371" s="38"/>
      <c r="B371" s="38"/>
      <c r="C371" s="16"/>
      <c r="D371" s="16"/>
      <c r="E371" s="16"/>
    </row>
    <row r="372" hidden="1">
      <c r="A372" s="38"/>
      <c r="B372" s="38"/>
      <c r="C372" s="16"/>
      <c r="D372" s="16"/>
      <c r="E372" s="16"/>
    </row>
    <row r="373" hidden="1">
      <c r="A373" s="38"/>
      <c r="B373" s="38"/>
      <c r="C373" s="16"/>
      <c r="D373" s="16"/>
      <c r="E373" s="16"/>
    </row>
    <row r="374" hidden="1">
      <c r="A374" s="38"/>
      <c r="B374" s="38"/>
      <c r="C374" s="16"/>
      <c r="D374" s="16"/>
      <c r="E374" s="16"/>
    </row>
    <row r="375" hidden="1">
      <c r="A375" s="38"/>
      <c r="B375" s="38"/>
      <c r="C375" s="16"/>
      <c r="D375" s="16"/>
      <c r="E375" s="16"/>
    </row>
    <row r="376" hidden="1">
      <c r="A376" s="38"/>
      <c r="B376" s="38"/>
      <c r="C376" s="16"/>
      <c r="D376" s="16"/>
      <c r="E376" s="16"/>
    </row>
    <row r="377" hidden="1">
      <c r="A377" s="38"/>
      <c r="B377" s="38"/>
      <c r="C377" s="16"/>
      <c r="D377" s="16"/>
      <c r="E377" s="16"/>
    </row>
    <row r="378" hidden="1">
      <c r="A378" s="38"/>
      <c r="B378" s="38"/>
      <c r="C378" s="16"/>
      <c r="D378" s="16"/>
      <c r="E378" s="16"/>
    </row>
    <row r="379" hidden="1">
      <c r="A379" s="38"/>
      <c r="B379" s="38"/>
      <c r="C379" s="16"/>
      <c r="D379" s="16"/>
      <c r="E379" s="16"/>
    </row>
    <row r="380" hidden="1">
      <c r="A380" s="38"/>
      <c r="B380" s="38"/>
      <c r="C380" s="16"/>
      <c r="D380" s="16"/>
      <c r="E380" s="16"/>
    </row>
    <row r="381" hidden="1">
      <c r="A381" s="38"/>
      <c r="B381" s="38"/>
      <c r="C381" s="16"/>
      <c r="D381" s="16"/>
      <c r="E381" s="16"/>
    </row>
    <row r="382" hidden="1">
      <c r="A382" s="38"/>
      <c r="B382" s="38"/>
      <c r="C382" s="16"/>
      <c r="D382" s="16"/>
      <c r="E382" s="16"/>
    </row>
    <row r="383" hidden="1">
      <c r="A383" s="38"/>
      <c r="B383" s="38"/>
      <c r="C383" s="16"/>
      <c r="D383" s="16"/>
      <c r="E383" s="16"/>
    </row>
    <row r="384" hidden="1">
      <c r="A384" s="38"/>
      <c r="B384" s="38"/>
      <c r="C384" s="16"/>
      <c r="D384" s="16"/>
      <c r="E384" s="16"/>
    </row>
    <row r="385" hidden="1">
      <c r="A385" s="38"/>
      <c r="B385" s="38"/>
      <c r="C385" s="16"/>
      <c r="D385" s="16"/>
      <c r="E385" s="16"/>
    </row>
    <row r="386" hidden="1">
      <c r="A386" s="38"/>
      <c r="B386" s="38"/>
      <c r="C386" s="16"/>
      <c r="D386" s="16"/>
      <c r="E386" s="16"/>
    </row>
    <row r="387" hidden="1">
      <c r="A387" s="38"/>
      <c r="B387" s="38"/>
      <c r="C387" s="16"/>
      <c r="D387" s="16"/>
      <c r="E387" s="16"/>
    </row>
    <row r="388" hidden="1">
      <c r="A388" s="38"/>
      <c r="B388" s="38"/>
      <c r="C388" s="16"/>
      <c r="D388" s="16"/>
      <c r="E388" s="16"/>
    </row>
    <row r="389" hidden="1">
      <c r="A389" s="38"/>
      <c r="B389" s="38"/>
      <c r="C389" s="16"/>
      <c r="D389" s="16"/>
      <c r="E389" s="16"/>
    </row>
    <row r="390" hidden="1">
      <c r="A390" s="38"/>
      <c r="B390" s="38"/>
      <c r="C390" s="16"/>
      <c r="D390" s="16"/>
      <c r="E390" s="16"/>
    </row>
    <row r="391" hidden="1">
      <c r="A391" s="38"/>
      <c r="B391" s="38"/>
      <c r="C391" s="16"/>
      <c r="D391" s="16"/>
      <c r="E391" s="16"/>
    </row>
    <row r="392" hidden="1">
      <c r="A392" s="38"/>
      <c r="B392" s="38"/>
      <c r="C392" s="16"/>
      <c r="D392" s="16"/>
      <c r="E392" s="16"/>
    </row>
    <row r="393" hidden="1">
      <c r="A393" s="38"/>
      <c r="B393" s="38"/>
      <c r="C393" s="16"/>
      <c r="D393" s="16"/>
      <c r="E393" s="16"/>
    </row>
    <row r="394" hidden="1">
      <c r="A394" s="38"/>
      <c r="B394" s="38"/>
      <c r="C394" s="16"/>
      <c r="D394" s="16"/>
      <c r="E394" s="16"/>
    </row>
    <row r="395" hidden="1">
      <c r="A395" s="38"/>
      <c r="B395" s="38"/>
      <c r="C395" s="16"/>
      <c r="D395" s="16"/>
      <c r="E395" s="16"/>
    </row>
    <row r="396" hidden="1">
      <c r="A396" s="38"/>
      <c r="B396" s="38"/>
      <c r="C396" s="16"/>
      <c r="D396" s="16"/>
      <c r="E396" s="16"/>
    </row>
    <row r="397" hidden="1">
      <c r="A397" s="38"/>
      <c r="B397" s="38"/>
      <c r="C397" s="16"/>
      <c r="D397" s="16"/>
      <c r="E397" s="16"/>
    </row>
    <row r="398" hidden="1">
      <c r="A398" s="38"/>
      <c r="B398" s="38"/>
      <c r="C398" s="16"/>
      <c r="D398" s="16"/>
      <c r="E398" s="16"/>
    </row>
    <row r="399" hidden="1">
      <c r="A399" s="38"/>
      <c r="B399" s="38"/>
      <c r="C399" s="16"/>
      <c r="D399" s="16"/>
      <c r="E399" s="16"/>
    </row>
    <row r="400" hidden="1">
      <c r="A400" s="38"/>
      <c r="B400" s="38"/>
      <c r="C400" s="16"/>
      <c r="D400" s="16"/>
      <c r="E400" s="16"/>
    </row>
    <row r="401" hidden="1">
      <c r="A401" s="38"/>
      <c r="B401" s="38"/>
      <c r="C401" s="16"/>
      <c r="D401" s="16"/>
      <c r="E401" s="16"/>
    </row>
    <row r="402" hidden="1">
      <c r="A402" s="38"/>
      <c r="B402" s="38"/>
      <c r="C402" s="16"/>
      <c r="D402" s="16"/>
      <c r="E402" s="16"/>
    </row>
    <row r="403" hidden="1">
      <c r="A403" s="38"/>
      <c r="B403" s="38"/>
      <c r="C403" s="16"/>
      <c r="D403" s="16"/>
      <c r="E403" s="16"/>
    </row>
    <row r="404" hidden="1">
      <c r="A404" s="38"/>
      <c r="B404" s="38"/>
      <c r="C404" s="16"/>
      <c r="D404" s="16"/>
      <c r="E404" s="16"/>
    </row>
    <row r="405" hidden="1">
      <c r="A405" s="38"/>
      <c r="B405" s="38"/>
      <c r="C405" s="16"/>
      <c r="D405" s="16"/>
      <c r="E405" s="16"/>
    </row>
    <row r="406" hidden="1">
      <c r="A406" s="38"/>
      <c r="B406" s="38"/>
      <c r="C406" s="16"/>
      <c r="D406" s="16"/>
      <c r="E406" s="16"/>
    </row>
    <row r="407" hidden="1">
      <c r="A407" s="38"/>
      <c r="B407" s="38"/>
      <c r="C407" s="16"/>
      <c r="D407" s="16"/>
      <c r="E407" s="16"/>
    </row>
    <row r="408" hidden="1">
      <c r="A408" s="38"/>
      <c r="B408" s="38"/>
      <c r="C408" s="16"/>
      <c r="D408" s="16"/>
      <c r="E408" s="16"/>
    </row>
    <row r="409" hidden="1">
      <c r="A409" s="38"/>
      <c r="B409" s="38"/>
      <c r="C409" s="16"/>
      <c r="D409" s="16"/>
      <c r="E409" s="16"/>
    </row>
    <row r="410" hidden="1">
      <c r="A410" s="38"/>
      <c r="B410" s="38"/>
      <c r="C410" s="16"/>
      <c r="D410" s="16"/>
      <c r="E410" s="16"/>
    </row>
    <row r="411" hidden="1">
      <c r="A411" s="38"/>
      <c r="B411" s="38"/>
      <c r="C411" s="16"/>
      <c r="D411" s="16"/>
      <c r="E411" s="16"/>
    </row>
    <row r="412" hidden="1">
      <c r="A412" s="38"/>
      <c r="B412" s="38"/>
      <c r="C412" s="16"/>
      <c r="D412" s="16"/>
      <c r="E412" s="16"/>
    </row>
    <row r="413" hidden="1">
      <c r="A413" s="38"/>
      <c r="B413" s="38"/>
      <c r="C413" s="16"/>
      <c r="D413" s="16"/>
      <c r="E413" s="16"/>
    </row>
    <row r="414" hidden="1">
      <c r="A414" s="38"/>
      <c r="B414" s="38"/>
      <c r="C414" s="16"/>
      <c r="D414" s="16"/>
      <c r="E414" s="16"/>
    </row>
    <row r="415" hidden="1">
      <c r="A415" s="38"/>
      <c r="B415" s="38"/>
      <c r="C415" s="16"/>
      <c r="D415" s="16"/>
      <c r="E415" s="16"/>
    </row>
    <row r="416" hidden="1">
      <c r="A416" s="38"/>
      <c r="B416" s="38"/>
      <c r="C416" s="16"/>
      <c r="D416" s="16"/>
      <c r="E416" s="16"/>
    </row>
    <row r="417" hidden="1">
      <c r="A417" s="38"/>
      <c r="B417" s="38"/>
      <c r="C417" s="16"/>
      <c r="D417" s="16"/>
      <c r="E417" s="16"/>
    </row>
    <row r="418" hidden="1">
      <c r="A418" s="38"/>
      <c r="B418" s="38"/>
      <c r="C418" s="16"/>
      <c r="D418" s="16"/>
      <c r="E418" s="16"/>
    </row>
    <row r="419" hidden="1">
      <c r="A419" s="38"/>
      <c r="B419" s="38"/>
      <c r="C419" s="16"/>
      <c r="D419" s="16"/>
      <c r="E419" s="16"/>
    </row>
    <row r="420" hidden="1">
      <c r="A420" s="38"/>
      <c r="B420" s="38"/>
      <c r="C420" s="16"/>
      <c r="D420" s="16"/>
      <c r="E420" s="16"/>
    </row>
    <row r="421" hidden="1">
      <c r="A421" s="38"/>
      <c r="B421" s="38"/>
      <c r="C421" s="16"/>
      <c r="D421" s="16"/>
      <c r="E421" s="16"/>
    </row>
    <row r="422" hidden="1">
      <c r="A422" s="38"/>
      <c r="B422" s="38"/>
      <c r="C422" s="16"/>
      <c r="D422" s="16"/>
      <c r="E422" s="16"/>
    </row>
    <row r="423" hidden="1">
      <c r="A423" s="38"/>
      <c r="B423" s="38"/>
      <c r="C423" s="16"/>
      <c r="D423" s="16"/>
      <c r="E423" s="16"/>
    </row>
    <row r="424" hidden="1">
      <c r="A424" s="38"/>
      <c r="B424" s="38"/>
      <c r="C424" s="16"/>
      <c r="D424" s="16"/>
      <c r="E424" s="16"/>
    </row>
    <row r="425" hidden="1">
      <c r="A425" s="38"/>
      <c r="B425" s="38"/>
      <c r="C425" s="16"/>
      <c r="D425" s="16"/>
      <c r="E425" s="16"/>
    </row>
    <row r="426" hidden="1">
      <c r="A426" s="38"/>
      <c r="B426" s="38"/>
      <c r="C426" s="16"/>
      <c r="D426" s="16"/>
      <c r="E426" s="16"/>
    </row>
    <row r="427" hidden="1">
      <c r="A427" s="38"/>
      <c r="B427" s="38"/>
      <c r="C427" s="16"/>
      <c r="D427" s="16"/>
      <c r="E427" s="16"/>
    </row>
    <row r="428" hidden="1">
      <c r="A428" s="38"/>
      <c r="B428" s="38"/>
      <c r="C428" s="16"/>
      <c r="D428" s="16"/>
      <c r="E428" s="16"/>
    </row>
    <row r="429" hidden="1">
      <c r="A429" s="38"/>
      <c r="B429" s="38"/>
      <c r="C429" s="16"/>
      <c r="D429" s="16"/>
      <c r="E429" s="16"/>
    </row>
    <row r="430" hidden="1">
      <c r="A430" s="38"/>
      <c r="B430" s="38"/>
      <c r="C430" s="16"/>
      <c r="D430" s="16"/>
      <c r="E430" s="16"/>
    </row>
    <row r="431" hidden="1">
      <c r="A431" s="38"/>
      <c r="B431" s="38"/>
      <c r="C431" s="16"/>
      <c r="D431" s="16"/>
      <c r="E431" s="16"/>
    </row>
    <row r="432" hidden="1">
      <c r="A432" s="38"/>
      <c r="B432" s="38"/>
      <c r="C432" s="16"/>
      <c r="D432" s="16"/>
      <c r="E432" s="16"/>
    </row>
    <row r="433" hidden="1">
      <c r="A433" s="38"/>
      <c r="B433" s="38"/>
      <c r="C433" s="16"/>
      <c r="D433" s="16"/>
      <c r="E433" s="16"/>
    </row>
    <row r="434" hidden="1">
      <c r="A434" s="38"/>
      <c r="B434" s="38"/>
      <c r="C434" s="16"/>
      <c r="D434" s="16"/>
      <c r="E434" s="16"/>
    </row>
    <row r="435" hidden="1">
      <c r="A435" s="38"/>
      <c r="B435" s="38"/>
      <c r="C435" s="16"/>
      <c r="D435" s="16"/>
      <c r="E435" s="16"/>
    </row>
    <row r="436" hidden="1">
      <c r="A436" s="38"/>
      <c r="B436" s="38"/>
      <c r="C436" s="16"/>
      <c r="D436" s="16"/>
      <c r="E436" s="16"/>
    </row>
    <row r="437" hidden="1">
      <c r="A437" s="38"/>
      <c r="B437" s="38"/>
      <c r="C437" s="16"/>
      <c r="D437" s="16"/>
      <c r="E437" s="16"/>
    </row>
    <row r="438" hidden="1">
      <c r="A438" s="38"/>
      <c r="B438" s="38"/>
      <c r="C438" s="16"/>
      <c r="D438" s="16"/>
      <c r="E438" s="16"/>
    </row>
    <row r="439" hidden="1">
      <c r="A439" s="38"/>
      <c r="B439" s="38"/>
      <c r="C439" s="16"/>
      <c r="D439" s="16"/>
      <c r="E439" s="16"/>
    </row>
    <row r="440" hidden="1">
      <c r="A440" s="38"/>
      <c r="B440" s="38"/>
      <c r="C440" s="16"/>
      <c r="D440" s="16"/>
      <c r="E440" s="16"/>
    </row>
    <row r="441" hidden="1">
      <c r="A441" s="38"/>
      <c r="B441" s="38"/>
      <c r="C441" s="16"/>
      <c r="D441" s="16"/>
      <c r="E441" s="16"/>
    </row>
    <row r="442" hidden="1">
      <c r="A442" s="38"/>
      <c r="B442" s="38"/>
      <c r="C442" s="16"/>
      <c r="D442" s="16"/>
      <c r="E442" s="16"/>
    </row>
    <row r="443" hidden="1">
      <c r="A443" s="38"/>
      <c r="B443" s="38"/>
      <c r="C443" s="16"/>
      <c r="D443" s="16"/>
      <c r="E443" s="16"/>
    </row>
    <row r="444" hidden="1">
      <c r="A444" s="38"/>
      <c r="B444" s="38"/>
      <c r="C444" s="16"/>
      <c r="D444" s="16"/>
      <c r="E444" s="16"/>
    </row>
    <row r="445" hidden="1">
      <c r="A445" s="38"/>
      <c r="B445" s="38"/>
      <c r="C445" s="16"/>
      <c r="D445" s="16"/>
      <c r="E445" s="16"/>
    </row>
    <row r="446" hidden="1">
      <c r="A446" s="38"/>
      <c r="B446" s="38"/>
      <c r="C446" s="16"/>
      <c r="D446" s="16"/>
      <c r="E446" s="16"/>
    </row>
    <row r="447" hidden="1">
      <c r="A447" s="38"/>
      <c r="B447" s="38"/>
      <c r="C447" s="16"/>
      <c r="D447" s="16"/>
      <c r="E447" s="16"/>
    </row>
    <row r="448" hidden="1">
      <c r="A448" s="38"/>
      <c r="B448" s="38"/>
      <c r="C448" s="16"/>
      <c r="D448" s="16"/>
      <c r="E448" s="16"/>
    </row>
    <row r="449" hidden="1">
      <c r="A449" s="38"/>
      <c r="B449" s="38"/>
      <c r="C449" s="16"/>
      <c r="D449" s="16"/>
      <c r="E449" s="16"/>
    </row>
    <row r="450" hidden="1">
      <c r="A450" s="38"/>
      <c r="B450" s="38"/>
      <c r="C450" s="16"/>
      <c r="D450" s="16"/>
      <c r="E450" s="16"/>
    </row>
    <row r="451" hidden="1">
      <c r="A451" s="38"/>
      <c r="B451" s="38"/>
      <c r="C451" s="16"/>
      <c r="D451" s="16"/>
      <c r="E451" s="16"/>
    </row>
    <row r="452" hidden="1">
      <c r="A452" s="38"/>
      <c r="B452" s="38"/>
      <c r="C452" s="16"/>
      <c r="D452" s="16"/>
      <c r="E452" s="16"/>
    </row>
    <row r="453" hidden="1">
      <c r="A453" s="38"/>
      <c r="B453" s="38"/>
      <c r="C453" s="16"/>
      <c r="D453" s="16"/>
      <c r="E453" s="16"/>
    </row>
    <row r="454" hidden="1">
      <c r="A454" s="38"/>
      <c r="B454" s="38"/>
      <c r="C454" s="16"/>
      <c r="D454" s="16"/>
      <c r="E454" s="16"/>
    </row>
    <row r="455" hidden="1">
      <c r="A455" s="38"/>
      <c r="B455" s="38"/>
      <c r="C455" s="16"/>
      <c r="D455" s="16"/>
      <c r="E455" s="16"/>
    </row>
    <row r="456" hidden="1">
      <c r="A456" s="38"/>
      <c r="B456" s="38"/>
      <c r="C456" s="16"/>
      <c r="D456" s="16"/>
      <c r="E456" s="16"/>
    </row>
    <row r="457" hidden="1">
      <c r="A457" s="38"/>
      <c r="B457" s="38"/>
      <c r="C457" s="16"/>
      <c r="D457" s="16"/>
      <c r="E457" s="16"/>
    </row>
    <row r="458" hidden="1">
      <c r="A458" s="38"/>
      <c r="B458" s="38"/>
      <c r="C458" s="16"/>
      <c r="D458" s="16"/>
      <c r="E458" s="16"/>
    </row>
    <row r="459" hidden="1">
      <c r="A459" s="38"/>
      <c r="B459" s="38"/>
      <c r="C459" s="16"/>
      <c r="D459" s="16"/>
      <c r="E459" s="16"/>
    </row>
    <row r="460" hidden="1">
      <c r="A460" s="38"/>
      <c r="B460" s="38"/>
      <c r="C460" s="16"/>
      <c r="D460" s="16"/>
      <c r="E460" s="16"/>
    </row>
    <row r="461" hidden="1">
      <c r="A461" s="38"/>
      <c r="B461" s="38"/>
      <c r="C461" s="16"/>
      <c r="D461" s="16"/>
      <c r="E461" s="16"/>
    </row>
    <row r="462" hidden="1">
      <c r="A462" s="38"/>
      <c r="B462" s="38"/>
      <c r="C462" s="16"/>
      <c r="D462" s="16"/>
      <c r="E462" s="16"/>
    </row>
    <row r="463" hidden="1">
      <c r="A463" s="38"/>
      <c r="B463" s="38"/>
      <c r="C463" s="16"/>
      <c r="D463" s="16"/>
      <c r="E463" s="16"/>
    </row>
    <row r="464" hidden="1">
      <c r="A464" s="38"/>
      <c r="B464" s="38"/>
      <c r="C464" s="16"/>
      <c r="D464" s="16"/>
      <c r="E464" s="16"/>
    </row>
    <row r="465" hidden="1">
      <c r="A465" s="38"/>
      <c r="B465" s="38"/>
      <c r="C465" s="16"/>
      <c r="D465" s="16"/>
      <c r="E465" s="16"/>
    </row>
    <row r="466" hidden="1">
      <c r="A466" s="38"/>
      <c r="B466" s="38"/>
      <c r="C466" s="16"/>
      <c r="D466" s="16"/>
      <c r="E466" s="16"/>
    </row>
    <row r="467" hidden="1">
      <c r="A467" s="38"/>
      <c r="B467" s="38"/>
      <c r="C467" s="16"/>
      <c r="D467" s="16"/>
      <c r="E467" s="16"/>
    </row>
    <row r="468" hidden="1">
      <c r="A468" s="38"/>
      <c r="B468" s="38"/>
      <c r="C468" s="16"/>
      <c r="D468" s="16"/>
      <c r="E468" s="16"/>
    </row>
    <row r="469" hidden="1">
      <c r="A469" s="38"/>
      <c r="B469" s="38"/>
      <c r="C469" s="16"/>
      <c r="D469" s="16"/>
      <c r="E469" s="16"/>
    </row>
    <row r="470" hidden="1">
      <c r="A470" s="38"/>
      <c r="B470" s="38"/>
      <c r="C470" s="16"/>
      <c r="D470" s="16"/>
      <c r="E470" s="16"/>
    </row>
    <row r="471" hidden="1">
      <c r="A471" s="38"/>
      <c r="B471" s="38"/>
      <c r="C471" s="16"/>
      <c r="D471" s="16"/>
      <c r="E471" s="16"/>
    </row>
    <row r="472" hidden="1">
      <c r="A472" s="38"/>
      <c r="B472" s="38"/>
      <c r="C472" s="16"/>
      <c r="D472" s="16"/>
      <c r="E472" s="16"/>
    </row>
    <row r="473" hidden="1">
      <c r="A473" s="38"/>
      <c r="B473" s="38"/>
      <c r="C473" s="16"/>
      <c r="D473" s="16"/>
      <c r="E473" s="16"/>
    </row>
    <row r="474" hidden="1">
      <c r="A474" s="38"/>
      <c r="B474" s="38"/>
      <c r="C474" s="16"/>
      <c r="D474" s="16"/>
      <c r="E474" s="16"/>
    </row>
    <row r="475" hidden="1">
      <c r="A475" s="38"/>
      <c r="B475" s="38"/>
      <c r="C475" s="16"/>
      <c r="D475" s="16"/>
      <c r="E475" s="16"/>
    </row>
    <row r="476" hidden="1">
      <c r="A476" s="38"/>
      <c r="B476" s="38"/>
      <c r="C476" s="16"/>
      <c r="D476" s="16"/>
      <c r="E476" s="16"/>
    </row>
    <row r="477" hidden="1">
      <c r="A477" s="38"/>
      <c r="B477" s="38"/>
      <c r="C477" s="16"/>
      <c r="D477" s="16"/>
      <c r="E477" s="16"/>
    </row>
    <row r="478" hidden="1">
      <c r="A478" s="38"/>
      <c r="B478" s="38"/>
      <c r="C478" s="16"/>
      <c r="D478" s="16"/>
      <c r="E478" s="16"/>
    </row>
    <row r="479" hidden="1">
      <c r="A479" s="38"/>
      <c r="B479" s="38"/>
      <c r="C479" s="16"/>
      <c r="D479" s="16"/>
      <c r="E479" s="16"/>
    </row>
    <row r="480" hidden="1">
      <c r="A480" s="38"/>
      <c r="B480" s="38"/>
      <c r="C480" s="16"/>
      <c r="D480" s="16"/>
      <c r="E480" s="16"/>
    </row>
    <row r="481" hidden="1">
      <c r="A481" s="38"/>
      <c r="B481" s="38"/>
      <c r="C481" s="16"/>
      <c r="D481" s="16"/>
      <c r="E481" s="16"/>
    </row>
    <row r="482" hidden="1">
      <c r="A482" s="38"/>
      <c r="B482" s="38"/>
      <c r="C482" s="16"/>
      <c r="D482" s="16"/>
      <c r="E482" s="16"/>
    </row>
    <row r="483" hidden="1">
      <c r="A483" s="38"/>
      <c r="B483" s="38"/>
      <c r="C483" s="16"/>
      <c r="D483" s="16"/>
      <c r="E483" s="16"/>
    </row>
    <row r="484" hidden="1">
      <c r="A484" s="38"/>
      <c r="B484" s="38"/>
      <c r="C484" s="16"/>
      <c r="D484" s="16"/>
      <c r="E484" s="16"/>
    </row>
    <row r="485" hidden="1">
      <c r="A485" s="38"/>
      <c r="B485" s="38"/>
      <c r="C485" s="16"/>
      <c r="D485" s="16"/>
      <c r="E485" s="16"/>
    </row>
    <row r="486" hidden="1">
      <c r="A486" s="38"/>
      <c r="B486" s="38"/>
      <c r="C486" s="16"/>
      <c r="D486" s="16"/>
      <c r="E486" s="16"/>
    </row>
    <row r="487" hidden="1">
      <c r="A487" s="38"/>
      <c r="B487" s="38"/>
      <c r="C487" s="16"/>
      <c r="D487" s="16"/>
      <c r="E487" s="16"/>
    </row>
    <row r="488" hidden="1">
      <c r="A488" s="38"/>
      <c r="B488" s="38"/>
      <c r="C488" s="16"/>
      <c r="D488" s="16"/>
      <c r="E488" s="16"/>
    </row>
    <row r="489" hidden="1">
      <c r="A489" s="38"/>
      <c r="B489" s="38"/>
      <c r="C489" s="16"/>
      <c r="D489" s="16"/>
      <c r="E489" s="16"/>
    </row>
    <row r="490" hidden="1">
      <c r="A490" s="38"/>
      <c r="B490" s="38"/>
      <c r="C490" s="16"/>
      <c r="D490" s="16"/>
      <c r="E490" s="16"/>
    </row>
    <row r="491" hidden="1">
      <c r="A491" s="38"/>
      <c r="B491" s="38"/>
      <c r="C491" s="16"/>
      <c r="D491" s="16"/>
      <c r="E491" s="16"/>
    </row>
    <row r="492" hidden="1">
      <c r="A492" s="38"/>
      <c r="B492" s="38"/>
      <c r="C492" s="16"/>
      <c r="D492" s="16"/>
      <c r="E492" s="16"/>
    </row>
    <row r="493" hidden="1">
      <c r="A493" s="38"/>
      <c r="B493" s="38"/>
      <c r="C493" s="16"/>
      <c r="D493" s="16"/>
      <c r="E493" s="16"/>
    </row>
    <row r="494" hidden="1">
      <c r="A494" s="38"/>
      <c r="B494" s="38"/>
      <c r="C494" s="16"/>
      <c r="D494" s="16"/>
      <c r="E494" s="16"/>
    </row>
    <row r="495" hidden="1">
      <c r="A495" s="38"/>
      <c r="B495" s="38"/>
      <c r="C495" s="16"/>
      <c r="D495" s="16"/>
      <c r="E495" s="16"/>
    </row>
    <row r="496" hidden="1">
      <c r="A496" s="38"/>
      <c r="B496" s="38"/>
      <c r="C496" s="16"/>
      <c r="D496" s="16"/>
      <c r="E496" s="16"/>
    </row>
    <row r="497" hidden="1">
      <c r="A497" s="38"/>
      <c r="B497" s="38"/>
      <c r="C497" s="16"/>
      <c r="D497" s="16"/>
      <c r="E497" s="16"/>
    </row>
    <row r="498" hidden="1">
      <c r="A498" s="38"/>
      <c r="B498" s="38"/>
      <c r="C498" s="16"/>
      <c r="D498" s="16"/>
      <c r="E498" s="16"/>
    </row>
    <row r="499" hidden="1">
      <c r="A499" s="38"/>
      <c r="B499" s="38"/>
      <c r="C499" s="16"/>
      <c r="D499" s="16"/>
      <c r="E499" s="16"/>
    </row>
    <row r="500" hidden="1">
      <c r="A500" s="38"/>
      <c r="B500" s="38"/>
      <c r="C500" s="16"/>
      <c r="D500" s="16"/>
      <c r="E500" s="16"/>
    </row>
    <row r="501" hidden="1">
      <c r="A501" s="38"/>
      <c r="B501" s="38"/>
      <c r="C501" s="16"/>
      <c r="D501" s="16"/>
      <c r="E501" s="16"/>
    </row>
    <row r="502" hidden="1">
      <c r="A502" s="38"/>
      <c r="B502" s="38"/>
      <c r="C502" s="16"/>
      <c r="D502" s="16"/>
      <c r="E502" s="16"/>
    </row>
    <row r="503" hidden="1">
      <c r="A503" s="38"/>
      <c r="B503" s="38"/>
      <c r="C503" s="16"/>
      <c r="D503" s="16"/>
      <c r="E503" s="16"/>
    </row>
    <row r="504" hidden="1">
      <c r="A504" s="38"/>
      <c r="B504" s="38"/>
      <c r="C504" s="16"/>
      <c r="D504" s="16"/>
      <c r="E504" s="16"/>
    </row>
    <row r="505" hidden="1">
      <c r="A505" s="38"/>
      <c r="B505" s="38"/>
      <c r="C505" s="16"/>
      <c r="D505" s="16"/>
      <c r="E505" s="16"/>
    </row>
    <row r="506" hidden="1">
      <c r="A506" s="38"/>
      <c r="B506" s="38"/>
      <c r="C506" s="16"/>
      <c r="D506" s="16"/>
      <c r="E506" s="16"/>
    </row>
    <row r="507" hidden="1">
      <c r="A507" s="38"/>
      <c r="B507" s="38"/>
      <c r="C507" s="16"/>
      <c r="D507" s="16"/>
      <c r="E507" s="16"/>
    </row>
    <row r="508" hidden="1">
      <c r="A508" s="38"/>
      <c r="B508" s="38"/>
      <c r="C508" s="16"/>
      <c r="D508" s="16"/>
      <c r="E508" s="16"/>
    </row>
    <row r="509" hidden="1">
      <c r="A509" s="38"/>
      <c r="B509" s="38"/>
      <c r="C509" s="16"/>
      <c r="D509" s="16"/>
      <c r="E509" s="16"/>
    </row>
    <row r="510" hidden="1">
      <c r="A510" s="38"/>
      <c r="B510" s="38"/>
      <c r="C510" s="16"/>
      <c r="D510" s="16"/>
      <c r="E510" s="16"/>
    </row>
    <row r="511" hidden="1">
      <c r="A511" s="38"/>
      <c r="B511" s="38"/>
      <c r="C511" s="16"/>
      <c r="D511" s="16"/>
      <c r="E511" s="16"/>
    </row>
    <row r="512" hidden="1">
      <c r="A512" s="38"/>
      <c r="B512" s="38"/>
      <c r="C512" s="16"/>
      <c r="D512" s="16"/>
      <c r="E512" s="16"/>
    </row>
    <row r="513" hidden="1">
      <c r="A513" s="38"/>
      <c r="B513" s="38"/>
      <c r="C513" s="16"/>
      <c r="D513" s="16"/>
      <c r="E513" s="16"/>
    </row>
    <row r="514" hidden="1">
      <c r="A514" s="38"/>
      <c r="B514" s="38"/>
      <c r="C514" s="16"/>
      <c r="D514" s="16"/>
      <c r="E514" s="16"/>
    </row>
    <row r="515" hidden="1">
      <c r="A515" s="38"/>
      <c r="B515" s="38"/>
      <c r="C515" s="16"/>
      <c r="D515" s="16"/>
      <c r="E515" s="16"/>
    </row>
    <row r="516" hidden="1">
      <c r="A516" s="38"/>
      <c r="B516" s="38"/>
      <c r="C516" s="16"/>
      <c r="D516" s="16"/>
      <c r="E516" s="16"/>
    </row>
    <row r="517" hidden="1">
      <c r="A517" s="38"/>
      <c r="B517" s="38"/>
      <c r="C517" s="16"/>
      <c r="D517" s="16"/>
      <c r="E517" s="16"/>
    </row>
    <row r="518" hidden="1">
      <c r="A518" s="38"/>
      <c r="B518" s="38"/>
      <c r="C518" s="16"/>
      <c r="D518" s="16"/>
      <c r="E518" s="16"/>
    </row>
    <row r="519" hidden="1">
      <c r="A519" s="38"/>
      <c r="B519" s="38"/>
      <c r="C519" s="16"/>
      <c r="D519" s="16"/>
      <c r="E519" s="16"/>
    </row>
    <row r="520" hidden="1">
      <c r="A520" s="38"/>
      <c r="B520" s="38"/>
      <c r="C520" s="16"/>
      <c r="D520" s="16"/>
      <c r="E520" s="16"/>
    </row>
    <row r="521" hidden="1">
      <c r="A521" s="38"/>
      <c r="B521" s="38"/>
      <c r="C521" s="16"/>
      <c r="D521" s="16"/>
      <c r="E521" s="16"/>
    </row>
    <row r="522" hidden="1">
      <c r="A522" s="38"/>
      <c r="B522" s="38"/>
      <c r="C522" s="16"/>
      <c r="D522" s="16"/>
      <c r="E522" s="16"/>
    </row>
    <row r="523" hidden="1">
      <c r="A523" s="38"/>
      <c r="B523" s="38"/>
      <c r="C523" s="16"/>
      <c r="D523" s="16"/>
      <c r="E523" s="16"/>
    </row>
    <row r="524" hidden="1">
      <c r="A524" s="38"/>
      <c r="B524" s="38"/>
      <c r="C524" s="16"/>
      <c r="D524" s="16"/>
      <c r="E524" s="16"/>
    </row>
    <row r="525" hidden="1">
      <c r="A525" s="38"/>
      <c r="B525" s="38"/>
      <c r="C525" s="16"/>
      <c r="D525" s="16"/>
      <c r="E525" s="16"/>
    </row>
    <row r="526" hidden="1">
      <c r="A526" s="38"/>
      <c r="B526" s="38"/>
      <c r="C526" s="16"/>
      <c r="D526" s="16"/>
      <c r="E526" s="16"/>
    </row>
    <row r="527" hidden="1">
      <c r="A527" s="38"/>
      <c r="B527" s="38"/>
      <c r="C527" s="16"/>
      <c r="D527" s="16"/>
      <c r="E527" s="16"/>
    </row>
    <row r="528" hidden="1">
      <c r="A528" s="38"/>
      <c r="B528" s="38"/>
      <c r="C528" s="16"/>
      <c r="D528" s="16"/>
      <c r="E528" s="16"/>
    </row>
    <row r="529" hidden="1">
      <c r="A529" s="38"/>
      <c r="B529" s="38"/>
      <c r="C529" s="16"/>
      <c r="D529" s="16"/>
      <c r="E529" s="16"/>
    </row>
    <row r="530" hidden="1">
      <c r="A530" s="38"/>
      <c r="B530" s="38"/>
      <c r="C530" s="16"/>
      <c r="D530" s="16"/>
      <c r="E530" s="16"/>
    </row>
    <row r="531" hidden="1">
      <c r="A531" s="38"/>
      <c r="B531" s="38"/>
      <c r="C531" s="16"/>
      <c r="D531" s="16"/>
      <c r="E531" s="16"/>
    </row>
    <row r="532" hidden="1">
      <c r="A532" s="38"/>
      <c r="B532" s="38"/>
      <c r="C532" s="16"/>
      <c r="D532" s="16"/>
      <c r="E532" s="16"/>
    </row>
    <row r="533" hidden="1">
      <c r="A533" s="38"/>
      <c r="B533" s="38"/>
      <c r="C533" s="16"/>
      <c r="D533" s="16"/>
      <c r="E533" s="16"/>
    </row>
    <row r="534" hidden="1">
      <c r="A534" s="38"/>
      <c r="B534" s="38"/>
      <c r="C534" s="16"/>
      <c r="D534" s="16"/>
      <c r="E534" s="16"/>
    </row>
    <row r="535" hidden="1">
      <c r="A535" s="38"/>
      <c r="B535" s="38"/>
      <c r="C535" s="16"/>
      <c r="D535" s="16"/>
      <c r="E535" s="16"/>
    </row>
    <row r="536" hidden="1">
      <c r="A536" s="38"/>
      <c r="B536" s="38"/>
      <c r="C536" s="16"/>
      <c r="D536" s="16"/>
      <c r="E536" s="16"/>
    </row>
    <row r="537" hidden="1">
      <c r="A537" s="38"/>
      <c r="B537" s="38"/>
      <c r="C537" s="16"/>
      <c r="D537" s="16"/>
      <c r="E537" s="16"/>
    </row>
    <row r="538" hidden="1">
      <c r="A538" s="38"/>
      <c r="B538" s="38"/>
      <c r="C538" s="16"/>
      <c r="D538" s="16"/>
      <c r="E538" s="16"/>
    </row>
    <row r="539" hidden="1">
      <c r="A539" s="38"/>
      <c r="B539" s="38"/>
      <c r="C539" s="16"/>
      <c r="D539" s="16"/>
      <c r="E539" s="16"/>
    </row>
    <row r="540" hidden="1">
      <c r="A540" s="38"/>
      <c r="B540" s="38"/>
      <c r="C540" s="16"/>
      <c r="D540" s="16"/>
      <c r="E540" s="16"/>
    </row>
    <row r="541" hidden="1">
      <c r="A541" s="38"/>
      <c r="B541" s="38"/>
      <c r="C541" s="16"/>
      <c r="D541" s="16"/>
      <c r="E541" s="16"/>
    </row>
    <row r="542" hidden="1">
      <c r="A542" s="38"/>
      <c r="B542" s="38"/>
      <c r="C542" s="16"/>
      <c r="D542" s="16"/>
      <c r="E542" s="16"/>
    </row>
    <row r="543" hidden="1">
      <c r="A543" s="38"/>
      <c r="B543" s="38"/>
      <c r="C543" s="16"/>
      <c r="D543" s="16"/>
      <c r="E543" s="16"/>
    </row>
    <row r="544" hidden="1">
      <c r="A544" s="38"/>
      <c r="B544" s="38"/>
      <c r="C544" s="16"/>
      <c r="D544" s="16"/>
      <c r="E544" s="16"/>
    </row>
    <row r="545" hidden="1">
      <c r="A545" s="38"/>
      <c r="B545" s="38"/>
      <c r="C545" s="16"/>
      <c r="D545" s="16"/>
      <c r="E545" s="16"/>
    </row>
    <row r="546" hidden="1">
      <c r="A546" s="38"/>
      <c r="B546" s="38"/>
      <c r="C546" s="16"/>
      <c r="D546" s="16"/>
      <c r="E546" s="16"/>
    </row>
    <row r="547" hidden="1">
      <c r="A547" s="38"/>
      <c r="B547" s="38"/>
      <c r="C547" s="16"/>
      <c r="D547" s="16"/>
      <c r="E547" s="16"/>
    </row>
    <row r="548" hidden="1">
      <c r="A548" s="38"/>
      <c r="B548" s="38"/>
      <c r="C548" s="16"/>
      <c r="D548" s="16"/>
      <c r="E548" s="16"/>
    </row>
    <row r="549" hidden="1">
      <c r="A549" s="38"/>
      <c r="B549" s="38"/>
      <c r="C549" s="16"/>
      <c r="D549" s="16"/>
      <c r="E549" s="16"/>
    </row>
    <row r="550" hidden="1">
      <c r="A550" s="38"/>
      <c r="B550" s="38"/>
      <c r="C550" s="16"/>
      <c r="D550" s="16"/>
      <c r="E550" s="16"/>
    </row>
    <row r="551" hidden="1">
      <c r="A551" s="38"/>
      <c r="B551" s="38"/>
      <c r="C551" s="16"/>
      <c r="D551" s="16"/>
      <c r="E551" s="16"/>
    </row>
    <row r="552" hidden="1">
      <c r="A552" s="38"/>
      <c r="B552" s="38"/>
      <c r="C552" s="16"/>
      <c r="D552" s="16"/>
      <c r="E552" s="16"/>
    </row>
    <row r="553" hidden="1">
      <c r="A553" s="38"/>
      <c r="B553" s="38"/>
      <c r="C553" s="16"/>
      <c r="D553" s="16"/>
      <c r="E553" s="16"/>
    </row>
    <row r="554" hidden="1">
      <c r="A554" s="38"/>
      <c r="B554" s="38"/>
      <c r="C554" s="16"/>
      <c r="D554" s="16"/>
      <c r="E554" s="16"/>
    </row>
    <row r="555" hidden="1">
      <c r="A555" s="38"/>
      <c r="B555" s="38"/>
      <c r="C555" s="16"/>
      <c r="D555" s="16"/>
      <c r="E555" s="16"/>
    </row>
    <row r="556" hidden="1">
      <c r="A556" s="38"/>
      <c r="B556" s="38"/>
      <c r="C556" s="16"/>
      <c r="D556" s="16"/>
      <c r="E556" s="16"/>
    </row>
    <row r="557" hidden="1">
      <c r="A557" s="38"/>
      <c r="B557" s="38"/>
      <c r="C557" s="16"/>
      <c r="D557" s="16"/>
      <c r="E557" s="16"/>
    </row>
    <row r="558" hidden="1">
      <c r="A558" s="38"/>
      <c r="B558" s="38"/>
      <c r="C558" s="16"/>
      <c r="D558" s="16"/>
      <c r="E558" s="16"/>
    </row>
    <row r="559" hidden="1">
      <c r="A559" s="38"/>
      <c r="B559" s="38"/>
      <c r="C559" s="16"/>
      <c r="D559" s="16"/>
      <c r="E559" s="16"/>
    </row>
    <row r="560" hidden="1">
      <c r="A560" s="38"/>
      <c r="B560" s="38"/>
      <c r="C560" s="16"/>
      <c r="D560" s="16"/>
      <c r="E560" s="16"/>
    </row>
    <row r="561" hidden="1">
      <c r="A561" s="38"/>
      <c r="B561" s="38"/>
      <c r="C561" s="16"/>
      <c r="D561" s="16"/>
      <c r="E561" s="16"/>
    </row>
    <row r="562" hidden="1">
      <c r="A562" s="38"/>
      <c r="B562" s="38"/>
      <c r="C562" s="16"/>
      <c r="D562" s="16"/>
      <c r="E562" s="16"/>
    </row>
    <row r="563" hidden="1">
      <c r="A563" s="38"/>
      <c r="B563" s="38"/>
      <c r="C563" s="16"/>
      <c r="D563" s="16"/>
      <c r="E563" s="16"/>
    </row>
    <row r="564" hidden="1">
      <c r="A564" s="38"/>
      <c r="B564" s="38"/>
      <c r="C564" s="16"/>
      <c r="D564" s="16"/>
      <c r="E564" s="16"/>
    </row>
    <row r="565" hidden="1">
      <c r="A565" s="38"/>
      <c r="B565" s="38"/>
      <c r="C565" s="16"/>
      <c r="D565" s="16"/>
      <c r="E565" s="16"/>
    </row>
    <row r="566" hidden="1">
      <c r="A566" s="38"/>
      <c r="B566" s="38"/>
      <c r="C566" s="16"/>
      <c r="D566" s="16"/>
      <c r="E566" s="16"/>
    </row>
    <row r="567" hidden="1">
      <c r="A567" s="38"/>
      <c r="B567" s="38"/>
      <c r="C567" s="16"/>
      <c r="D567" s="16"/>
      <c r="E567" s="16"/>
    </row>
    <row r="568" hidden="1">
      <c r="A568" s="38"/>
      <c r="B568" s="38"/>
      <c r="C568" s="16"/>
      <c r="D568" s="16"/>
      <c r="E568" s="16"/>
    </row>
    <row r="569" hidden="1">
      <c r="A569" s="38"/>
      <c r="B569" s="38"/>
      <c r="C569" s="16"/>
      <c r="D569" s="16"/>
      <c r="E569" s="16"/>
    </row>
    <row r="570" hidden="1">
      <c r="A570" s="38"/>
      <c r="B570" s="38"/>
      <c r="C570" s="16"/>
      <c r="D570" s="16"/>
      <c r="E570" s="16"/>
    </row>
    <row r="571" hidden="1">
      <c r="A571" s="38"/>
      <c r="B571" s="38"/>
      <c r="C571" s="16"/>
      <c r="D571" s="16"/>
      <c r="E571" s="16"/>
    </row>
    <row r="572" hidden="1">
      <c r="A572" s="38"/>
      <c r="B572" s="38"/>
      <c r="C572" s="16"/>
      <c r="D572" s="16"/>
      <c r="E572" s="16"/>
    </row>
    <row r="573" hidden="1">
      <c r="A573" s="38"/>
      <c r="B573" s="38"/>
      <c r="C573" s="16"/>
      <c r="D573" s="16"/>
      <c r="E573" s="16"/>
    </row>
    <row r="574" hidden="1">
      <c r="A574" s="38"/>
      <c r="B574" s="38"/>
      <c r="C574" s="16"/>
      <c r="D574" s="16"/>
      <c r="E574" s="16"/>
    </row>
    <row r="575" hidden="1">
      <c r="A575" s="38"/>
      <c r="B575" s="38"/>
      <c r="C575" s="16"/>
      <c r="D575" s="16"/>
      <c r="E575" s="16"/>
    </row>
    <row r="576" hidden="1">
      <c r="A576" s="38"/>
      <c r="B576" s="38"/>
      <c r="C576" s="16"/>
      <c r="D576" s="16"/>
      <c r="E576" s="16"/>
    </row>
    <row r="577" hidden="1">
      <c r="A577" s="38"/>
      <c r="B577" s="38"/>
      <c r="C577" s="16"/>
      <c r="D577" s="16"/>
      <c r="E577" s="16"/>
    </row>
    <row r="578" hidden="1">
      <c r="A578" s="38"/>
      <c r="B578" s="38"/>
      <c r="C578" s="16"/>
      <c r="D578" s="16"/>
      <c r="E578" s="16"/>
    </row>
    <row r="579" hidden="1">
      <c r="A579" s="38"/>
      <c r="B579" s="38"/>
      <c r="C579" s="16"/>
      <c r="D579" s="16"/>
      <c r="E579" s="16"/>
    </row>
    <row r="580" hidden="1">
      <c r="A580" s="38"/>
      <c r="B580" s="38"/>
      <c r="C580" s="16"/>
      <c r="D580" s="16"/>
      <c r="E580" s="16"/>
    </row>
    <row r="581" hidden="1">
      <c r="A581" s="38"/>
      <c r="B581" s="38"/>
      <c r="C581" s="16"/>
      <c r="D581" s="16"/>
      <c r="E581" s="16"/>
    </row>
    <row r="582" hidden="1">
      <c r="A582" s="38"/>
      <c r="B582" s="38"/>
      <c r="C582" s="16"/>
      <c r="D582" s="16"/>
      <c r="E582" s="16"/>
    </row>
    <row r="583" hidden="1">
      <c r="A583" s="38"/>
      <c r="B583" s="38"/>
      <c r="C583" s="16"/>
      <c r="D583" s="16"/>
      <c r="E583" s="16"/>
    </row>
    <row r="584" hidden="1">
      <c r="A584" s="38"/>
      <c r="B584" s="38"/>
      <c r="C584" s="16"/>
      <c r="D584" s="16"/>
      <c r="E584" s="16"/>
    </row>
    <row r="585" hidden="1">
      <c r="A585" s="38"/>
      <c r="B585" s="38"/>
      <c r="C585" s="16"/>
      <c r="D585" s="16"/>
      <c r="E585" s="16"/>
    </row>
    <row r="586" hidden="1">
      <c r="A586" s="38"/>
      <c r="B586" s="38"/>
      <c r="C586" s="16"/>
      <c r="D586" s="16"/>
      <c r="E586" s="16"/>
    </row>
    <row r="587" hidden="1">
      <c r="A587" s="38"/>
      <c r="B587" s="38"/>
      <c r="C587" s="16"/>
      <c r="D587" s="16"/>
      <c r="E587" s="16"/>
    </row>
    <row r="588" hidden="1">
      <c r="A588" s="38"/>
      <c r="B588" s="38"/>
      <c r="C588" s="16"/>
      <c r="D588" s="16"/>
      <c r="E588" s="16"/>
    </row>
    <row r="589" hidden="1">
      <c r="A589" s="38"/>
      <c r="B589" s="38"/>
      <c r="C589" s="16"/>
      <c r="D589" s="16"/>
      <c r="E589" s="16"/>
    </row>
    <row r="590" hidden="1">
      <c r="A590" s="38"/>
      <c r="B590" s="38"/>
      <c r="C590" s="16"/>
      <c r="D590" s="16"/>
      <c r="E590" s="16"/>
    </row>
    <row r="591" hidden="1">
      <c r="A591" s="38"/>
      <c r="B591" s="38"/>
      <c r="C591" s="16"/>
      <c r="D591" s="16"/>
      <c r="E591" s="16"/>
    </row>
    <row r="592" hidden="1">
      <c r="A592" s="38"/>
      <c r="B592" s="38"/>
      <c r="C592" s="16"/>
      <c r="D592" s="16"/>
      <c r="E592" s="16"/>
    </row>
    <row r="593" hidden="1">
      <c r="A593" s="38"/>
      <c r="B593" s="38"/>
      <c r="C593" s="16"/>
      <c r="D593" s="16"/>
      <c r="E593" s="16"/>
    </row>
    <row r="594" hidden="1">
      <c r="A594" s="38"/>
      <c r="B594" s="38"/>
      <c r="C594" s="16"/>
      <c r="D594" s="16"/>
      <c r="E594" s="16"/>
    </row>
    <row r="595" hidden="1">
      <c r="A595" s="38"/>
      <c r="B595" s="38"/>
      <c r="C595" s="16"/>
      <c r="D595" s="16"/>
      <c r="E595" s="16"/>
    </row>
    <row r="596" hidden="1">
      <c r="A596" s="38"/>
      <c r="B596" s="38"/>
      <c r="C596" s="16"/>
      <c r="D596" s="16"/>
      <c r="E596" s="16"/>
    </row>
    <row r="597" hidden="1">
      <c r="A597" s="38"/>
      <c r="B597" s="38"/>
      <c r="C597" s="16"/>
      <c r="D597" s="16"/>
      <c r="E597" s="16"/>
    </row>
    <row r="598" hidden="1">
      <c r="A598" s="38"/>
      <c r="B598" s="38"/>
      <c r="C598" s="16"/>
      <c r="D598" s="16"/>
      <c r="E598" s="16"/>
    </row>
    <row r="599" hidden="1">
      <c r="A599" s="38"/>
      <c r="B599" s="38"/>
      <c r="C599" s="16"/>
      <c r="D599" s="16"/>
      <c r="E599" s="16"/>
    </row>
    <row r="600" hidden="1">
      <c r="A600" s="38"/>
      <c r="B600" s="38"/>
      <c r="C600" s="16"/>
      <c r="D600" s="16"/>
      <c r="E600" s="16"/>
    </row>
    <row r="601" hidden="1">
      <c r="A601" s="38"/>
      <c r="B601" s="38"/>
      <c r="C601" s="16"/>
      <c r="D601" s="16"/>
      <c r="E601" s="16"/>
    </row>
    <row r="602" hidden="1">
      <c r="A602" s="38"/>
      <c r="B602" s="38"/>
      <c r="C602" s="16"/>
      <c r="D602" s="16"/>
      <c r="E602" s="16"/>
    </row>
    <row r="603" hidden="1">
      <c r="A603" s="38"/>
      <c r="B603" s="38"/>
      <c r="C603" s="16"/>
      <c r="D603" s="16"/>
      <c r="E603" s="16"/>
    </row>
    <row r="604" hidden="1">
      <c r="A604" s="38"/>
      <c r="B604" s="38"/>
      <c r="C604" s="16"/>
      <c r="D604" s="16"/>
      <c r="E604" s="16"/>
    </row>
    <row r="605" hidden="1">
      <c r="A605" s="38"/>
      <c r="B605" s="38"/>
      <c r="C605" s="16"/>
      <c r="D605" s="16"/>
      <c r="E605" s="16"/>
    </row>
    <row r="606" hidden="1">
      <c r="A606" s="38"/>
      <c r="B606" s="38"/>
      <c r="C606" s="16"/>
      <c r="D606" s="16"/>
      <c r="E606" s="16"/>
    </row>
    <row r="607" hidden="1">
      <c r="A607" s="38"/>
      <c r="B607" s="38"/>
      <c r="C607" s="16"/>
      <c r="D607" s="16"/>
      <c r="E607" s="16"/>
    </row>
    <row r="608" hidden="1">
      <c r="A608" s="38"/>
      <c r="B608" s="38"/>
      <c r="C608" s="16"/>
      <c r="D608" s="16"/>
      <c r="E608" s="16"/>
    </row>
    <row r="609" hidden="1">
      <c r="A609" s="38"/>
      <c r="B609" s="38"/>
      <c r="C609" s="16"/>
      <c r="D609" s="16"/>
      <c r="E609" s="16"/>
    </row>
    <row r="610" hidden="1">
      <c r="A610" s="38"/>
      <c r="B610" s="38"/>
      <c r="C610" s="16"/>
      <c r="D610" s="16"/>
      <c r="E610" s="16"/>
    </row>
    <row r="611" hidden="1">
      <c r="A611" s="38"/>
      <c r="B611" s="38"/>
      <c r="C611" s="16"/>
      <c r="D611" s="16"/>
      <c r="E611" s="16"/>
    </row>
    <row r="612" hidden="1">
      <c r="A612" s="38"/>
      <c r="B612" s="38"/>
      <c r="C612" s="16"/>
      <c r="D612" s="16"/>
      <c r="E612" s="16"/>
    </row>
    <row r="613" hidden="1">
      <c r="A613" s="38"/>
      <c r="B613" s="38"/>
      <c r="C613" s="16"/>
      <c r="D613" s="16"/>
      <c r="E613" s="16"/>
    </row>
    <row r="614" hidden="1">
      <c r="A614" s="38"/>
      <c r="B614" s="38"/>
      <c r="C614" s="16"/>
      <c r="D614" s="16"/>
      <c r="E614" s="16"/>
    </row>
    <row r="615" hidden="1">
      <c r="A615" s="38"/>
      <c r="B615" s="38"/>
      <c r="C615" s="16"/>
      <c r="D615" s="16"/>
      <c r="E615" s="16"/>
    </row>
    <row r="616" hidden="1">
      <c r="A616" s="38"/>
      <c r="B616" s="38"/>
      <c r="C616" s="16"/>
      <c r="D616" s="16"/>
      <c r="E616" s="16"/>
    </row>
    <row r="617" hidden="1">
      <c r="A617" s="38"/>
      <c r="B617" s="38"/>
      <c r="C617" s="16"/>
      <c r="D617" s="16"/>
      <c r="E617" s="16"/>
    </row>
    <row r="618" hidden="1">
      <c r="A618" s="38"/>
      <c r="B618" s="38"/>
      <c r="C618" s="16"/>
      <c r="D618" s="16"/>
      <c r="E618" s="16"/>
    </row>
    <row r="619" hidden="1">
      <c r="A619" s="38"/>
      <c r="B619" s="38"/>
      <c r="C619" s="16"/>
      <c r="D619" s="16"/>
      <c r="E619" s="16"/>
    </row>
    <row r="620" hidden="1">
      <c r="A620" s="38"/>
      <c r="B620" s="38"/>
      <c r="C620" s="16"/>
      <c r="D620" s="16"/>
      <c r="E620" s="16"/>
    </row>
    <row r="621" hidden="1">
      <c r="A621" s="38"/>
      <c r="B621" s="38"/>
      <c r="C621" s="16"/>
      <c r="D621" s="16"/>
      <c r="E621" s="16"/>
    </row>
    <row r="622" hidden="1">
      <c r="A622" s="38"/>
      <c r="B622" s="38"/>
      <c r="C622" s="16"/>
      <c r="D622" s="16"/>
      <c r="E622" s="16"/>
    </row>
    <row r="623" hidden="1">
      <c r="A623" s="38"/>
      <c r="B623" s="38"/>
      <c r="C623" s="16"/>
      <c r="D623" s="16"/>
      <c r="E623" s="16"/>
    </row>
    <row r="624" hidden="1">
      <c r="A624" s="38"/>
      <c r="B624" s="38"/>
      <c r="C624" s="16"/>
      <c r="D624" s="16"/>
      <c r="E624" s="16"/>
    </row>
    <row r="625" hidden="1">
      <c r="A625" s="38"/>
      <c r="B625" s="38"/>
      <c r="C625" s="16"/>
      <c r="D625" s="16"/>
      <c r="E625" s="16"/>
    </row>
    <row r="626" hidden="1">
      <c r="A626" s="38"/>
      <c r="B626" s="38"/>
      <c r="C626" s="16"/>
      <c r="D626" s="16"/>
      <c r="E626" s="16"/>
    </row>
    <row r="627" hidden="1">
      <c r="A627" s="38"/>
      <c r="B627" s="38"/>
      <c r="C627" s="16"/>
      <c r="D627" s="16"/>
      <c r="E627" s="16"/>
    </row>
    <row r="628" hidden="1">
      <c r="A628" s="38"/>
      <c r="B628" s="38"/>
      <c r="C628" s="16"/>
      <c r="D628" s="16"/>
      <c r="E628" s="16"/>
    </row>
    <row r="629" hidden="1">
      <c r="A629" s="38"/>
      <c r="B629" s="38"/>
      <c r="C629" s="16"/>
      <c r="D629" s="16"/>
      <c r="E629" s="16"/>
    </row>
    <row r="630" hidden="1">
      <c r="A630" s="38"/>
      <c r="B630" s="38"/>
      <c r="C630" s="16"/>
      <c r="D630" s="16"/>
      <c r="E630" s="16"/>
    </row>
    <row r="631" hidden="1">
      <c r="A631" s="38"/>
      <c r="B631" s="38"/>
      <c r="C631" s="16"/>
      <c r="D631" s="16"/>
      <c r="E631" s="16"/>
    </row>
    <row r="632" hidden="1">
      <c r="A632" s="38"/>
      <c r="B632" s="38"/>
      <c r="C632" s="16"/>
      <c r="D632" s="16"/>
      <c r="E632" s="16"/>
    </row>
    <row r="633" hidden="1">
      <c r="A633" s="38"/>
      <c r="B633" s="38"/>
      <c r="C633" s="16"/>
      <c r="D633" s="16"/>
      <c r="E633" s="16"/>
    </row>
    <row r="634" hidden="1">
      <c r="A634" s="38"/>
      <c r="B634" s="38"/>
      <c r="C634" s="16"/>
      <c r="D634" s="16"/>
      <c r="E634" s="16"/>
    </row>
    <row r="635" hidden="1">
      <c r="A635" s="38"/>
      <c r="B635" s="38"/>
      <c r="C635" s="16"/>
      <c r="D635" s="16"/>
      <c r="E635" s="16"/>
    </row>
    <row r="636" hidden="1">
      <c r="A636" s="38"/>
      <c r="B636" s="38"/>
      <c r="C636" s="16"/>
      <c r="D636" s="16"/>
      <c r="E636" s="16"/>
    </row>
    <row r="637" hidden="1">
      <c r="A637" s="38"/>
      <c r="B637" s="38"/>
      <c r="C637" s="16"/>
      <c r="D637" s="16"/>
      <c r="E637" s="16"/>
    </row>
    <row r="638" hidden="1">
      <c r="A638" s="38"/>
      <c r="B638" s="38"/>
      <c r="C638" s="16"/>
      <c r="D638" s="16"/>
      <c r="E638" s="16"/>
    </row>
    <row r="639" hidden="1">
      <c r="A639" s="38"/>
      <c r="B639" s="38"/>
      <c r="C639" s="16"/>
      <c r="D639" s="16"/>
      <c r="E639" s="16"/>
    </row>
    <row r="640" hidden="1">
      <c r="A640" s="38"/>
      <c r="B640" s="38"/>
      <c r="C640" s="16"/>
      <c r="D640" s="16"/>
      <c r="E640" s="16"/>
    </row>
    <row r="641" hidden="1">
      <c r="A641" s="38"/>
      <c r="B641" s="38"/>
      <c r="C641" s="16"/>
      <c r="D641" s="16"/>
      <c r="E641" s="16"/>
    </row>
    <row r="642" hidden="1">
      <c r="A642" s="38"/>
      <c r="B642" s="38"/>
      <c r="C642" s="16"/>
      <c r="D642" s="16"/>
      <c r="E642" s="16"/>
    </row>
    <row r="643" hidden="1">
      <c r="A643" s="38"/>
      <c r="B643" s="38"/>
      <c r="C643" s="16"/>
      <c r="D643" s="16"/>
      <c r="E643" s="16"/>
    </row>
    <row r="644" hidden="1">
      <c r="A644" s="38"/>
      <c r="B644" s="38"/>
      <c r="C644" s="16"/>
      <c r="D644" s="16"/>
      <c r="E644" s="16"/>
    </row>
    <row r="645" hidden="1">
      <c r="A645" s="38"/>
      <c r="B645" s="38"/>
      <c r="C645" s="16"/>
      <c r="D645" s="16"/>
      <c r="E645" s="16"/>
    </row>
    <row r="646" hidden="1">
      <c r="A646" s="38"/>
      <c r="B646" s="38"/>
      <c r="C646" s="16"/>
      <c r="D646" s="16"/>
      <c r="E646" s="16"/>
    </row>
    <row r="647" hidden="1">
      <c r="A647" s="38"/>
      <c r="B647" s="38"/>
      <c r="C647" s="16"/>
      <c r="D647" s="16"/>
      <c r="E647" s="16"/>
    </row>
    <row r="648" hidden="1">
      <c r="A648" s="38"/>
      <c r="B648" s="38"/>
      <c r="C648" s="16"/>
      <c r="D648" s="16"/>
      <c r="E648" s="16"/>
    </row>
    <row r="649" hidden="1">
      <c r="A649" s="38"/>
      <c r="B649" s="38"/>
      <c r="C649" s="16"/>
      <c r="D649" s="16"/>
      <c r="E649" s="16"/>
    </row>
    <row r="650" hidden="1">
      <c r="A650" s="38"/>
      <c r="B650" s="38"/>
      <c r="C650" s="16"/>
      <c r="D650" s="16"/>
      <c r="E650" s="16"/>
    </row>
    <row r="651" hidden="1">
      <c r="A651" s="38"/>
      <c r="B651" s="38"/>
      <c r="C651" s="16"/>
      <c r="D651" s="16"/>
      <c r="E651" s="16"/>
    </row>
    <row r="652" hidden="1">
      <c r="A652" s="38"/>
      <c r="B652" s="38"/>
      <c r="C652" s="16"/>
      <c r="D652" s="16"/>
      <c r="E652" s="16"/>
    </row>
    <row r="653" hidden="1">
      <c r="A653" s="38"/>
      <c r="B653" s="38"/>
      <c r="C653" s="16"/>
      <c r="D653" s="16"/>
      <c r="E653" s="16"/>
    </row>
    <row r="654" hidden="1">
      <c r="A654" s="38"/>
      <c r="B654" s="38"/>
      <c r="C654" s="16"/>
      <c r="D654" s="16"/>
      <c r="E654" s="16"/>
    </row>
    <row r="655" hidden="1">
      <c r="A655" s="38"/>
      <c r="B655" s="38"/>
      <c r="C655" s="16"/>
      <c r="D655" s="16"/>
      <c r="E655" s="16"/>
    </row>
    <row r="656" hidden="1">
      <c r="A656" s="38"/>
      <c r="B656" s="38"/>
      <c r="C656" s="16"/>
      <c r="D656" s="16"/>
      <c r="E656" s="16"/>
    </row>
    <row r="657" hidden="1">
      <c r="A657" s="38"/>
      <c r="B657" s="38"/>
      <c r="C657" s="16"/>
      <c r="D657" s="16"/>
      <c r="E657" s="16"/>
    </row>
    <row r="658" hidden="1">
      <c r="A658" s="38"/>
      <c r="B658" s="38"/>
      <c r="C658" s="16"/>
      <c r="D658" s="16"/>
      <c r="E658" s="16"/>
    </row>
    <row r="659" hidden="1">
      <c r="A659" s="38"/>
      <c r="B659" s="38"/>
      <c r="C659" s="16"/>
      <c r="D659" s="16"/>
      <c r="E659" s="16"/>
    </row>
    <row r="660" hidden="1">
      <c r="A660" s="38"/>
      <c r="B660" s="38"/>
      <c r="C660" s="16"/>
      <c r="D660" s="16"/>
      <c r="E660" s="16"/>
    </row>
    <row r="661" hidden="1">
      <c r="A661" s="38"/>
      <c r="B661" s="38"/>
      <c r="C661" s="16"/>
      <c r="D661" s="16"/>
      <c r="E661" s="16"/>
    </row>
    <row r="662" hidden="1">
      <c r="A662" s="38"/>
      <c r="B662" s="38"/>
      <c r="C662" s="16"/>
      <c r="D662" s="16"/>
      <c r="E662" s="16"/>
    </row>
    <row r="663" hidden="1">
      <c r="A663" s="38"/>
      <c r="B663" s="38"/>
      <c r="C663" s="16"/>
      <c r="D663" s="16"/>
      <c r="E663" s="16"/>
    </row>
    <row r="664" hidden="1">
      <c r="A664" s="38"/>
      <c r="B664" s="38"/>
      <c r="C664" s="16"/>
      <c r="D664" s="16"/>
      <c r="E664" s="16"/>
    </row>
    <row r="665" hidden="1">
      <c r="A665" s="38"/>
      <c r="B665" s="38"/>
      <c r="C665" s="16"/>
      <c r="D665" s="16"/>
      <c r="E665" s="16"/>
    </row>
    <row r="666" hidden="1">
      <c r="A666" s="38"/>
      <c r="B666" s="38"/>
      <c r="C666" s="16"/>
      <c r="D666" s="16"/>
      <c r="E666" s="16"/>
    </row>
    <row r="667" hidden="1">
      <c r="A667" s="38"/>
      <c r="B667" s="38"/>
      <c r="C667" s="16"/>
      <c r="D667" s="16"/>
      <c r="E667" s="16"/>
    </row>
    <row r="668" hidden="1">
      <c r="A668" s="38"/>
      <c r="B668" s="38"/>
      <c r="C668" s="16"/>
      <c r="D668" s="16"/>
      <c r="E668" s="16"/>
    </row>
    <row r="669" hidden="1">
      <c r="A669" s="38"/>
      <c r="B669" s="38"/>
      <c r="C669" s="16"/>
      <c r="D669" s="16"/>
      <c r="E669" s="16"/>
    </row>
    <row r="670" hidden="1">
      <c r="A670" s="38"/>
      <c r="B670" s="38"/>
      <c r="C670" s="16"/>
      <c r="D670" s="16"/>
      <c r="E670" s="16"/>
    </row>
    <row r="671" hidden="1">
      <c r="A671" s="38"/>
      <c r="B671" s="38"/>
      <c r="C671" s="16"/>
      <c r="D671" s="16"/>
      <c r="E671" s="16"/>
    </row>
    <row r="672" hidden="1">
      <c r="A672" s="38"/>
      <c r="B672" s="38"/>
      <c r="C672" s="16"/>
      <c r="D672" s="16"/>
      <c r="E672" s="16"/>
    </row>
    <row r="673" hidden="1">
      <c r="A673" s="38"/>
      <c r="B673" s="38"/>
      <c r="C673" s="16"/>
      <c r="D673" s="16"/>
      <c r="E673" s="16"/>
    </row>
    <row r="674" hidden="1">
      <c r="A674" s="38"/>
      <c r="B674" s="38"/>
      <c r="C674" s="16"/>
      <c r="D674" s="16"/>
      <c r="E674" s="16"/>
    </row>
    <row r="675" hidden="1">
      <c r="A675" s="38"/>
      <c r="B675" s="38"/>
      <c r="C675" s="16"/>
      <c r="D675" s="16"/>
      <c r="E675" s="16"/>
    </row>
    <row r="676" hidden="1">
      <c r="A676" s="38"/>
      <c r="B676" s="38"/>
      <c r="C676" s="16"/>
      <c r="D676" s="16"/>
      <c r="E676" s="16"/>
    </row>
    <row r="677" hidden="1">
      <c r="A677" s="38"/>
      <c r="B677" s="38"/>
      <c r="C677" s="16"/>
      <c r="D677" s="16"/>
      <c r="E677" s="16"/>
    </row>
    <row r="678" hidden="1">
      <c r="A678" s="38"/>
      <c r="B678" s="38"/>
      <c r="C678" s="16"/>
      <c r="D678" s="16"/>
      <c r="E678" s="16"/>
    </row>
    <row r="679" hidden="1">
      <c r="A679" s="38"/>
      <c r="B679" s="38"/>
      <c r="C679" s="16"/>
      <c r="D679" s="16"/>
      <c r="E679" s="16"/>
    </row>
    <row r="680" hidden="1">
      <c r="A680" s="38"/>
      <c r="B680" s="38"/>
      <c r="C680" s="16"/>
      <c r="D680" s="16"/>
      <c r="E680" s="16"/>
    </row>
    <row r="681" hidden="1">
      <c r="A681" s="38"/>
      <c r="B681" s="38"/>
      <c r="C681" s="16"/>
      <c r="D681" s="16"/>
      <c r="E681" s="16"/>
    </row>
    <row r="682" hidden="1">
      <c r="A682" s="38"/>
      <c r="B682" s="38"/>
      <c r="C682" s="16"/>
      <c r="D682" s="16"/>
      <c r="E682" s="16"/>
    </row>
    <row r="683" hidden="1">
      <c r="A683" s="38"/>
      <c r="B683" s="38"/>
      <c r="C683" s="16"/>
      <c r="D683" s="16"/>
      <c r="E683" s="16"/>
    </row>
    <row r="684" hidden="1">
      <c r="A684" s="38"/>
      <c r="B684" s="38"/>
      <c r="C684" s="16"/>
      <c r="D684" s="16"/>
      <c r="E684" s="16"/>
    </row>
    <row r="685" hidden="1">
      <c r="A685" s="38"/>
      <c r="B685" s="38"/>
      <c r="C685" s="16"/>
      <c r="D685" s="16"/>
      <c r="E685" s="16"/>
    </row>
    <row r="686" hidden="1">
      <c r="A686" s="38"/>
      <c r="B686" s="38"/>
      <c r="C686" s="16"/>
      <c r="D686" s="16"/>
      <c r="E686" s="16"/>
    </row>
    <row r="687" hidden="1">
      <c r="A687" s="38"/>
      <c r="B687" s="38"/>
      <c r="C687" s="16"/>
      <c r="D687" s="16"/>
      <c r="E687" s="16"/>
    </row>
    <row r="688" hidden="1">
      <c r="A688" s="38"/>
      <c r="B688" s="38"/>
      <c r="C688" s="16"/>
      <c r="D688" s="16"/>
      <c r="E688" s="16"/>
    </row>
    <row r="689" hidden="1">
      <c r="A689" s="38"/>
      <c r="B689" s="38"/>
      <c r="C689" s="16"/>
      <c r="D689" s="16"/>
      <c r="E689" s="16"/>
    </row>
    <row r="690" hidden="1">
      <c r="A690" s="38"/>
      <c r="B690" s="38"/>
      <c r="C690" s="16"/>
      <c r="D690" s="16"/>
      <c r="E690" s="16"/>
    </row>
    <row r="691" hidden="1">
      <c r="A691" s="38"/>
      <c r="B691" s="38"/>
      <c r="C691" s="16"/>
      <c r="D691" s="16"/>
      <c r="E691" s="16"/>
    </row>
    <row r="692" hidden="1">
      <c r="A692" s="38"/>
      <c r="B692" s="38"/>
      <c r="C692" s="16"/>
      <c r="D692" s="16"/>
      <c r="E692" s="16"/>
    </row>
    <row r="693" hidden="1">
      <c r="A693" s="38"/>
      <c r="B693" s="38"/>
      <c r="C693" s="16"/>
      <c r="D693" s="16"/>
      <c r="E693" s="16"/>
    </row>
    <row r="694" hidden="1">
      <c r="A694" s="38"/>
      <c r="B694" s="38"/>
      <c r="C694" s="16"/>
      <c r="D694" s="16"/>
      <c r="E694" s="16"/>
    </row>
    <row r="695" hidden="1">
      <c r="A695" s="38"/>
      <c r="B695" s="38"/>
      <c r="C695" s="16"/>
      <c r="D695" s="16"/>
      <c r="E695" s="16"/>
    </row>
    <row r="696" hidden="1">
      <c r="A696" s="38"/>
      <c r="B696" s="38"/>
      <c r="C696" s="16"/>
      <c r="D696" s="16"/>
      <c r="E696" s="16"/>
    </row>
    <row r="697" hidden="1">
      <c r="A697" s="38"/>
      <c r="B697" s="38"/>
      <c r="C697" s="16"/>
      <c r="D697" s="16"/>
      <c r="E697" s="16"/>
    </row>
    <row r="698" hidden="1">
      <c r="A698" s="38"/>
      <c r="B698" s="38"/>
      <c r="C698" s="16"/>
      <c r="D698" s="16"/>
      <c r="E698" s="16"/>
    </row>
    <row r="699" hidden="1">
      <c r="A699" s="38"/>
      <c r="B699" s="38"/>
      <c r="C699" s="16"/>
      <c r="D699" s="16"/>
      <c r="E699" s="16"/>
    </row>
    <row r="700" hidden="1">
      <c r="A700" s="38"/>
      <c r="B700" s="38"/>
      <c r="C700" s="16"/>
      <c r="D700" s="16"/>
      <c r="E700" s="16"/>
    </row>
    <row r="701" hidden="1">
      <c r="A701" s="38"/>
      <c r="B701" s="38"/>
      <c r="C701" s="16"/>
      <c r="D701" s="16"/>
      <c r="E701" s="16"/>
    </row>
    <row r="702" hidden="1">
      <c r="A702" s="38"/>
      <c r="B702" s="38"/>
      <c r="C702" s="16"/>
      <c r="D702" s="16"/>
      <c r="E702" s="16"/>
    </row>
    <row r="703" hidden="1">
      <c r="A703" s="38"/>
      <c r="B703" s="38"/>
      <c r="C703" s="16"/>
      <c r="D703" s="16"/>
      <c r="E703" s="16"/>
    </row>
    <row r="704" hidden="1">
      <c r="A704" s="38"/>
      <c r="B704" s="38"/>
      <c r="C704" s="16"/>
      <c r="D704" s="16"/>
      <c r="E704" s="16"/>
    </row>
    <row r="705" hidden="1">
      <c r="A705" s="38"/>
      <c r="B705" s="38"/>
      <c r="C705" s="16"/>
      <c r="D705" s="16"/>
      <c r="E705" s="16"/>
    </row>
    <row r="706" hidden="1">
      <c r="A706" s="38"/>
      <c r="B706" s="38"/>
      <c r="C706" s="16"/>
      <c r="D706" s="16"/>
      <c r="E706" s="16"/>
    </row>
    <row r="707" hidden="1">
      <c r="A707" s="38"/>
      <c r="B707" s="38"/>
      <c r="C707" s="16"/>
      <c r="D707" s="16"/>
      <c r="E707" s="16"/>
    </row>
    <row r="708" hidden="1">
      <c r="A708" s="38"/>
      <c r="B708" s="38"/>
      <c r="C708" s="16"/>
      <c r="D708" s="16"/>
      <c r="E708" s="16"/>
    </row>
    <row r="709" hidden="1">
      <c r="A709" s="38"/>
      <c r="B709" s="38"/>
      <c r="C709" s="16"/>
      <c r="D709" s="16"/>
      <c r="E709" s="16"/>
    </row>
    <row r="710" hidden="1">
      <c r="A710" s="38"/>
      <c r="B710" s="38"/>
      <c r="C710" s="16"/>
      <c r="D710" s="16"/>
      <c r="E710" s="16"/>
    </row>
    <row r="711" hidden="1">
      <c r="A711" s="38"/>
      <c r="B711" s="38"/>
      <c r="C711" s="16"/>
      <c r="D711" s="16"/>
      <c r="E711" s="16"/>
    </row>
    <row r="712" hidden="1">
      <c r="A712" s="38"/>
      <c r="B712" s="38"/>
      <c r="C712" s="16"/>
      <c r="D712" s="16"/>
      <c r="E712" s="16"/>
    </row>
    <row r="713" hidden="1">
      <c r="A713" s="38"/>
      <c r="B713" s="38"/>
      <c r="C713" s="16"/>
      <c r="D713" s="16"/>
      <c r="E713" s="16"/>
    </row>
    <row r="714" hidden="1">
      <c r="A714" s="38"/>
      <c r="B714" s="38"/>
      <c r="C714" s="16"/>
      <c r="D714" s="16"/>
      <c r="E714" s="16"/>
    </row>
    <row r="715" hidden="1">
      <c r="A715" s="38"/>
      <c r="B715" s="38"/>
      <c r="C715" s="16"/>
      <c r="D715" s="16"/>
      <c r="E715" s="16"/>
    </row>
    <row r="716" hidden="1">
      <c r="A716" s="38"/>
      <c r="B716" s="38"/>
      <c r="C716" s="16"/>
      <c r="D716" s="16"/>
      <c r="E716" s="16"/>
    </row>
    <row r="717" hidden="1">
      <c r="A717" s="38"/>
      <c r="B717" s="38"/>
      <c r="C717" s="16"/>
      <c r="D717" s="16"/>
      <c r="E717" s="16"/>
    </row>
    <row r="718" hidden="1">
      <c r="A718" s="38"/>
      <c r="B718" s="38"/>
      <c r="C718" s="16"/>
      <c r="D718" s="16"/>
      <c r="E718" s="16"/>
    </row>
    <row r="719" hidden="1">
      <c r="A719" s="38"/>
      <c r="B719" s="38"/>
      <c r="C719" s="16"/>
      <c r="D719" s="16"/>
      <c r="E719" s="16"/>
    </row>
    <row r="720" hidden="1">
      <c r="A720" s="38"/>
      <c r="B720" s="38"/>
      <c r="C720" s="16"/>
      <c r="D720" s="16"/>
      <c r="E720" s="16"/>
    </row>
    <row r="721" hidden="1">
      <c r="A721" s="38"/>
      <c r="B721" s="38"/>
      <c r="C721" s="16"/>
      <c r="D721" s="16"/>
      <c r="E721" s="16"/>
    </row>
    <row r="722" hidden="1">
      <c r="A722" s="38"/>
      <c r="B722" s="38"/>
      <c r="C722" s="16"/>
      <c r="D722" s="16"/>
      <c r="E722" s="16"/>
    </row>
    <row r="723" hidden="1">
      <c r="A723" s="38"/>
      <c r="B723" s="38"/>
      <c r="C723" s="16"/>
      <c r="D723" s="16"/>
      <c r="E723" s="16"/>
    </row>
    <row r="724" hidden="1">
      <c r="A724" s="38"/>
      <c r="B724" s="38"/>
      <c r="C724" s="16"/>
      <c r="D724" s="16"/>
      <c r="E724" s="16"/>
    </row>
    <row r="725" hidden="1">
      <c r="A725" s="38"/>
      <c r="B725" s="38"/>
      <c r="C725" s="16"/>
      <c r="D725" s="16"/>
      <c r="E725" s="16"/>
    </row>
    <row r="726" hidden="1">
      <c r="A726" s="38"/>
      <c r="B726" s="38"/>
      <c r="C726" s="16"/>
      <c r="D726" s="16"/>
      <c r="E726" s="16"/>
    </row>
    <row r="727" hidden="1">
      <c r="A727" s="38"/>
      <c r="B727" s="38"/>
      <c r="C727" s="16"/>
      <c r="D727" s="16"/>
      <c r="E727" s="16"/>
    </row>
    <row r="728" hidden="1">
      <c r="A728" s="38"/>
      <c r="B728" s="38"/>
      <c r="C728" s="16"/>
      <c r="D728" s="16"/>
      <c r="E728" s="16"/>
    </row>
    <row r="729" hidden="1">
      <c r="A729" s="38"/>
      <c r="B729" s="38"/>
      <c r="C729" s="16"/>
      <c r="D729" s="16"/>
      <c r="E729" s="16"/>
    </row>
    <row r="730" hidden="1">
      <c r="A730" s="38"/>
      <c r="B730" s="38"/>
      <c r="C730" s="16"/>
      <c r="D730" s="16"/>
      <c r="E730" s="16"/>
    </row>
    <row r="731" hidden="1">
      <c r="A731" s="38"/>
      <c r="B731" s="38"/>
      <c r="C731" s="16"/>
      <c r="D731" s="16"/>
      <c r="E731" s="16"/>
    </row>
    <row r="732" hidden="1">
      <c r="A732" s="38"/>
      <c r="B732" s="38"/>
      <c r="C732" s="16"/>
      <c r="D732" s="16"/>
      <c r="E732" s="16"/>
    </row>
    <row r="733" hidden="1">
      <c r="A733" s="38"/>
      <c r="B733" s="38"/>
      <c r="C733" s="16"/>
      <c r="D733" s="16"/>
      <c r="E733" s="16"/>
    </row>
    <row r="734" hidden="1">
      <c r="A734" s="38"/>
      <c r="B734" s="38"/>
      <c r="C734" s="16"/>
      <c r="D734" s="16"/>
      <c r="E734" s="16"/>
    </row>
    <row r="735" hidden="1">
      <c r="A735" s="38"/>
      <c r="B735" s="38"/>
      <c r="C735" s="16"/>
      <c r="D735" s="16"/>
      <c r="E735" s="16"/>
    </row>
    <row r="736" hidden="1">
      <c r="A736" s="38"/>
      <c r="B736" s="38"/>
      <c r="C736" s="16"/>
      <c r="D736" s="16"/>
      <c r="E736" s="16"/>
    </row>
    <row r="737" hidden="1">
      <c r="A737" s="38"/>
      <c r="B737" s="38"/>
      <c r="C737" s="16"/>
      <c r="D737" s="16"/>
      <c r="E737" s="16"/>
    </row>
    <row r="738" hidden="1">
      <c r="A738" s="38"/>
      <c r="B738" s="38"/>
      <c r="C738" s="16"/>
      <c r="D738" s="16"/>
      <c r="E738" s="16"/>
    </row>
    <row r="739" hidden="1">
      <c r="A739" s="38"/>
      <c r="B739" s="38"/>
      <c r="C739" s="16"/>
      <c r="D739" s="16"/>
      <c r="E739" s="16"/>
    </row>
    <row r="740" hidden="1">
      <c r="A740" s="38"/>
      <c r="B740" s="38"/>
      <c r="C740" s="16"/>
      <c r="D740" s="16"/>
      <c r="E740" s="16"/>
    </row>
    <row r="741" hidden="1">
      <c r="A741" s="38"/>
      <c r="B741" s="38"/>
      <c r="C741" s="16"/>
      <c r="D741" s="16"/>
      <c r="E741" s="16"/>
    </row>
    <row r="742" hidden="1">
      <c r="A742" s="38"/>
      <c r="B742" s="38"/>
      <c r="C742" s="16"/>
      <c r="D742" s="16"/>
      <c r="E742" s="16"/>
    </row>
    <row r="743" hidden="1">
      <c r="A743" s="38"/>
      <c r="B743" s="38"/>
      <c r="C743" s="16"/>
      <c r="D743" s="16"/>
      <c r="E743" s="16"/>
    </row>
    <row r="744" hidden="1">
      <c r="A744" s="38"/>
      <c r="B744" s="38"/>
      <c r="C744" s="16"/>
      <c r="D744" s="16"/>
      <c r="E744" s="16"/>
    </row>
    <row r="745" hidden="1">
      <c r="A745" s="38"/>
      <c r="B745" s="38"/>
      <c r="C745" s="16"/>
      <c r="D745" s="16"/>
      <c r="E745" s="16"/>
    </row>
    <row r="746" hidden="1">
      <c r="A746" s="38"/>
      <c r="B746" s="38"/>
      <c r="C746" s="16"/>
      <c r="D746" s="16"/>
      <c r="E746" s="16"/>
    </row>
    <row r="747" hidden="1">
      <c r="A747" s="38"/>
      <c r="B747" s="38"/>
      <c r="C747" s="16"/>
      <c r="D747" s="16"/>
      <c r="E747" s="16"/>
    </row>
    <row r="748" hidden="1">
      <c r="A748" s="38"/>
      <c r="B748" s="38"/>
      <c r="C748" s="16"/>
      <c r="D748" s="16"/>
      <c r="E748" s="16"/>
    </row>
    <row r="749" hidden="1">
      <c r="A749" s="38"/>
      <c r="B749" s="38"/>
      <c r="C749" s="16"/>
      <c r="D749" s="16"/>
      <c r="E749" s="16"/>
    </row>
    <row r="750" hidden="1">
      <c r="A750" s="38"/>
      <c r="B750" s="38"/>
      <c r="C750" s="16"/>
      <c r="D750" s="16"/>
      <c r="E750" s="16"/>
    </row>
    <row r="751" hidden="1">
      <c r="A751" s="38"/>
      <c r="B751" s="38"/>
      <c r="C751" s="16"/>
      <c r="D751" s="16"/>
      <c r="E751" s="16"/>
    </row>
    <row r="752" hidden="1">
      <c r="A752" s="38"/>
      <c r="B752" s="38"/>
      <c r="C752" s="16"/>
      <c r="D752" s="16"/>
      <c r="E752" s="16"/>
    </row>
    <row r="753" hidden="1">
      <c r="A753" s="38"/>
      <c r="B753" s="38"/>
      <c r="C753" s="16"/>
      <c r="D753" s="16"/>
      <c r="E753" s="16"/>
    </row>
    <row r="754" hidden="1">
      <c r="A754" s="38"/>
      <c r="B754" s="38"/>
      <c r="C754" s="16"/>
      <c r="D754" s="16"/>
      <c r="E754" s="16"/>
    </row>
    <row r="755" hidden="1">
      <c r="A755" s="38"/>
      <c r="B755" s="38"/>
      <c r="C755" s="16"/>
      <c r="D755" s="16"/>
      <c r="E755" s="16"/>
    </row>
    <row r="756" hidden="1">
      <c r="A756" s="38"/>
      <c r="B756" s="38"/>
      <c r="C756" s="16"/>
      <c r="D756" s="16"/>
      <c r="E756" s="16"/>
    </row>
    <row r="757" hidden="1">
      <c r="A757" s="38"/>
      <c r="B757" s="38"/>
      <c r="C757" s="16"/>
      <c r="D757" s="16"/>
      <c r="E757" s="16"/>
    </row>
    <row r="758" hidden="1">
      <c r="A758" s="38"/>
      <c r="B758" s="38"/>
      <c r="C758" s="16"/>
      <c r="D758" s="16"/>
      <c r="E758" s="16"/>
    </row>
    <row r="759" hidden="1">
      <c r="A759" s="38"/>
      <c r="B759" s="38"/>
      <c r="C759" s="16"/>
      <c r="D759" s="16"/>
      <c r="E759" s="16"/>
    </row>
    <row r="760" hidden="1">
      <c r="A760" s="38"/>
      <c r="B760" s="38"/>
      <c r="C760" s="16"/>
      <c r="D760" s="16"/>
      <c r="E760" s="16"/>
    </row>
    <row r="761" hidden="1">
      <c r="A761" s="38"/>
      <c r="B761" s="38"/>
      <c r="C761" s="16"/>
      <c r="D761" s="16"/>
      <c r="E761" s="16"/>
    </row>
    <row r="762" hidden="1">
      <c r="A762" s="38"/>
      <c r="B762" s="38"/>
      <c r="C762" s="16"/>
      <c r="D762" s="16"/>
      <c r="E762" s="16"/>
    </row>
    <row r="763" hidden="1">
      <c r="A763" s="38"/>
      <c r="B763" s="38"/>
      <c r="C763" s="16"/>
      <c r="D763" s="16"/>
      <c r="E763" s="16"/>
    </row>
    <row r="764" hidden="1">
      <c r="A764" s="38"/>
      <c r="B764" s="38"/>
      <c r="C764" s="16"/>
      <c r="D764" s="16"/>
      <c r="E764" s="16"/>
    </row>
    <row r="765" hidden="1">
      <c r="A765" s="38"/>
      <c r="B765" s="38"/>
      <c r="C765" s="16"/>
      <c r="D765" s="16"/>
      <c r="E765" s="16"/>
    </row>
    <row r="766" hidden="1">
      <c r="A766" s="38"/>
      <c r="B766" s="38"/>
      <c r="C766" s="16"/>
      <c r="D766" s="16"/>
      <c r="E766" s="16"/>
    </row>
    <row r="767" hidden="1">
      <c r="A767" s="38"/>
      <c r="B767" s="38"/>
      <c r="C767" s="16"/>
      <c r="D767" s="16"/>
      <c r="E767" s="16"/>
    </row>
    <row r="768" hidden="1">
      <c r="A768" s="38"/>
      <c r="B768" s="38"/>
      <c r="C768" s="16"/>
      <c r="D768" s="16"/>
      <c r="E768" s="16"/>
    </row>
    <row r="769" hidden="1">
      <c r="A769" s="38"/>
      <c r="B769" s="38"/>
      <c r="C769" s="16"/>
      <c r="D769" s="16"/>
      <c r="E769" s="16"/>
    </row>
    <row r="770" hidden="1">
      <c r="A770" s="38"/>
      <c r="B770" s="38"/>
      <c r="C770" s="16"/>
      <c r="D770" s="16"/>
      <c r="E770" s="16"/>
    </row>
    <row r="771" hidden="1">
      <c r="A771" s="38"/>
      <c r="B771" s="38"/>
      <c r="C771" s="16"/>
      <c r="D771" s="16"/>
      <c r="E771" s="16"/>
    </row>
    <row r="772" hidden="1">
      <c r="A772" s="38"/>
      <c r="B772" s="38"/>
      <c r="C772" s="16"/>
      <c r="D772" s="16"/>
      <c r="E772" s="16"/>
    </row>
    <row r="773" hidden="1">
      <c r="A773" s="38"/>
      <c r="B773" s="38"/>
      <c r="C773" s="16"/>
      <c r="D773" s="16"/>
      <c r="E773" s="16"/>
    </row>
    <row r="774" hidden="1">
      <c r="A774" s="38"/>
      <c r="B774" s="38"/>
      <c r="C774" s="16"/>
      <c r="D774" s="16"/>
      <c r="E774" s="16"/>
    </row>
    <row r="775" hidden="1">
      <c r="A775" s="38"/>
      <c r="B775" s="38"/>
      <c r="C775" s="16"/>
      <c r="D775" s="16"/>
      <c r="E775" s="16"/>
    </row>
    <row r="776" hidden="1">
      <c r="A776" s="38"/>
      <c r="B776" s="38"/>
      <c r="C776" s="16"/>
      <c r="D776" s="16"/>
      <c r="E776" s="16"/>
    </row>
    <row r="777" hidden="1">
      <c r="A777" s="38"/>
      <c r="B777" s="38"/>
      <c r="C777" s="16"/>
      <c r="D777" s="16"/>
      <c r="E777" s="16"/>
    </row>
    <row r="778" hidden="1">
      <c r="A778" s="38"/>
      <c r="B778" s="38"/>
      <c r="C778" s="16"/>
      <c r="D778" s="16"/>
      <c r="E778" s="16"/>
    </row>
    <row r="779" hidden="1">
      <c r="A779" s="38"/>
      <c r="B779" s="38"/>
      <c r="C779" s="16"/>
      <c r="D779" s="16"/>
      <c r="E779" s="16"/>
    </row>
    <row r="780" hidden="1">
      <c r="A780" s="38"/>
      <c r="B780" s="38"/>
      <c r="C780" s="16"/>
      <c r="D780" s="16"/>
      <c r="E780" s="16"/>
    </row>
    <row r="781" hidden="1">
      <c r="A781" s="38"/>
      <c r="B781" s="38"/>
      <c r="C781" s="16"/>
      <c r="D781" s="16"/>
      <c r="E781" s="16"/>
    </row>
    <row r="782" hidden="1">
      <c r="A782" s="38"/>
      <c r="B782" s="38"/>
      <c r="C782" s="16"/>
      <c r="D782" s="16"/>
      <c r="E782" s="16"/>
    </row>
    <row r="783" hidden="1">
      <c r="A783" s="38"/>
      <c r="B783" s="38"/>
      <c r="C783" s="16"/>
      <c r="D783" s="16"/>
      <c r="E783" s="16"/>
    </row>
    <row r="784" hidden="1">
      <c r="A784" s="38"/>
      <c r="B784" s="38"/>
      <c r="C784" s="16"/>
      <c r="D784" s="16"/>
      <c r="E784" s="16"/>
    </row>
    <row r="785" hidden="1">
      <c r="A785" s="38"/>
      <c r="B785" s="38"/>
      <c r="C785" s="16"/>
      <c r="D785" s="16"/>
      <c r="E785" s="16"/>
    </row>
    <row r="786" hidden="1">
      <c r="A786" s="38"/>
      <c r="B786" s="38"/>
      <c r="C786" s="16"/>
      <c r="D786" s="16"/>
      <c r="E786" s="16"/>
    </row>
    <row r="787" hidden="1">
      <c r="A787" s="38"/>
      <c r="B787" s="38"/>
      <c r="C787" s="16"/>
      <c r="D787" s="16"/>
      <c r="E787" s="16"/>
    </row>
    <row r="788" hidden="1">
      <c r="A788" s="38"/>
      <c r="B788" s="38"/>
      <c r="C788" s="16"/>
      <c r="D788" s="16"/>
      <c r="E788" s="16"/>
    </row>
    <row r="789" hidden="1">
      <c r="A789" s="38"/>
      <c r="B789" s="38"/>
      <c r="C789" s="16"/>
      <c r="D789" s="16"/>
      <c r="E789" s="16"/>
    </row>
    <row r="790" hidden="1">
      <c r="A790" s="38"/>
      <c r="B790" s="38"/>
      <c r="C790" s="16"/>
      <c r="D790" s="16"/>
      <c r="E790" s="16"/>
    </row>
    <row r="791" hidden="1">
      <c r="A791" s="38"/>
      <c r="B791" s="38"/>
      <c r="C791" s="16"/>
      <c r="D791" s="16"/>
      <c r="E791" s="16"/>
    </row>
    <row r="792" hidden="1">
      <c r="A792" s="38"/>
      <c r="B792" s="38"/>
      <c r="C792" s="16"/>
      <c r="D792" s="16"/>
      <c r="E792" s="16"/>
    </row>
    <row r="793" hidden="1">
      <c r="A793" s="38"/>
      <c r="B793" s="38"/>
      <c r="C793" s="16"/>
      <c r="D793" s="16"/>
      <c r="E793" s="16"/>
    </row>
    <row r="794" hidden="1">
      <c r="A794" s="38"/>
      <c r="B794" s="38"/>
      <c r="C794" s="16"/>
      <c r="D794" s="16"/>
      <c r="E794" s="16"/>
    </row>
    <row r="795" hidden="1">
      <c r="A795" s="38"/>
      <c r="B795" s="38"/>
      <c r="C795" s="16"/>
      <c r="D795" s="16"/>
      <c r="E795" s="16"/>
    </row>
    <row r="796" hidden="1">
      <c r="A796" s="38"/>
      <c r="B796" s="38"/>
      <c r="C796" s="16"/>
      <c r="D796" s="16"/>
      <c r="E796" s="16"/>
    </row>
    <row r="797" hidden="1">
      <c r="A797" s="38"/>
      <c r="B797" s="38"/>
      <c r="C797" s="16"/>
      <c r="D797" s="16"/>
      <c r="E797" s="16"/>
    </row>
    <row r="798" hidden="1">
      <c r="A798" s="38"/>
      <c r="B798" s="38"/>
      <c r="C798" s="16"/>
      <c r="D798" s="16"/>
      <c r="E798" s="16"/>
    </row>
    <row r="799" hidden="1">
      <c r="A799" s="38"/>
      <c r="B799" s="38"/>
      <c r="C799" s="16"/>
      <c r="D799" s="16"/>
      <c r="E799" s="16"/>
    </row>
    <row r="800" hidden="1">
      <c r="A800" s="38"/>
      <c r="B800" s="38"/>
      <c r="C800" s="16"/>
      <c r="D800" s="16"/>
      <c r="E800" s="16"/>
    </row>
    <row r="801" hidden="1">
      <c r="A801" s="38"/>
      <c r="B801" s="38"/>
      <c r="C801" s="16"/>
      <c r="D801" s="16"/>
      <c r="E801" s="16"/>
    </row>
    <row r="802" hidden="1">
      <c r="A802" s="38"/>
      <c r="B802" s="38"/>
      <c r="C802" s="16"/>
      <c r="D802" s="16"/>
      <c r="E802" s="16"/>
    </row>
    <row r="803" hidden="1">
      <c r="A803" s="38"/>
      <c r="B803" s="38"/>
      <c r="C803" s="16"/>
      <c r="D803" s="16"/>
      <c r="E803" s="16"/>
    </row>
    <row r="804" hidden="1">
      <c r="A804" s="38"/>
      <c r="B804" s="38"/>
      <c r="C804" s="16"/>
      <c r="D804" s="16"/>
      <c r="E804" s="16"/>
    </row>
    <row r="805" hidden="1">
      <c r="A805" s="38"/>
      <c r="B805" s="38"/>
      <c r="C805" s="16"/>
      <c r="D805" s="16"/>
      <c r="E805" s="16"/>
    </row>
    <row r="806" hidden="1">
      <c r="A806" s="38"/>
      <c r="B806" s="38"/>
      <c r="C806" s="16"/>
      <c r="D806" s="16"/>
      <c r="E806" s="16"/>
    </row>
    <row r="807" hidden="1">
      <c r="A807" s="38"/>
      <c r="B807" s="38"/>
      <c r="C807" s="16"/>
      <c r="D807" s="16"/>
      <c r="E807" s="16"/>
    </row>
    <row r="808" hidden="1">
      <c r="A808" s="38"/>
      <c r="B808" s="38"/>
      <c r="C808" s="16"/>
      <c r="D808" s="16"/>
      <c r="E808" s="16"/>
    </row>
    <row r="809" hidden="1">
      <c r="A809" s="38"/>
      <c r="B809" s="38"/>
      <c r="C809" s="16"/>
      <c r="D809" s="16"/>
      <c r="E809" s="16"/>
    </row>
    <row r="810" hidden="1">
      <c r="A810" s="38"/>
      <c r="B810" s="38"/>
      <c r="C810" s="16"/>
      <c r="D810" s="16"/>
      <c r="E810" s="16"/>
    </row>
    <row r="811" hidden="1">
      <c r="A811" s="38"/>
      <c r="B811" s="38"/>
      <c r="C811" s="16"/>
      <c r="D811" s="16"/>
      <c r="E811" s="16"/>
    </row>
    <row r="812" hidden="1">
      <c r="A812" s="38"/>
      <c r="B812" s="38"/>
      <c r="C812" s="16"/>
      <c r="D812" s="16"/>
      <c r="E812" s="16"/>
    </row>
    <row r="813" hidden="1">
      <c r="A813" s="38"/>
      <c r="B813" s="38"/>
      <c r="C813" s="16"/>
      <c r="D813" s="16"/>
      <c r="E813" s="16"/>
    </row>
    <row r="814" hidden="1">
      <c r="A814" s="38"/>
      <c r="B814" s="38"/>
      <c r="C814" s="16"/>
      <c r="D814" s="16"/>
      <c r="E814" s="16"/>
    </row>
    <row r="815" hidden="1">
      <c r="A815" s="38"/>
      <c r="B815" s="38"/>
      <c r="C815" s="16"/>
      <c r="D815" s="16"/>
      <c r="E815" s="16"/>
    </row>
    <row r="816" hidden="1">
      <c r="A816" s="38"/>
      <c r="B816" s="38"/>
      <c r="C816" s="16"/>
      <c r="D816" s="16"/>
      <c r="E816" s="16"/>
    </row>
    <row r="817" hidden="1">
      <c r="A817" s="38"/>
      <c r="B817" s="38"/>
      <c r="C817" s="16"/>
      <c r="D817" s="16"/>
      <c r="E817" s="16"/>
    </row>
    <row r="818" hidden="1">
      <c r="A818" s="38"/>
      <c r="B818" s="38"/>
      <c r="C818" s="16"/>
      <c r="D818" s="16"/>
      <c r="E818" s="16"/>
    </row>
    <row r="819" hidden="1">
      <c r="A819" s="38"/>
      <c r="B819" s="38"/>
      <c r="C819" s="16"/>
      <c r="D819" s="16"/>
      <c r="E819" s="16"/>
    </row>
    <row r="820" hidden="1">
      <c r="A820" s="38"/>
      <c r="B820" s="38"/>
      <c r="C820" s="16"/>
      <c r="D820" s="16"/>
      <c r="E820" s="16"/>
    </row>
    <row r="821" hidden="1">
      <c r="A821" s="38"/>
      <c r="B821" s="38"/>
      <c r="C821" s="16"/>
      <c r="D821" s="16"/>
      <c r="E821" s="16"/>
    </row>
    <row r="822" hidden="1">
      <c r="A822" s="38"/>
      <c r="B822" s="38"/>
      <c r="C822" s="16"/>
      <c r="D822" s="16"/>
      <c r="E822" s="16"/>
    </row>
    <row r="823" hidden="1">
      <c r="A823" s="38"/>
      <c r="B823" s="38"/>
      <c r="C823" s="16"/>
      <c r="D823" s="16"/>
      <c r="E823" s="16"/>
    </row>
    <row r="824" hidden="1">
      <c r="A824" s="38"/>
      <c r="B824" s="38"/>
      <c r="C824" s="16"/>
      <c r="D824" s="16"/>
      <c r="E824" s="16"/>
    </row>
    <row r="825" hidden="1">
      <c r="A825" s="38"/>
      <c r="B825" s="38"/>
      <c r="C825" s="16"/>
      <c r="D825" s="16"/>
      <c r="E825" s="16"/>
    </row>
    <row r="826" hidden="1">
      <c r="A826" s="38"/>
      <c r="B826" s="38"/>
      <c r="C826" s="16"/>
      <c r="D826" s="16"/>
      <c r="E826" s="16"/>
    </row>
    <row r="827" hidden="1">
      <c r="A827" s="38"/>
      <c r="B827" s="38"/>
      <c r="C827" s="16"/>
      <c r="D827" s="16"/>
      <c r="E827" s="16"/>
    </row>
    <row r="828" hidden="1">
      <c r="A828" s="38"/>
      <c r="B828" s="38"/>
      <c r="C828" s="16"/>
      <c r="D828" s="16"/>
      <c r="E828" s="16"/>
    </row>
    <row r="829" hidden="1">
      <c r="A829" s="38"/>
      <c r="B829" s="38"/>
      <c r="C829" s="16"/>
      <c r="D829" s="16"/>
      <c r="E829" s="16"/>
    </row>
    <row r="830" hidden="1">
      <c r="A830" s="38"/>
      <c r="B830" s="38"/>
      <c r="C830" s="16"/>
      <c r="D830" s="16"/>
      <c r="E830" s="16"/>
    </row>
    <row r="831" hidden="1">
      <c r="A831" s="38"/>
      <c r="B831" s="38"/>
      <c r="C831" s="16"/>
      <c r="D831" s="16"/>
      <c r="E831" s="16"/>
    </row>
    <row r="832" hidden="1">
      <c r="A832" s="38"/>
      <c r="B832" s="38"/>
      <c r="C832" s="16"/>
      <c r="D832" s="16"/>
      <c r="E832" s="16"/>
    </row>
    <row r="833" hidden="1">
      <c r="A833" s="38"/>
      <c r="B833" s="38"/>
      <c r="C833" s="16"/>
      <c r="D833" s="16"/>
      <c r="E833" s="16"/>
    </row>
    <row r="834" hidden="1">
      <c r="A834" s="38"/>
      <c r="B834" s="38"/>
      <c r="C834" s="16"/>
      <c r="D834" s="16"/>
      <c r="E834" s="16"/>
    </row>
    <row r="835" hidden="1">
      <c r="A835" s="38"/>
      <c r="B835" s="38"/>
      <c r="C835" s="16"/>
      <c r="D835" s="16"/>
      <c r="E835" s="16"/>
    </row>
    <row r="836" hidden="1">
      <c r="A836" s="38"/>
      <c r="B836" s="38"/>
      <c r="C836" s="16"/>
      <c r="D836" s="16"/>
      <c r="E836" s="16"/>
    </row>
    <row r="837" hidden="1">
      <c r="A837" s="38"/>
      <c r="B837" s="38"/>
      <c r="C837" s="16"/>
      <c r="D837" s="16"/>
      <c r="E837" s="16"/>
    </row>
    <row r="838" hidden="1">
      <c r="A838" s="38"/>
      <c r="B838" s="38"/>
      <c r="C838" s="16"/>
      <c r="D838" s="16"/>
      <c r="E838" s="16"/>
    </row>
    <row r="839" hidden="1">
      <c r="A839" s="38"/>
      <c r="B839" s="38"/>
      <c r="C839" s="16"/>
      <c r="D839" s="16"/>
      <c r="E839" s="16"/>
    </row>
    <row r="840" hidden="1">
      <c r="A840" s="38"/>
      <c r="B840" s="38"/>
      <c r="C840" s="16"/>
      <c r="D840" s="16"/>
      <c r="E840" s="16"/>
    </row>
    <row r="841" hidden="1">
      <c r="A841" s="38"/>
      <c r="B841" s="38"/>
      <c r="C841" s="16"/>
      <c r="D841" s="16"/>
      <c r="E841" s="16"/>
    </row>
    <row r="842" hidden="1">
      <c r="A842" s="38"/>
      <c r="B842" s="38"/>
      <c r="C842" s="16"/>
      <c r="D842" s="16"/>
      <c r="E842" s="16"/>
    </row>
    <row r="843" hidden="1">
      <c r="A843" s="38"/>
      <c r="B843" s="38"/>
      <c r="C843" s="16"/>
      <c r="D843" s="16"/>
      <c r="E843" s="16"/>
    </row>
    <row r="844" hidden="1">
      <c r="A844" s="38"/>
      <c r="B844" s="38"/>
      <c r="C844" s="16"/>
      <c r="D844" s="16"/>
      <c r="E844" s="16"/>
    </row>
    <row r="845" hidden="1">
      <c r="A845" s="38"/>
      <c r="B845" s="38"/>
      <c r="C845" s="16"/>
      <c r="D845" s="16"/>
      <c r="E845" s="16"/>
    </row>
    <row r="846" hidden="1">
      <c r="A846" s="38"/>
      <c r="B846" s="38"/>
      <c r="C846" s="16"/>
      <c r="D846" s="16"/>
      <c r="E846" s="16"/>
    </row>
    <row r="847" hidden="1">
      <c r="A847" s="38"/>
      <c r="B847" s="38"/>
      <c r="C847" s="16"/>
      <c r="D847" s="16"/>
      <c r="E847" s="16"/>
    </row>
    <row r="848" hidden="1">
      <c r="A848" s="38"/>
      <c r="B848" s="38"/>
      <c r="C848" s="16"/>
      <c r="D848" s="16"/>
      <c r="E848" s="16"/>
    </row>
    <row r="849" hidden="1">
      <c r="A849" s="38"/>
      <c r="B849" s="38"/>
      <c r="C849" s="16"/>
      <c r="D849" s="16"/>
      <c r="E849" s="16"/>
    </row>
    <row r="850" hidden="1">
      <c r="A850" s="38"/>
      <c r="B850" s="38"/>
      <c r="C850" s="16"/>
      <c r="D850" s="16"/>
      <c r="E850" s="16"/>
    </row>
    <row r="851" hidden="1">
      <c r="A851" s="38"/>
      <c r="B851" s="38"/>
      <c r="C851" s="16"/>
      <c r="D851" s="16"/>
      <c r="E851" s="16"/>
    </row>
    <row r="852" hidden="1">
      <c r="A852" s="38"/>
      <c r="B852" s="38"/>
      <c r="C852" s="16"/>
      <c r="D852" s="16"/>
      <c r="E852" s="16"/>
    </row>
    <row r="853" hidden="1">
      <c r="A853" s="38"/>
      <c r="B853" s="38"/>
      <c r="C853" s="16"/>
      <c r="D853" s="16"/>
      <c r="E853" s="16"/>
    </row>
    <row r="854" hidden="1">
      <c r="A854" s="38"/>
      <c r="B854" s="38"/>
      <c r="C854" s="16"/>
      <c r="D854" s="16"/>
      <c r="E854" s="16"/>
    </row>
    <row r="855" hidden="1">
      <c r="A855" s="38"/>
      <c r="B855" s="38"/>
      <c r="C855" s="16"/>
      <c r="D855" s="16"/>
      <c r="E855" s="16"/>
    </row>
    <row r="856" hidden="1">
      <c r="A856" s="38"/>
      <c r="B856" s="38"/>
      <c r="C856" s="16"/>
      <c r="D856" s="16"/>
      <c r="E856" s="16"/>
    </row>
    <row r="857" hidden="1">
      <c r="A857" s="38"/>
      <c r="B857" s="38"/>
      <c r="C857" s="16"/>
      <c r="D857" s="16"/>
      <c r="E857" s="16"/>
    </row>
    <row r="858" hidden="1">
      <c r="A858" s="38"/>
      <c r="B858" s="38"/>
      <c r="C858" s="16"/>
      <c r="D858" s="16"/>
      <c r="E858" s="16"/>
    </row>
    <row r="859" hidden="1">
      <c r="A859" s="38"/>
      <c r="B859" s="38"/>
      <c r="C859" s="16"/>
      <c r="D859" s="16"/>
      <c r="E859" s="16"/>
    </row>
    <row r="860" hidden="1">
      <c r="A860" s="38"/>
      <c r="B860" s="38"/>
      <c r="C860" s="16"/>
      <c r="D860" s="16"/>
      <c r="E860" s="16"/>
    </row>
    <row r="861" hidden="1">
      <c r="A861" s="38"/>
      <c r="B861" s="38"/>
      <c r="C861" s="16"/>
      <c r="D861" s="16"/>
      <c r="E861" s="16"/>
    </row>
    <row r="862" hidden="1">
      <c r="A862" s="38"/>
      <c r="B862" s="38"/>
      <c r="C862" s="16"/>
      <c r="D862" s="16"/>
      <c r="E862" s="16"/>
    </row>
    <row r="863" hidden="1">
      <c r="A863" s="38"/>
      <c r="B863" s="38"/>
      <c r="C863" s="16"/>
      <c r="D863" s="16"/>
      <c r="E863" s="16"/>
    </row>
    <row r="864" hidden="1">
      <c r="A864" s="38"/>
      <c r="B864" s="38"/>
      <c r="C864" s="16"/>
      <c r="D864" s="16"/>
      <c r="E864" s="16"/>
    </row>
    <row r="865" hidden="1">
      <c r="A865" s="38"/>
      <c r="B865" s="38"/>
      <c r="C865" s="16"/>
      <c r="D865" s="16"/>
      <c r="E865" s="16"/>
    </row>
    <row r="866" hidden="1">
      <c r="A866" s="38"/>
      <c r="B866" s="38"/>
      <c r="C866" s="16"/>
      <c r="D866" s="16"/>
      <c r="E866" s="16"/>
    </row>
    <row r="867" hidden="1">
      <c r="A867" s="38"/>
      <c r="B867" s="38"/>
      <c r="C867" s="16"/>
      <c r="D867" s="16"/>
      <c r="E867" s="16"/>
    </row>
    <row r="868" hidden="1">
      <c r="A868" s="38"/>
      <c r="B868" s="38"/>
      <c r="C868" s="16"/>
      <c r="D868" s="16"/>
      <c r="E868" s="16"/>
    </row>
    <row r="869" hidden="1">
      <c r="A869" s="38"/>
      <c r="B869" s="38"/>
      <c r="C869" s="16"/>
      <c r="D869" s="16"/>
      <c r="E869" s="16"/>
    </row>
    <row r="870" hidden="1">
      <c r="A870" s="38"/>
      <c r="B870" s="38"/>
      <c r="C870" s="16"/>
      <c r="D870" s="16"/>
      <c r="E870" s="16"/>
    </row>
    <row r="871" hidden="1">
      <c r="A871" s="38"/>
      <c r="B871" s="38"/>
      <c r="C871" s="16"/>
      <c r="D871" s="16"/>
      <c r="E871" s="16"/>
    </row>
    <row r="872" hidden="1">
      <c r="A872" s="38"/>
      <c r="B872" s="38"/>
      <c r="C872" s="16"/>
      <c r="D872" s="16"/>
      <c r="E872" s="16"/>
    </row>
    <row r="873" hidden="1">
      <c r="A873" s="38"/>
      <c r="B873" s="38"/>
      <c r="C873" s="16"/>
      <c r="D873" s="16"/>
      <c r="E873" s="16"/>
    </row>
    <row r="874" hidden="1">
      <c r="A874" s="38"/>
      <c r="B874" s="38"/>
      <c r="C874" s="16"/>
      <c r="D874" s="16"/>
      <c r="E874" s="16"/>
    </row>
    <row r="875" hidden="1">
      <c r="A875" s="38"/>
      <c r="B875" s="38"/>
      <c r="C875" s="16"/>
      <c r="D875" s="16"/>
      <c r="E875" s="16"/>
    </row>
    <row r="876" hidden="1">
      <c r="A876" s="38"/>
      <c r="B876" s="38"/>
      <c r="C876" s="16"/>
      <c r="D876" s="16"/>
      <c r="E876" s="16"/>
    </row>
    <row r="877" hidden="1">
      <c r="A877" s="38"/>
      <c r="B877" s="38"/>
      <c r="C877" s="16"/>
      <c r="D877" s="16"/>
      <c r="E877" s="16"/>
    </row>
    <row r="878" hidden="1">
      <c r="A878" s="38"/>
      <c r="B878" s="38"/>
      <c r="C878" s="16"/>
      <c r="D878" s="16"/>
      <c r="E878" s="16"/>
    </row>
    <row r="879" hidden="1">
      <c r="A879" s="38"/>
      <c r="B879" s="38"/>
      <c r="C879" s="16"/>
      <c r="D879" s="16"/>
      <c r="E879" s="16"/>
    </row>
    <row r="880" hidden="1">
      <c r="A880" s="38"/>
      <c r="B880" s="38"/>
      <c r="C880" s="16"/>
      <c r="D880" s="16"/>
      <c r="E880" s="16"/>
    </row>
    <row r="881" hidden="1">
      <c r="A881" s="38"/>
      <c r="B881" s="38"/>
      <c r="C881" s="16"/>
      <c r="D881" s="16"/>
      <c r="E881" s="16"/>
    </row>
    <row r="882" hidden="1">
      <c r="A882" s="38"/>
      <c r="B882" s="38"/>
      <c r="C882" s="16"/>
      <c r="D882" s="16"/>
      <c r="E882" s="16"/>
    </row>
    <row r="883" hidden="1">
      <c r="A883" s="38"/>
      <c r="B883" s="38"/>
      <c r="C883" s="16"/>
      <c r="D883" s="16"/>
      <c r="E883" s="16"/>
    </row>
    <row r="884" hidden="1">
      <c r="A884" s="38"/>
      <c r="B884" s="38"/>
      <c r="C884" s="16"/>
      <c r="D884" s="16"/>
      <c r="E884" s="16"/>
    </row>
    <row r="885" hidden="1">
      <c r="A885" s="38"/>
      <c r="B885" s="38"/>
      <c r="C885" s="16"/>
      <c r="D885" s="16"/>
      <c r="E885" s="16"/>
    </row>
    <row r="886" hidden="1">
      <c r="A886" s="38"/>
      <c r="B886" s="38"/>
      <c r="C886" s="16"/>
      <c r="D886" s="16"/>
      <c r="E886" s="16"/>
    </row>
    <row r="887" hidden="1">
      <c r="A887" s="38"/>
      <c r="B887" s="38"/>
      <c r="C887" s="16"/>
      <c r="D887" s="16"/>
      <c r="E887" s="16"/>
    </row>
    <row r="888" hidden="1">
      <c r="A888" s="38"/>
      <c r="B888" s="38"/>
      <c r="C888" s="16"/>
      <c r="D888" s="16"/>
      <c r="E888" s="16"/>
    </row>
    <row r="889" hidden="1">
      <c r="A889" s="38"/>
      <c r="B889" s="38"/>
      <c r="C889" s="16"/>
      <c r="D889" s="16"/>
      <c r="E889" s="16"/>
    </row>
    <row r="890" hidden="1">
      <c r="A890" s="38"/>
      <c r="B890" s="38"/>
      <c r="C890" s="16"/>
      <c r="D890" s="16"/>
      <c r="E890" s="16"/>
    </row>
    <row r="891" hidden="1">
      <c r="A891" s="38"/>
      <c r="B891" s="38"/>
      <c r="C891" s="16"/>
      <c r="D891" s="16"/>
      <c r="E891" s="16"/>
    </row>
    <row r="892" hidden="1">
      <c r="A892" s="38"/>
      <c r="B892" s="38"/>
      <c r="C892" s="16"/>
      <c r="D892" s="16"/>
      <c r="E892" s="16"/>
    </row>
    <row r="893" hidden="1">
      <c r="A893" s="38"/>
      <c r="B893" s="38"/>
      <c r="C893" s="16"/>
      <c r="D893" s="16"/>
      <c r="E893" s="16"/>
    </row>
    <row r="894" hidden="1">
      <c r="A894" s="38"/>
      <c r="B894" s="38"/>
      <c r="C894" s="16"/>
      <c r="D894" s="16"/>
      <c r="E894" s="16"/>
    </row>
    <row r="895" hidden="1">
      <c r="A895" s="38"/>
      <c r="B895" s="38"/>
      <c r="C895" s="16"/>
      <c r="D895" s="16"/>
      <c r="E895" s="16"/>
    </row>
    <row r="896" hidden="1">
      <c r="A896" s="38"/>
      <c r="B896" s="38"/>
      <c r="C896" s="16"/>
      <c r="D896" s="16"/>
      <c r="E896" s="16"/>
    </row>
    <row r="897" hidden="1">
      <c r="A897" s="38"/>
      <c r="B897" s="38"/>
      <c r="C897" s="16"/>
      <c r="D897" s="16"/>
      <c r="E897" s="16"/>
    </row>
    <row r="898" hidden="1">
      <c r="A898" s="38"/>
      <c r="B898" s="38"/>
      <c r="C898" s="16"/>
      <c r="D898" s="16"/>
      <c r="E898" s="16"/>
    </row>
    <row r="899" hidden="1">
      <c r="A899" s="38"/>
      <c r="B899" s="38"/>
      <c r="C899" s="16"/>
      <c r="D899" s="16"/>
      <c r="E899" s="16"/>
    </row>
    <row r="900" hidden="1">
      <c r="A900" s="38"/>
      <c r="B900" s="38"/>
      <c r="C900" s="16"/>
      <c r="D900" s="16"/>
      <c r="E900" s="16"/>
    </row>
    <row r="901" hidden="1">
      <c r="A901" s="38"/>
      <c r="B901" s="38"/>
      <c r="C901" s="16"/>
      <c r="D901" s="16"/>
      <c r="E901" s="16"/>
    </row>
    <row r="902" hidden="1">
      <c r="A902" s="38"/>
      <c r="B902" s="38"/>
      <c r="C902" s="16"/>
      <c r="D902" s="16"/>
      <c r="E902" s="16"/>
    </row>
    <row r="903" hidden="1">
      <c r="A903" s="38"/>
      <c r="B903" s="38"/>
      <c r="C903" s="16"/>
      <c r="D903" s="16"/>
      <c r="E903" s="16"/>
    </row>
    <row r="904" hidden="1">
      <c r="A904" s="38"/>
      <c r="B904" s="38"/>
      <c r="C904" s="16"/>
      <c r="D904" s="16"/>
      <c r="E904" s="16"/>
    </row>
    <row r="905" hidden="1">
      <c r="A905" s="38"/>
      <c r="B905" s="38"/>
      <c r="C905" s="16"/>
      <c r="D905" s="16"/>
      <c r="E905" s="16"/>
    </row>
    <row r="906" hidden="1">
      <c r="A906" s="38"/>
      <c r="B906" s="38"/>
      <c r="C906" s="16"/>
      <c r="D906" s="16"/>
      <c r="E906" s="16"/>
    </row>
    <row r="907" hidden="1">
      <c r="A907" s="38"/>
      <c r="B907" s="38"/>
      <c r="C907" s="16"/>
      <c r="D907" s="16"/>
      <c r="E907" s="16"/>
    </row>
    <row r="908" hidden="1">
      <c r="A908" s="38"/>
      <c r="B908" s="38"/>
      <c r="C908" s="16"/>
      <c r="D908" s="16"/>
      <c r="E908" s="16"/>
    </row>
    <row r="909" hidden="1">
      <c r="A909" s="38"/>
      <c r="B909" s="38"/>
      <c r="C909" s="16"/>
      <c r="D909" s="16"/>
      <c r="E909" s="16"/>
    </row>
    <row r="910" hidden="1">
      <c r="A910" s="38"/>
      <c r="B910" s="38"/>
      <c r="C910" s="16"/>
      <c r="D910" s="16"/>
      <c r="E910" s="16"/>
    </row>
    <row r="911" hidden="1">
      <c r="A911" s="38"/>
      <c r="B911" s="38"/>
      <c r="C911" s="16"/>
      <c r="D911" s="16"/>
      <c r="E911" s="16"/>
    </row>
    <row r="912" hidden="1">
      <c r="A912" s="38"/>
      <c r="B912" s="38"/>
      <c r="C912" s="16"/>
      <c r="D912" s="16"/>
      <c r="E912" s="16"/>
    </row>
    <row r="913" hidden="1">
      <c r="A913" s="38"/>
      <c r="B913" s="38"/>
      <c r="C913" s="16"/>
      <c r="D913" s="16"/>
      <c r="E913" s="16"/>
    </row>
    <row r="914" hidden="1">
      <c r="A914" s="38"/>
      <c r="B914" s="38"/>
      <c r="C914" s="16"/>
      <c r="D914" s="16"/>
      <c r="E914" s="16"/>
    </row>
    <row r="915" hidden="1">
      <c r="A915" s="38"/>
      <c r="B915" s="38"/>
      <c r="C915" s="16"/>
      <c r="D915" s="16"/>
      <c r="E915" s="16"/>
    </row>
    <row r="916" hidden="1">
      <c r="A916" s="38"/>
      <c r="B916" s="38"/>
      <c r="C916" s="16"/>
      <c r="D916" s="16"/>
      <c r="E916" s="16"/>
    </row>
    <row r="917" hidden="1">
      <c r="A917" s="38"/>
      <c r="B917" s="38"/>
      <c r="C917" s="16"/>
      <c r="D917" s="16"/>
      <c r="E917" s="16"/>
    </row>
    <row r="918" hidden="1">
      <c r="A918" s="38"/>
      <c r="B918" s="38"/>
      <c r="C918" s="16"/>
      <c r="D918" s="16"/>
      <c r="E918" s="16"/>
    </row>
    <row r="919" hidden="1">
      <c r="A919" s="38"/>
      <c r="B919" s="38"/>
      <c r="C919" s="16"/>
      <c r="D919" s="16"/>
      <c r="E919" s="16"/>
    </row>
    <row r="920" hidden="1">
      <c r="A920" s="38"/>
      <c r="B920" s="38"/>
      <c r="C920" s="16"/>
      <c r="D920" s="16"/>
      <c r="E920" s="16"/>
    </row>
    <row r="921" hidden="1">
      <c r="A921" s="38"/>
      <c r="B921" s="38"/>
      <c r="C921" s="16"/>
      <c r="D921" s="16"/>
      <c r="E921" s="16"/>
    </row>
    <row r="922" hidden="1">
      <c r="A922" s="38"/>
      <c r="B922" s="38"/>
      <c r="C922" s="16"/>
      <c r="D922" s="16"/>
      <c r="E922" s="16"/>
    </row>
    <row r="923" hidden="1">
      <c r="A923" s="38"/>
      <c r="B923" s="38"/>
      <c r="C923" s="16"/>
      <c r="D923" s="16"/>
      <c r="E923" s="16"/>
    </row>
    <row r="924" hidden="1">
      <c r="A924" s="38"/>
      <c r="B924" s="38"/>
      <c r="C924" s="16"/>
      <c r="D924" s="16"/>
      <c r="E924" s="16"/>
    </row>
    <row r="925" hidden="1">
      <c r="A925" s="38"/>
      <c r="B925" s="38"/>
      <c r="C925" s="16"/>
      <c r="D925" s="16"/>
      <c r="E925" s="16"/>
    </row>
    <row r="926" hidden="1">
      <c r="A926" s="38"/>
      <c r="B926" s="38"/>
      <c r="C926" s="16"/>
      <c r="D926" s="16"/>
      <c r="E926" s="16"/>
    </row>
    <row r="927" hidden="1">
      <c r="A927" s="38"/>
      <c r="B927" s="38"/>
      <c r="C927" s="16"/>
      <c r="D927" s="16"/>
      <c r="E927" s="16"/>
    </row>
    <row r="928" hidden="1">
      <c r="A928" s="38"/>
      <c r="B928" s="38"/>
      <c r="C928" s="16"/>
      <c r="D928" s="16"/>
      <c r="E928" s="16"/>
    </row>
    <row r="929" hidden="1">
      <c r="A929" s="38"/>
      <c r="B929" s="38"/>
      <c r="C929" s="16"/>
      <c r="D929" s="16"/>
      <c r="E929" s="16"/>
    </row>
    <row r="930" hidden="1">
      <c r="A930" s="38"/>
      <c r="B930" s="38"/>
      <c r="C930" s="16"/>
      <c r="D930" s="16"/>
      <c r="E930" s="16"/>
    </row>
    <row r="931" hidden="1">
      <c r="A931" s="38"/>
      <c r="B931" s="38"/>
      <c r="C931" s="16"/>
      <c r="D931" s="16"/>
      <c r="E931" s="16"/>
    </row>
    <row r="932" hidden="1">
      <c r="A932" s="38"/>
      <c r="B932" s="38"/>
      <c r="C932" s="16"/>
      <c r="D932" s="16"/>
      <c r="E932" s="16"/>
    </row>
    <row r="933" hidden="1">
      <c r="A933" s="38"/>
      <c r="B933" s="38"/>
      <c r="C933" s="16"/>
      <c r="D933" s="16"/>
      <c r="E933" s="16"/>
    </row>
    <row r="934" hidden="1">
      <c r="A934" s="38"/>
      <c r="B934" s="38"/>
      <c r="C934" s="16"/>
      <c r="D934" s="16"/>
      <c r="E934" s="16"/>
    </row>
    <row r="935" hidden="1">
      <c r="A935" s="38"/>
      <c r="B935" s="38"/>
      <c r="C935" s="16"/>
      <c r="D935" s="16"/>
      <c r="E935" s="16"/>
    </row>
    <row r="936" hidden="1">
      <c r="A936" s="38"/>
      <c r="B936" s="38"/>
      <c r="C936" s="16"/>
      <c r="D936" s="16"/>
      <c r="E936" s="16"/>
    </row>
    <row r="937" hidden="1">
      <c r="A937" s="38"/>
      <c r="B937" s="38"/>
      <c r="C937" s="16"/>
      <c r="D937" s="16"/>
      <c r="E937" s="16"/>
    </row>
    <row r="938" hidden="1">
      <c r="A938" s="38"/>
      <c r="B938" s="38"/>
      <c r="C938" s="16"/>
      <c r="D938" s="16"/>
      <c r="E938" s="16"/>
    </row>
    <row r="939" hidden="1">
      <c r="A939" s="38"/>
      <c r="B939" s="38"/>
      <c r="C939" s="16"/>
      <c r="D939" s="16"/>
      <c r="E939" s="16"/>
    </row>
    <row r="940" hidden="1">
      <c r="A940" s="38"/>
      <c r="B940" s="38"/>
      <c r="C940" s="16"/>
      <c r="D940" s="16"/>
      <c r="E940" s="16"/>
    </row>
    <row r="941" hidden="1">
      <c r="A941" s="38"/>
      <c r="B941" s="38"/>
      <c r="C941" s="16"/>
      <c r="D941" s="16"/>
      <c r="E941" s="16"/>
    </row>
    <row r="942" hidden="1">
      <c r="A942" s="38"/>
      <c r="B942" s="38"/>
      <c r="C942" s="16"/>
      <c r="D942" s="16"/>
      <c r="E942" s="16"/>
    </row>
    <row r="943" hidden="1">
      <c r="A943" s="38"/>
      <c r="B943" s="38"/>
      <c r="C943" s="16"/>
      <c r="D943" s="16"/>
      <c r="E943" s="16"/>
    </row>
    <row r="944" hidden="1">
      <c r="A944" s="38"/>
      <c r="B944" s="38"/>
      <c r="C944" s="16"/>
      <c r="D944" s="16"/>
      <c r="E944" s="16"/>
    </row>
    <row r="945" hidden="1">
      <c r="A945" s="38"/>
      <c r="B945" s="38"/>
      <c r="C945" s="16"/>
      <c r="D945" s="16"/>
      <c r="E945" s="16"/>
    </row>
    <row r="946" hidden="1">
      <c r="A946" s="38"/>
      <c r="B946" s="38"/>
      <c r="C946" s="16"/>
      <c r="D946" s="16"/>
      <c r="E946" s="16"/>
    </row>
    <row r="947" hidden="1">
      <c r="A947" s="38"/>
      <c r="B947" s="38"/>
      <c r="C947" s="16"/>
      <c r="D947" s="16"/>
      <c r="E947" s="16"/>
    </row>
    <row r="948" hidden="1">
      <c r="A948" s="38"/>
      <c r="B948" s="38"/>
      <c r="C948" s="16"/>
      <c r="D948" s="16"/>
      <c r="E948" s="16"/>
    </row>
    <row r="949" hidden="1">
      <c r="A949" s="38"/>
      <c r="B949" s="38"/>
      <c r="C949" s="16"/>
      <c r="D949" s="16"/>
      <c r="E949" s="16"/>
    </row>
    <row r="950" hidden="1">
      <c r="A950" s="38"/>
      <c r="B950" s="38"/>
      <c r="C950" s="16"/>
      <c r="D950" s="16"/>
      <c r="E950" s="16"/>
    </row>
    <row r="951" hidden="1">
      <c r="A951" s="38"/>
      <c r="B951" s="38"/>
      <c r="C951" s="16"/>
      <c r="D951" s="16"/>
      <c r="E951" s="16"/>
    </row>
    <row r="952" hidden="1">
      <c r="A952" s="38"/>
      <c r="B952" s="38"/>
      <c r="C952" s="16"/>
      <c r="D952" s="16"/>
      <c r="E952" s="16"/>
    </row>
    <row r="953" hidden="1">
      <c r="A953" s="38"/>
      <c r="B953" s="38"/>
      <c r="C953" s="16"/>
      <c r="D953" s="16"/>
      <c r="E953" s="16"/>
    </row>
    <row r="954" hidden="1">
      <c r="A954" s="38"/>
      <c r="B954" s="38"/>
      <c r="C954" s="16"/>
      <c r="D954" s="16"/>
      <c r="E954" s="16"/>
    </row>
    <row r="955" hidden="1">
      <c r="A955" s="38"/>
      <c r="B955" s="38"/>
      <c r="C955" s="16"/>
      <c r="D955" s="16"/>
      <c r="E955" s="16"/>
    </row>
    <row r="956" hidden="1">
      <c r="A956" s="38"/>
      <c r="B956" s="38"/>
      <c r="C956" s="16"/>
      <c r="D956" s="16"/>
      <c r="E956" s="16"/>
    </row>
    <row r="957" hidden="1">
      <c r="A957" s="38"/>
      <c r="B957" s="38"/>
      <c r="C957" s="16"/>
      <c r="D957" s="16"/>
      <c r="E957" s="16"/>
    </row>
    <row r="958" hidden="1">
      <c r="A958" s="38"/>
      <c r="B958" s="38"/>
      <c r="C958" s="16"/>
      <c r="D958" s="16"/>
      <c r="E958" s="16"/>
    </row>
    <row r="959" hidden="1">
      <c r="A959" s="38"/>
      <c r="B959" s="38"/>
      <c r="C959" s="16"/>
      <c r="D959" s="16"/>
      <c r="E959" s="16"/>
    </row>
    <row r="960" hidden="1">
      <c r="A960" s="38"/>
      <c r="B960" s="38"/>
      <c r="C960" s="16"/>
      <c r="D960" s="16"/>
      <c r="E960" s="16"/>
    </row>
    <row r="961" hidden="1">
      <c r="A961" s="38"/>
      <c r="B961" s="38"/>
      <c r="C961" s="16"/>
      <c r="D961" s="16"/>
      <c r="E961" s="16"/>
    </row>
    <row r="962" hidden="1">
      <c r="A962" s="38"/>
      <c r="B962" s="38"/>
      <c r="C962" s="16"/>
      <c r="D962" s="16"/>
      <c r="E962" s="16"/>
    </row>
    <row r="963" hidden="1">
      <c r="A963" s="38"/>
      <c r="B963" s="38"/>
      <c r="C963" s="16"/>
      <c r="D963" s="16"/>
      <c r="E963" s="16"/>
    </row>
    <row r="964" hidden="1">
      <c r="A964" s="38"/>
      <c r="B964" s="38"/>
      <c r="C964" s="16"/>
      <c r="D964" s="16"/>
      <c r="E964" s="16"/>
    </row>
    <row r="965" hidden="1">
      <c r="A965" s="38"/>
      <c r="B965" s="38"/>
      <c r="C965" s="16"/>
      <c r="D965" s="16"/>
      <c r="E965" s="16"/>
    </row>
    <row r="966" hidden="1">
      <c r="A966" s="38"/>
      <c r="B966" s="38"/>
      <c r="C966" s="16"/>
      <c r="D966" s="16"/>
      <c r="E966" s="16"/>
    </row>
    <row r="967" hidden="1">
      <c r="A967" s="38"/>
      <c r="B967" s="38"/>
      <c r="C967" s="16"/>
      <c r="D967" s="16"/>
      <c r="E967" s="16"/>
    </row>
    <row r="968" hidden="1">
      <c r="A968" s="38"/>
      <c r="B968" s="38"/>
      <c r="C968" s="16"/>
      <c r="D968" s="16"/>
      <c r="E968" s="16"/>
    </row>
    <row r="969" hidden="1">
      <c r="A969" s="38"/>
      <c r="B969" s="38"/>
      <c r="C969" s="16"/>
      <c r="D969" s="16"/>
      <c r="E969" s="16"/>
    </row>
    <row r="970" hidden="1">
      <c r="A970" s="38"/>
      <c r="B970" s="38"/>
      <c r="C970" s="16"/>
      <c r="D970" s="16"/>
      <c r="E970" s="16"/>
    </row>
    <row r="971" hidden="1">
      <c r="A971" s="38"/>
      <c r="B971" s="38"/>
      <c r="C971" s="16"/>
      <c r="D971" s="16"/>
      <c r="E971" s="16"/>
    </row>
    <row r="972" hidden="1">
      <c r="A972" s="38"/>
      <c r="B972" s="38"/>
      <c r="C972" s="16"/>
      <c r="D972" s="16"/>
      <c r="E972" s="16"/>
    </row>
    <row r="973" hidden="1">
      <c r="A973" s="38"/>
      <c r="B973" s="38"/>
      <c r="C973" s="16"/>
      <c r="D973" s="16"/>
      <c r="E973" s="16"/>
    </row>
    <row r="974" hidden="1">
      <c r="A974" s="38"/>
      <c r="B974" s="38"/>
      <c r="C974" s="16"/>
      <c r="D974" s="16"/>
      <c r="E974" s="16"/>
    </row>
    <row r="975" hidden="1">
      <c r="A975" s="38"/>
      <c r="B975" s="38"/>
      <c r="C975" s="16"/>
      <c r="D975" s="16"/>
      <c r="E975" s="16"/>
    </row>
    <row r="976" hidden="1">
      <c r="A976" s="38"/>
      <c r="B976" s="38"/>
      <c r="C976" s="16"/>
      <c r="D976" s="16"/>
      <c r="E976" s="16"/>
    </row>
    <row r="977" hidden="1">
      <c r="A977" s="38"/>
      <c r="B977" s="38"/>
      <c r="C977" s="16"/>
      <c r="D977" s="16"/>
      <c r="E977" s="16"/>
    </row>
    <row r="978" hidden="1">
      <c r="A978" s="38"/>
      <c r="B978" s="38"/>
      <c r="C978" s="16"/>
      <c r="D978" s="16"/>
      <c r="E978" s="16"/>
    </row>
    <row r="979" hidden="1">
      <c r="A979" s="38"/>
      <c r="B979" s="38"/>
      <c r="C979" s="16"/>
      <c r="D979" s="16"/>
      <c r="E979" s="16"/>
    </row>
    <row r="980" hidden="1">
      <c r="A980" s="38"/>
      <c r="B980" s="38"/>
      <c r="C980" s="16"/>
      <c r="D980" s="16"/>
      <c r="E980" s="16"/>
    </row>
    <row r="981" hidden="1">
      <c r="A981" s="38"/>
      <c r="B981" s="38"/>
      <c r="C981" s="16"/>
      <c r="D981" s="16"/>
      <c r="E981" s="16"/>
    </row>
    <row r="982" hidden="1">
      <c r="A982" s="38"/>
      <c r="B982" s="38"/>
      <c r="C982" s="16"/>
      <c r="D982" s="16"/>
      <c r="E982" s="16"/>
    </row>
    <row r="983" hidden="1">
      <c r="A983" s="38"/>
      <c r="B983" s="38"/>
      <c r="C983" s="16"/>
      <c r="D983" s="16"/>
      <c r="E983" s="16"/>
    </row>
    <row r="984" hidden="1">
      <c r="A984" s="38"/>
      <c r="B984" s="38"/>
      <c r="C984" s="16"/>
      <c r="D984" s="16"/>
      <c r="E984" s="16"/>
    </row>
    <row r="985" hidden="1">
      <c r="A985" s="38"/>
      <c r="B985" s="38"/>
      <c r="C985" s="16"/>
      <c r="D985" s="16"/>
      <c r="E985" s="16"/>
    </row>
    <row r="986" hidden="1">
      <c r="A986" s="38"/>
      <c r="B986" s="38"/>
      <c r="C986" s="16"/>
      <c r="D986" s="16"/>
      <c r="E986" s="16"/>
    </row>
    <row r="987" hidden="1">
      <c r="A987" s="38"/>
      <c r="B987" s="38"/>
      <c r="C987" s="16"/>
      <c r="D987" s="16"/>
      <c r="E987" s="16"/>
    </row>
    <row r="988" hidden="1">
      <c r="A988" s="38"/>
      <c r="B988" s="38"/>
      <c r="C988" s="16"/>
      <c r="D988" s="16"/>
      <c r="E988" s="16"/>
    </row>
    <row r="989" hidden="1">
      <c r="A989" s="38"/>
      <c r="B989" s="38"/>
      <c r="C989" s="16"/>
      <c r="D989" s="16"/>
      <c r="E989" s="16"/>
    </row>
    <row r="990" hidden="1">
      <c r="A990" s="38"/>
      <c r="B990" s="38"/>
      <c r="C990" s="16"/>
      <c r="D990" s="16"/>
      <c r="E990" s="16"/>
    </row>
    <row r="991" hidden="1">
      <c r="A991" s="38"/>
      <c r="B991" s="38"/>
      <c r="C991" s="16"/>
      <c r="D991" s="16"/>
      <c r="E991" s="16"/>
    </row>
    <row r="992" hidden="1">
      <c r="A992" s="38"/>
      <c r="B992" s="38"/>
      <c r="C992" s="16"/>
      <c r="D992" s="16"/>
      <c r="E992" s="16"/>
    </row>
    <row r="993" hidden="1">
      <c r="A993" s="38"/>
      <c r="B993" s="38"/>
      <c r="C993" s="16"/>
      <c r="D993" s="16"/>
      <c r="E993" s="16"/>
    </row>
    <row r="994" hidden="1">
      <c r="A994" s="38"/>
      <c r="B994" s="38"/>
      <c r="C994" s="16"/>
      <c r="D994" s="16"/>
      <c r="E994" s="16"/>
    </row>
    <row r="995" hidden="1">
      <c r="A995" s="38"/>
      <c r="B995" s="38"/>
      <c r="C995" s="16"/>
      <c r="D995" s="16"/>
      <c r="E995" s="16"/>
    </row>
    <row r="996" hidden="1">
      <c r="A996" s="38"/>
      <c r="B996" s="38"/>
      <c r="C996" s="16"/>
      <c r="D996" s="16"/>
      <c r="E996" s="16"/>
    </row>
    <row r="997" hidden="1">
      <c r="A997" s="38"/>
      <c r="B997" s="38"/>
      <c r="C997" s="16"/>
      <c r="D997" s="16"/>
      <c r="E997" s="16"/>
    </row>
    <row r="998" hidden="1">
      <c r="A998" s="38"/>
      <c r="B998" s="38"/>
      <c r="C998" s="16"/>
      <c r="D998" s="16"/>
      <c r="E998" s="16"/>
    </row>
    <row r="999" hidden="1">
      <c r="A999" s="38"/>
      <c r="B999" s="38"/>
      <c r="C999" s="16"/>
      <c r="D999" s="16"/>
      <c r="E999" s="16"/>
    </row>
    <row r="1000" hidden="1">
      <c r="A1000" s="38"/>
      <c r="B1000" s="38"/>
      <c r="C1000" s="16"/>
      <c r="D1000" s="16"/>
      <c r="E1000" s="16"/>
    </row>
    <row r="1001" hidden="1">
      <c r="A1001" s="38"/>
      <c r="B1001" s="38"/>
      <c r="C1001" s="16"/>
      <c r="D1001" s="16"/>
      <c r="E1001" s="16"/>
    </row>
    <row r="1002" hidden="1">
      <c r="A1002" s="38"/>
      <c r="B1002" s="38"/>
      <c r="C1002" s="16"/>
      <c r="D1002" s="16"/>
      <c r="E1002" s="16"/>
    </row>
  </sheetData>
  <autoFilter ref="$A$1:$AA$1002">
    <filterColumn colId="7">
      <filters>
        <filter val="TRUE"/>
      </filters>
    </filterColumn>
    <sortState ref="A1:AA1002">
      <sortCondition ref="B1:B1002"/>
      <sortCondition ref="A1:A1002"/>
    </sortState>
  </autoFilter>
  <hyperlinks>
    <hyperlink r:id="rId1" ref="K4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1">
      <c r="A11" s="1" t="s">
        <v>5</v>
      </c>
    </row>
    <row r="13">
      <c r="A13" s="1" t="s">
        <v>6</v>
      </c>
    </row>
    <row r="15">
      <c r="A15" s="1" t="s">
        <v>7</v>
      </c>
    </row>
    <row r="17">
      <c r="A17" s="1" t="s">
        <v>8</v>
      </c>
    </row>
    <row r="19">
      <c r="A19" s="1" t="s">
        <v>9</v>
      </c>
    </row>
    <row r="21">
      <c r="A21" s="1" t="s">
        <v>10</v>
      </c>
    </row>
    <row r="23">
      <c r="A23" s="1" t="s">
        <v>11</v>
      </c>
    </row>
    <row r="25">
      <c r="A25" s="1" t="s">
        <v>12</v>
      </c>
    </row>
    <row r="27">
      <c r="A27" s="1" t="s">
        <v>13</v>
      </c>
    </row>
    <row r="29">
      <c r="A29" s="1" t="s">
        <v>14</v>
      </c>
    </row>
    <row r="31">
      <c r="A31" s="1" t="s">
        <v>15</v>
      </c>
    </row>
    <row r="33">
      <c r="A33" s="1" t="s">
        <v>16</v>
      </c>
    </row>
    <row r="35">
      <c r="A35" s="1" t="s">
        <v>17</v>
      </c>
    </row>
    <row r="37">
      <c r="A37" s="1" t="s">
        <v>18</v>
      </c>
    </row>
    <row r="39">
      <c r="A39" s="1" t="s">
        <v>19</v>
      </c>
    </row>
    <row r="41">
      <c r="A41" s="1" t="s">
        <v>20</v>
      </c>
    </row>
    <row r="43">
      <c r="A43" s="1" t="s">
        <v>15</v>
      </c>
    </row>
    <row r="45">
      <c r="A45" s="1" t="s">
        <v>21</v>
      </c>
    </row>
    <row r="47">
      <c r="A47" s="1" t="s">
        <v>22</v>
      </c>
    </row>
    <row r="49">
      <c r="A49" s="1" t="s">
        <v>23</v>
      </c>
    </row>
    <row r="51">
      <c r="A51" s="1" t="s">
        <v>24</v>
      </c>
    </row>
    <row r="53">
      <c r="A53" s="1" t="s">
        <v>25</v>
      </c>
    </row>
    <row r="55">
      <c r="A55" s="1" t="s">
        <v>26</v>
      </c>
    </row>
    <row r="57">
      <c r="A57" s="1" t="s">
        <v>27</v>
      </c>
    </row>
    <row r="59">
      <c r="A59" s="1" t="s">
        <v>28</v>
      </c>
    </row>
    <row r="61">
      <c r="A61" s="1" t="s">
        <v>29</v>
      </c>
    </row>
    <row r="63">
      <c r="A63" s="1" t="s">
        <v>30</v>
      </c>
    </row>
    <row r="65">
      <c r="A65" s="1" t="s">
        <v>31</v>
      </c>
    </row>
    <row r="67">
      <c r="A67" s="1" t="s">
        <v>15</v>
      </c>
    </row>
    <row r="69">
      <c r="A69" s="1" t="s">
        <v>13</v>
      </c>
    </row>
    <row r="71">
      <c r="A71" s="1" t="s">
        <v>32</v>
      </c>
    </row>
    <row r="73">
      <c r="A73" s="1" t="s">
        <v>33</v>
      </c>
    </row>
    <row r="75">
      <c r="A75" s="1" t="s">
        <v>34</v>
      </c>
    </row>
    <row r="77">
      <c r="A77" s="1" t="s">
        <v>35</v>
      </c>
    </row>
    <row r="79">
      <c r="A79" s="1" t="s">
        <v>36</v>
      </c>
    </row>
    <row r="81">
      <c r="A81" s="1" t="s">
        <v>37</v>
      </c>
    </row>
    <row r="83">
      <c r="A83" s="1" t="s">
        <v>38</v>
      </c>
    </row>
  </sheetData>
  <drawing r:id="rId1"/>
</worksheet>
</file>