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500 Technical Resources\PETEX SRP\"/>
    </mc:Choice>
  </mc:AlternateContent>
  <xr:revisionPtr revIDLastSave="0" documentId="13_ncr:1_{C6CC15DC-ED2F-46D9-9007-0C2195BEFDCB}" xr6:coauthVersionLast="33" xr6:coauthVersionMax="33" xr10:uidLastSave="{00000000-0000-0000-0000-000000000000}"/>
  <bookViews>
    <workbookView xWindow="240" yWindow="60" windowWidth="7530" windowHeight="4830" xr2:uid="{00000000-000D-0000-FFFF-FFFF00000000}"/>
  </bookViews>
  <sheets>
    <sheet name="Conventional" sheetId="1" r:id="rId1"/>
    <sheet name="Mark II" sheetId="4" r:id="rId2"/>
    <sheet name="Air Balanced" sheetId="5" r:id="rId3"/>
    <sheet name="RM" sheetId="7" r:id="rId4"/>
    <sheet name="compare" sheetId="8" r:id="rId5"/>
  </sheets>
  <calcPr calcId="179017"/>
</workbook>
</file>

<file path=xl/calcChain.xml><?xml version="1.0" encoding="utf-8"?>
<calcChain xmlns="http://schemas.openxmlformats.org/spreadsheetml/2006/main">
  <c r="A15" i="7" l="1"/>
  <c r="A16" i="7" s="1"/>
  <c r="A15" i="4"/>
  <c r="A16" i="4" s="1"/>
  <c r="A17" i="4" s="1"/>
  <c r="A18" i="4"/>
  <c r="A15" i="5"/>
  <c r="D15" i="5" s="1"/>
  <c r="A15" i="1"/>
  <c r="A16" i="1" s="1"/>
  <c r="B16" i="1" s="1"/>
  <c r="B15" i="1"/>
  <c r="F15" i="1" s="1"/>
  <c r="G15" i="1" s="1"/>
  <c r="E15" i="1"/>
  <c r="H15" i="1" s="1"/>
  <c r="D15" i="1" s="1"/>
  <c r="O15" i="1" s="1"/>
  <c r="C11" i="1"/>
  <c r="C10" i="1"/>
  <c r="B11" i="7"/>
  <c r="B10" i="7"/>
  <c r="B12" i="7"/>
  <c r="B11" i="5"/>
  <c r="B10" i="5"/>
  <c r="B12" i="5"/>
  <c r="B11" i="4"/>
  <c r="B10" i="4"/>
  <c r="E15" i="4" s="1"/>
  <c r="B12" i="4"/>
  <c r="L5" i="5"/>
  <c r="L7" i="5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C12" i="1"/>
  <c r="D15" i="7"/>
  <c r="D15" i="4"/>
  <c r="F15" i="4" s="1"/>
  <c r="B15" i="4" s="1"/>
  <c r="I15" i="4" s="1"/>
  <c r="C5" i="8" s="1"/>
  <c r="A17" i="1"/>
  <c r="D16" i="7"/>
  <c r="E16" i="4"/>
  <c r="D17" i="4"/>
  <c r="D18" i="4" l="1"/>
  <c r="A19" i="4"/>
  <c r="A17" i="7"/>
  <c r="E16" i="7"/>
  <c r="F16" i="7" s="1"/>
  <c r="B16" i="7" s="1"/>
  <c r="I16" i="7" s="1"/>
  <c r="C15" i="1"/>
  <c r="J15" i="1"/>
  <c r="F16" i="1"/>
  <c r="G16" i="1" s="1"/>
  <c r="E16" i="1"/>
  <c r="H16" i="1" s="1"/>
  <c r="D16" i="1" s="1"/>
  <c r="O16" i="1" s="1"/>
  <c r="G15" i="4"/>
  <c r="C15" i="4" s="1"/>
  <c r="N15" i="4" s="1"/>
  <c r="G15" i="5"/>
  <c r="C15" i="5" s="1"/>
  <c r="N15" i="5" s="1"/>
  <c r="A18" i="1"/>
  <c r="B17" i="1"/>
  <c r="E15" i="7"/>
  <c r="F15" i="7" s="1"/>
  <c r="B15" i="7" s="1"/>
  <c r="I15" i="7" s="1"/>
  <c r="E15" i="5"/>
  <c r="F15" i="5" s="1"/>
  <c r="B15" i="5" s="1"/>
  <c r="I15" i="5" s="1"/>
  <c r="E17" i="4"/>
  <c r="F17" i="4" s="1"/>
  <c r="D16" i="4"/>
  <c r="A16" i="5"/>
  <c r="E18" i="4"/>
  <c r="J16" i="7" l="1"/>
  <c r="E6" i="8"/>
  <c r="R16" i="7"/>
  <c r="B17" i="4"/>
  <c r="I17" i="4" s="1"/>
  <c r="G17" i="4"/>
  <c r="C17" i="4" s="1"/>
  <c r="N17" i="4" s="1"/>
  <c r="D17" i="7"/>
  <c r="G17" i="7" s="1"/>
  <c r="C17" i="7" s="1"/>
  <c r="N17" i="7" s="1"/>
  <c r="A18" i="7"/>
  <c r="E17" i="7"/>
  <c r="F17" i="7" s="1"/>
  <c r="B17" i="7" s="1"/>
  <c r="I17" i="7" s="1"/>
  <c r="G16" i="7"/>
  <c r="C16" i="7" s="1"/>
  <c r="N16" i="7" s="1"/>
  <c r="G15" i="7"/>
  <c r="C15" i="7" s="1"/>
  <c r="N15" i="7" s="1"/>
  <c r="B18" i="1"/>
  <c r="A19" i="1"/>
  <c r="D16" i="5"/>
  <c r="E16" i="5"/>
  <c r="A17" i="5"/>
  <c r="F17" i="1"/>
  <c r="G17" i="1" s="1"/>
  <c r="E17" i="1"/>
  <c r="C16" i="1"/>
  <c r="J16" i="1"/>
  <c r="F16" i="4"/>
  <c r="B16" i="4" s="1"/>
  <c r="I16" i="4" s="1"/>
  <c r="D5" i="8"/>
  <c r="B5" i="8"/>
  <c r="A20" i="4"/>
  <c r="E19" i="4"/>
  <c r="D19" i="4"/>
  <c r="E5" i="8"/>
  <c r="F18" i="4"/>
  <c r="B18" i="4" s="1"/>
  <c r="I18" i="4" s="1"/>
  <c r="S16" i="1" l="1"/>
  <c r="K16" i="1"/>
  <c r="B6" i="8"/>
  <c r="A20" i="1"/>
  <c r="B19" i="1"/>
  <c r="G16" i="4"/>
  <c r="C16" i="4" s="1"/>
  <c r="N16" i="4" s="1"/>
  <c r="A19" i="7"/>
  <c r="D18" i="7"/>
  <c r="E18" i="7"/>
  <c r="F18" i="7" s="1"/>
  <c r="B18" i="7" s="1"/>
  <c r="I18" i="7" s="1"/>
  <c r="F16" i="5"/>
  <c r="B16" i="5" s="1"/>
  <c r="I16" i="5" s="1"/>
  <c r="A21" i="4"/>
  <c r="E20" i="4"/>
  <c r="D20" i="4"/>
  <c r="E18" i="1"/>
  <c r="F18" i="1"/>
  <c r="G18" i="1" s="1"/>
  <c r="C7" i="8"/>
  <c r="R17" i="4"/>
  <c r="J17" i="4"/>
  <c r="R18" i="4"/>
  <c r="J18" i="4"/>
  <c r="C8" i="8"/>
  <c r="H17" i="1"/>
  <c r="D17" i="1" s="1"/>
  <c r="O17" i="1" s="1"/>
  <c r="F19" i="4"/>
  <c r="B19" i="4" s="1"/>
  <c r="I19" i="4" s="1"/>
  <c r="G18" i="4"/>
  <c r="C18" i="4" s="1"/>
  <c r="N18" i="4" s="1"/>
  <c r="C17" i="1"/>
  <c r="J17" i="1"/>
  <c r="C6" i="8"/>
  <c r="R16" i="4"/>
  <c r="J16" i="4"/>
  <c r="E17" i="5"/>
  <c r="D17" i="5"/>
  <c r="A18" i="5"/>
  <c r="J17" i="7"/>
  <c r="E7" i="8"/>
  <c r="R17" i="7"/>
  <c r="I6" i="8"/>
  <c r="I7" i="8" l="1"/>
  <c r="K17" i="7"/>
  <c r="M7" i="8" s="1"/>
  <c r="S17" i="1"/>
  <c r="K17" i="1"/>
  <c r="B7" i="8"/>
  <c r="G8" i="8"/>
  <c r="K18" i="4"/>
  <c r="K8" i="8" s="1"/>
  <c r="F20" i="4"/>
  <c r="B20" i="4" s="1"/>
  <c r="I20" i="4" s="1"/>
  <c r="E19" i="7"/>
  <c r="F19" i="7" s="1"/>
  <c r="B19" i="7" s="1"/>
  <c r="I19" i="7" s="1"/>
  <c r="A20" i="7"/>
  <c r="D19" i="7"/>
  <c r="G19" i="7" s="1"/>
  <c r="C19" i="7" s="1"/>
  <c r="N19" i="7" s="1"/>
  <c r="K17" i="4"/>
  <c r="K7" i="8" s="1"/>
  <c r="G7" i="8"/>
  <c r="G19" i="4"/>
  <c r="C19" i="4" s="1"/>
  <c r="N19" i="4" s="1"/>
  <c r="G16" i="5"/>
  <c r="C16" i="5" s="1"/>
  <c r="N16" i="5" s="1"/>
  <c r="B20" i="1"/>
  <c r="A21" i="1"/>
  <c r="F17" i="5"/>
  <c r="B17" i="5" s="1"/>
  <c r="I17" i="5" s="1"/>
  <c r="A22" i="4"/>
  <c r="E21" i="4"/>
  <c r="D21" i="4"/>
  <c r="G6" i="8"/>
  <c r="R16" i="5"/>
  <c r="J16" i="5"/>
  <c r="D6" i="8"/>
  <c r="E19" i="1"/>
  <c r="H19" i="1" s="1"/>
  <c r="D19" i="1" s="1"/>
  <c r="O19" i="1" s="1"/>
  <c r="F19" i="1"/>
  <c r="G19" i="1" s="1"/>
  <c r="J19" i="4"/>
  <c r="R19" i="4"/>
  <c r="C9" i="8"/>
  <c r="F6" i="8"/>
  <c r="R18" i="7"/>
  <c r="J18" i="7"/>
  <c r="E8" i="8"/>
  <c r="A19" i="5"/>
  <c r="E18" i="5"/>
  <c r="D18" i="5"/>
  <c r="C18" i="1"/>
  <c r="J18" i="1"/>
  <c r="H18" i="1"/>
  <c r="D18" i="1" s="1"/>
  <c r="O18" i="1" s="1"/>
  <c r="G18" i="7"/>
  <c r="C18" i="7" s="1"/>
  <c r="N18" i="7" s="1"/>
  <c r="A23" i="4" l="1"/>
  <c r="E22" i="4"/>
  <c r="D22" i="4"/>
  <c r="G17" i="5"/>
  <c r="C17" i="5" s="1"/>
  <c r="N17" i="5" s="1"/>
  <c r="F7" i="8"/>
  <c r="L17" i="1"/>
  <c r="J7" i="8" s="1"/>
  <c r="R17" i="5"/>
  <c r="D7" i="8"/>
  <c r="J17" i="5"/>
  <c r="A22" i="1"/>
  <c r="B21" i="1"/>
  <c r="A21" i="7"/>
  <c r="D20" i="7"/>
  <c r="G20" i="7" s="1"/>
  <c r="C20" i="7" s="1"/>
  <c r="N20" i="7" s="1"/>
  <c r="E20" i="7"/>
  <c r="F20" i="7" s="1"/>
  <c r="B20" i="7" s="1"/>
  <c r="I20" i="7" s="1"/>
  <c r="A20" i="5"/>
  <c r="D19" i="5"/>
  <c r="E19" i="5"/>
  <c r="H6" i="8"/>
  <c r="E20" i="1"/>
  <c r="H20" i="1" s="1"/>
  <c r="D20" i="1" s="1"/>
  <c r="O20" i="1" s="1"/>
  <c r="F20" i="1"/>
  <c r="G20" i="1" s="1"/>
  <c r="R19" i="7"/>
  <c r="J19" i="7"/>
  <c r="E9" i="8"/>
  <c r="F18" i="5"/>
  <c r="B18" i="5" s="1"/>
  <c r="I18" i="5" s="1"/>
  <c r="I8" i="8"/>
  <c r="K18" i="7"/>
  <c r="M8" i="8" s="1"/>
  <c r="K19" i="4"/>
  <c r="K9" i="8" s="1"/>
  <c r="G9" i="8"/>
  <c r="J20" i="4"/>
  <c r="C10" i="8"/>
  <c r="R20" i="4"/>
  <c r="K18" i="1"/>
  <c r="B8" i="8"/>
  <c r="S18" i="1"/>
  <c r="C19" i="1"/>
  <c r="J19" i="1"/>
  <c r="F21" i="4"/>
  <c r="B21" i="4" s="1"/>
  <c r="I21" i="4" s="1"/>
  <c r="G20" i="4"/>
  <c r="C20" i="4" s="1"/>
  <c r="N20" i="4" s="1"/>
  <c r="A22" i="7" l="1"/>
  <c r="D21" i="7"/>
  <c r="E21" i="7"/>
  <c r="F21" i="7" s="1"/>
  <c r="B21" i="7" s="1"/>
  <c r="I21" i="7" s="1"/>
  <c r="R18" i="5"/>
  <c r="D8" i="8"/>
  <c r="J18" i="5"/>
  <c r="F22" i="4"/>
  <c r="B22" i="4" s="1"/>
  <c r="I22" i="4" s="1"/>
  <c r="B9" i="8"/>
  <c r="S19" i="1"/>
  <c r="K19" i="1"/>
  <c r="F19" i="5"/>
  <c r="B19" i="5" s="1"/>
  <c r="I19" i="5" s="1"/>
  <c r="J21" i="4"/>
  <c r="R21" i="4"/>
  <c r="C11" i="8"/>
  <c r="G18" i="5"/>
  <c r="C18" i="5" s="1"/>
  <c r="N18" i="5" s="1"/>
  <c r="G10" i="8"/>
  <c r="K20" i="4"/>
  <c r="K10" i="8" s="1"/>
  <c r="I9" i="8"/>
  <c r="K19" i="7"/>
  <c r="M9" i="8" s="1"/>
  <c r="K17" i="5"/>
  <c r="L7" i="8" s="1"/>
  <c r="H7" i="8"/>
  <c r="A21" i="5"/>
  <c r="D20" i="5"/>
  <c r="E20" i="5"/>
  <c r="A24" i="4"/>
  <c r="E23" i="4"/>
  <c r="D23" i="4"/>
  <c r="E21" i="1"/>
  <c r="F21" i="1"/>
  <c r="G21" i="1" s="1"/>
  <c r="G21" i="4"/>
  <c r="C21" i="4" s="1"/>
  <c r="N21" i="4" s="1"/>
  <c r="B22" i="1"/>
  <c r="A23" i="1"/>
  <c r="C20" i="1"/>
  <c r="J20" i="1"/>
  <c r="E10" i="8"/>
  <c r="J20" i="7"/>
  <c r="R20" i="7"/>
  <c r="F8" i="8"/>
  <c r="L18" i="1"/>
  <c r="J8" i="8" s="1"/>
  <c r="G19" i="5" l="1"/>
  <c r="C19" i="5" s="1"/>
  <c r="N19" i="5" s="1"/>
  <c r="K18" i="5"/>
  <c r="L8" i="8" s="1"/>
  <c r="H8" i="8"/>
  <c r="J19" i="5"/>
  <c r="R19" i="5"/>
  <c r="D9" i="8"/>
  <c r="E11" i="8"/>
  <c r="J21" i="7"/>
  <c r="R21" i="7"/>
  <c r="S20" i="1"/>
  <c r="B10" i="8"/>
  <c r="K20" i="1"/>
  <c r="A25" i="4"/>
  <c r="D24" i="4"/>
  <c r="E24" i="4"/>
  <c r="E22" i="1"/>
  <c r="F22" i="1"/>
  <c r="G22" i="1" s="1"/>
  <c r="G21" i="7"/>
  <c r="C21" i="7" s="1"/>
  <c r="N21" i="7" s="1"/>
  <c r="B23" i="1"/>
  <c r="A24" i="1"/>
  <c r="D21" i="5"/>
  <c r="E21" i="5"/>
  <c r="A22" i="5"/>
  <c r="L19" i="1"/>
  <c r="J9" i="8" s="1"/>
  <c r="F9" i="8"/>
  <c r="C21" i="1"/>
  <c r="J21" i="1"/>
  <c r="H21" i="1"/>
  <c r="D21" i="1" s="1"/>
  <c r="O21" i="1" s="1"/>
  <c r="R22" i="4"/>
  <c r="J22" i="4"/>
  <c r="C12" i="8"/>
  <c r="F20" i="5"/>
  <c r="B20" i="5" s="1"/>
  <c r="I20" i="5" s="1"/>
  <c r="A23" i="7"/>
  <c r="D22" i="7"/>
  <c r="G22" i="7" s="1"/>
  <c r="C22" i="7" s="1"/>
  <c r="N22" i="7" s="1"/>
  <c r="E22" i="7"/>
  <c r="F22" i="7" s="1"/>
  <c r="B22" i="7" s="1"/>
  <c r="I22" i="7" s="1"/>
  <c r="K20" i="7"/>
  <c r="M10" i="8" s="1"/>
  <c r="I10" i="8"/>
  <c r="F23" i="4"/>
  <c r="B23" i="4" s="1"/>
  <c r="I23" i="4" s="1"/>
  <c r="G11" i="8"/>
  <c r="K21" i="4"/>
  <c r="K11" i="8" s="1"/>
  <c r="G22" i="4"/>
  <c r="C22" i="4" s="1"/>
  <c r="N22" i="4" s="1"/>
  <c r="F24" i="4" l="1"/>
  <c r="B24" i="4" s="1"/>
  <c r="I24" i="4" s="1"/>
  <c r="G24" i="4"/>
  <c r="C24" i="4" s="1"/>
  <c r="N24" i="4" s="1"/>
  <c r="B24" i="1"/>
  <c r="A25" i="1"/>
  <c r="F10" i="8"/>
  <c r="L20" i="1"/>
  <c r="J10" i="8" s="1"/>
  <c r="K19" i="5"/>
  <c r="L9" i="8" s="1"/>
  <c r="H9" i="8"/>
  <c r="G23" i="4"/>
  <c r="C23" i="4" s="1"/>
  <c r="N23" i="4" s="1"/>
  <c r="G20" i="5"/>
  <c r="C20" i="5" s="1"/>
  <c r="N20" i="5" s="1"/>
  <c r="F23" i="1"/>
  <c r="G23" i="1" s="1"/>
  <c r="E23" i="1"/>
  <c r="R23" i="4"/>
  <c r="J23" i="4"/>
  <c r="C13" i="8"/>
  <c r="B11" i="8"/>
  <c r="K21" i="1"/>
  <c r="S21" i="1"/>
  <c r="A26" i="4"/>
  <c r="E25" i="4"/>
  <c r="D25" i="4"/>
  <c r="J22" i="1"/>
  <c r="C22" i="1"/>
  <c r="R20" i="5"/>
  <c r="J20" i="5"/>
  <c r="D10" i="8"/>
  <c r="A23" i="5"/>
  <c r="D22" i="5"/>
  <c r="E22" i="5"/>
  <c r="K22" i="4"/>
  <c r="K12" i="8" s="1"/>
  <c r="G12" i="8"/>
  <c r="H22" i="1"/>
  <c r="D22" i="1" s="1"/>
  <c r="O22" i="1" s="1"/>
  <c r="K21" i="7"/>
  <c r="M11" i="8" s="1"/>
  <c r="I11" i="8"/>
  <c r="A24" i="7"/>
  <c r="E23" i="7"/>
  <c r="F23" i="7" s="1"/>
  <c r="B23" i="7" s="1"/>
  <c r="I23" i="7" s="1"/>
  <c r="D23" i="7"/>
  <c r="J22" i="7"/>
  <c r="R22" i="7"/>
  <c r="E12" i="8"/>
  <c r="F21" i="5"/>
  <c r="B21" i="5" s="1"/>
  <c r="I21" i="5" s="1"/>
  <c r="B25" i="1" l="1"/>
  <c r="A26" i="1"/>
  <c r="H10" i="8"/>
  <c r="K20" i="5"/>
  <c r="L10" i="8" s="1"/>
  <c r="C14" i="8"/>
  <c r="R24" i="4"/>
  <c r="J24" i="4"/>
  <c r="R21" i="5"/>
  <c r="J21" i="5"/>
  <c r="D11" i="8"/>
  <c r="A27" i="4"/>
  <c r="D26" i="4"/>
  <c r="E26" i="4"/>
  <c r="K22" i="7"/>
  <c r="M12" i="8" s="1"/>
  <c r="I12" i="8"/>
  <c r="G23" i="7"/>
  <c r="C23" i="7" s="1"/>
  <c r="N23" i="7" s="1"/>
  <c r="C23" i="1"/>
  <c r="J23" i="1"/>
  <c r="J23" i="7"/>
  <c r="R23" i="7"/>
  <c r="E13" i="8"/>
  <c r="B12" i="8"/>
  <c r="K22" i="1"/>
  <c r="S22" i="1"/>
  <c r="G21" i="5"/>
  <c r="C21" i="5" s="1"/>
  <c r="N21" i="5" s="1"/>
  <c r="A24" i="5"/>
  <c r="E23" i="5"/>
  <c r="D23" i="5"/>
  <c r="H23" i="1"/>
  <c r="D23" i="1" s="1"/>
  <c r="O23" i="1" s="1"/>
  <c r="F24" i="1"/>
  <c r="G24" i="1" s="1"/>
  <c r="E24" i="1"/>
  <c r="F11" i="8"/>
  <c r="L21" i="1"/>
  <c r="J11" i="8" s="1"/>
  <c r="A25" i="7"/>
  <c r="D24" i="7"/>
  <c r="E24" i="7"/>
  <c r="F24" i="7" s="1"/>
  <c r="B24" i="7" s="1"/>
  <c r="I24" i="7" s="1"/>
  <c r="F22" i="5"/>
  <c r="B22" i="5" s="1"/>
  <c r="I22" i="5" s="1"/>
  <c r="G22" i="5"/>
  <c r="C22" i="5" s="1"/>
  <c r="N22" i="5" s="1"/>
  <c r="F25" i="4"/>
  <c r="B25" i="4" s="1"/>
  <c r="I25" i="4" s="1"/>
  <c r="K23" i="4"/>
  <c r="K13" i="8" s="1"/>
  <c r="G13" i="8"/>
  <c r="F23" i="5" l="1"/>
  <c r="B23" i="5" s="1"/>
  <c r="I23" i="5" s="1"/>
  <c r="G24" i="7"/>
  <c r="C24" i="7" s="1"/>
  <c r="N24" i="7" s="1"/>
  <c r="F26" i="4"/>
  <c r="B26" i="4" s="1"/>
  <c r="I26" i="4" s="1"/>
  <c r="K23" i="7"/>
  <c r="M13" i="8" s="1"/>
  <c r="I13" i="8"/>
  <c r="A26" i="7"/>
  <c r="E25" i="7"/>
  <c r="F25" i="7" s="1"/>
  <c r="B25" i="7" s="1"/>
  <c r="I25" i="7" s="1"/>
  <c r="D25" i="7"/>
  <c r="A25" i="5"/>
  <c r="E24" i="5"/>
  <c r="D24" i="5"/>
  <c r="K23" i="1"/>
  <c r="S23" i="1"/>
  <c r="B13" i="8"/>
  <c r="A28" i="4"/>
  <c r="D27" i="4"/>
  <c r="E27" i="4"/>
  <c r="J24" i="7"/>
  <c r="E14" i="8"/>
  <c r="R24" i="7"/>
  <c r="K21" i="5"/>
  <c r="L11" i="8" s="1"/>
  <c r="H11" i="8"/>
  <c r="A27" i="1"/>
  <c r="B26" i="1"/>
  <c r="G25" i="4"/>
  <c r="C25" i="4" s="1"/>
  <c r="N25" i="4" s="1"/>
  <c r="H24" i="1"/>
  <c r="D24" i="1" s="1"/>
  <c r="O24" i="1" s="1"/>
  <c r="L22" i="1"/>
  <c r="J12" i="8" s="1"/>
  <c r="F12" i="8"/>
  <c r="F25" i="1"/>
  <c r="G25" i="1" s="1"/>
  <c r="E25" i="1"/>
  <c r="C15" i="8"/>
  <c r="R25" i="4"/>
  <c r="J25" i="4"/>
  <c r="C24" i="1"/>
  <c r="J24" i="1"/>
  <c r="G14" i="8"/>
  <c r="K24" i="4"/>
  <c r="K14" i="8" s="1"/>
  <c r="R22" i="5"/>
  <c r="J22" i="5"/>
  <c r="D12" i="8"/>
  <c r="A27" i="7" l="1"/>
  <c r="E26" i="7"/>
  <c r="F26" i="7" s="1"/>
  <c r="B26" i="7" s="1"/>
  <c r="I26" i="7" s="1"/>
  <c r="D26" i="7"/>
  <c r="F13" i="8"/>
  <c r="L23" i="1"/>
  <c r="J13" i="8" s="1"/>
  <c r="K25" i="4"/>
  <c r="K15" i="8" s="1"/>
  <c r="G15" i="8"/>
  <c r="F24" i="5"/>
  <c r="B24" i="5" s="1"/>
  <c r="I24" i="5" s="1"/>
  <c r="G26" i="4"/>
  <c r="C26" i="4" s="1"/>
  <c r="N26" i="4" s="1"/>
  <c r="C16" i="8"/>
  <c r="J26" i="4"/>
  <c r="R26" i="4"/>
  <c r="S24" i="1"/>
  <c r="B14" i="8"/>
  <c r="K24" i="1"/>
  <c r="K22" i="5"/>
  <c r="L12" i="8" s="1"/>
  <c r="H12" i="8"/>
  <c r="A26" i="5"/>
  <c r="E25" i="5"/>
  <c r="D25" i="5"/>
  <c r="K24" i="7"/>
  <c r="M14" i="8" s="1"/>
  <c r="I14" i="8"/>
  <c r="E26" i="1"/>
  <c r="F26" i="1"/>
  <c r="G26" i="1" s="1"/>
  <c r="H25" i="1"/>
  <c r="D25" i="1" s="1"/>
  <c r="O25" i="1" s="1"/>
  <c r="A28" i="1"/>
  <c r="B27" i="1"/>
  <c r="G27" i="4"/>
  <c r="C27" i="4" s="1"/>
  <c r="N27" i="4" s="1"/>
  <c r="F27" i="4"/>
  <c r="B27" i="4" s="1"/>
  <c r="I27" i="4" s="1"/>
  <c r="G25" i="7"/>
  <c r="C25" i="7" s="1"/>
  <c r="N25" i="7" s="1"/>
  <c r="G23" i="5"/>
  <c r="C23" i="5" s="1"/>
  <c r="N23" i="5" s="1"/>
  <c r="C25" i="1"/>
  <c r="J25" i="1"/>
  <c r="A29" i="4"/>
  <c r="E28" i="4"/>
  <c r="D28" i="4"/>
  <c r="R25" i="7"/>
  <c r="E15" i="8"/>
  <c r="J25" i="7"/>
  <c r="R23" i="5"/>
  <c r="D13" i="8"/>
  <c r="J23" i="5"/>
  <c r="F27" i="1" l="1"/>
  <c r="G27" i="1" s="1"/>
  <c r="E27" i="1"/>
  <c r="F28" i="4"/>
  <c r="B28" i="4" s="1"/>
  <c r="I28" i="4" s="1"/>
  <c r="K23" i="5"/>
  <c r="L13" i="8" s="1"/>
  <c r="H13" i="8"/>
  <c r="A30" i="4"/>
  <c r="D29" i="4"/>
  <c r="E29" i="4"/>
  <c r="A29" i="1"/>
  <c r="B28" i="1"/>
  <c r="G25" i="5"/>
  <c r="C25" i="5" s="1"/>
  <c r="N25" i="5" s="1"/>
  <c r="F25" i="5"/>
  <c r="B25" i="5" s="1"/>
  <c r="I25" i="5" s="1"/>
  <c r="S25" i="1"/>
  <c r="B15" i="8"/>
  <c r="K25" i="1"/>
  <c r="J26" i="1"/>
  <c r="C26" i="1"/>
  <c r="A27" i="5"/>
  <c r="D26" i="5"/>
  <c r="E26" i="5"/>
  <c r="G16" i="8"/>
  <c r="K26" i="4"/>
  <c r="K16" i="8" s="1"/>
  <c r="I15" i="8"/>
  <c r="K25" i="7"/>
  <c r="M15" i="8" s="1"/>
  <c r="H26" i="1"/>
  <c r="D26" i="1" s="1"/>
  <c r="O26" i="1" s="1"/>
  <c r="G26" i="7"/>
  <c r="C26" i="7" s="1"/>
  <c r="N26" i="7" s="1"/>
  <c r="E16" i="8"/>
  <c r="J26" i="7"/>
  <c r="R26" i="7"/>
  <c r="R24" i="5"/>
  <c r="J24" i="5"/>
  <c r="D14" i="8"/>
  <c r="C17" i="8"/>
  <c r="R27" i="4"/>
  <c r="J27" i="4"/>
  <c r="F14" i="8"/>
  <c r="L24" i="1"/>
  <c r="J14" i="8" s="1"/>
  <c r="G24" i="5"/>
  <c r="C24" i="5" s="1"/>
  <c r="N24" i="5" s="1"/>
  <c r="A28" i="7"/>
  <c r="D27" i="7"/>
  <c r="E27" i="7"/>
  <c r="F27" i="7" s="1"/>
  <c r="B27" i="7" s="1"/>
  <c r="I27" i="7" s="1"/>
  <c r="R27" i="7" l="1"/>
  <c r="J27" i="7"/>
  <c r="E17" i="8"/>
  <c r="A31" i="4"/>
  <c r="D30" i="4"/>
  <c r="E30" i="4"/>
  <c r="G27" i="7"/>
  <c r="C27" i="7" s="1"/>
  <c r="N27" i="7" s="1"/>
  <c r="R25" i="5"/>
  <c r="J25" i="5"/>
  <c r="D15" i="8"/>
  <c r="H14" i="8"/>
  <c r="K24" i="5"/>
  <c r="L14" i="8" s="1"/>
  <c r="F26" i="5"/>
  <c r="B26" i="5" s="1"/>
  <c r="I26" i="5" s="1"/>
  <c r="B29" i="1"/>
  <c r="A30" i="1"/>
  <c r="H27" i="1"/>
  <c r="D27" i="1" s="1"/>
  <c r="O27" i="1" s="1"/>
  <c r="A29" i="7"/>
  <c r="D28" i="7"/>
  <c r="E28" i="7"/>
  <c r="F28" i="7" s="1"/>
  <c r="B28" i="7" s="1"/>
  <c r="I28" i="7" s="1"/>
  <c r="C18" i="8"/>
  <c r="J28" i="4"/>
  <c r="R28" i="4"/>
  <c r="A28" i="5"/>
  <c r="D27" i="5"/>
  <c r="E27" i="5"/>
  <c r="G28" i="4"/>
  <c r="C28" i="4" s="1"/>
  <c r="N28" i="4" s="1"/>
  <c r="J27" i="1"/>
  <c r="C27" i="1"/>
  <c r="E28" i="1"/>
  <c r="F28" i="1"/>
  <c r="G28" i="1" s="1"/>
  <c r="I16" i="8"/>
  <c r="K26" i="7"/>
  <c r="M16" i="8" s="1"/>
  <c r="S26" i="1"/>
  <c r="B16" i="8"/>
  <c r="K26" i="1"/>
  <c r="G17" i="8"/>
  <c r="K27" i="4"/>
  <c r="K17" i="8" s="1"/>
  <c r="L25" i="1"/>
  <c r="J15" i="8" s="1"/>
  <c r="F15" i="8"/>
  <c r="F29" i="4"/>
  <c r="B29" i="4" s="1"/>
  <c r="I29" i="4" s="1"/>
  <c r="F16" i="8" l="1"/>
  <c r="L26" i="1"/>
  <c r="J16" i="8" s="1"/>
  <c r="G18" i="8"/>
  <c r="K28" i="4"/>
  <c r="K18" i="8" s="1"/>
  <c r="G26" i="5"/>
  <c r="C26" i="5" s="1"/>
  <c r="N26" i="5" s="1"/>
  <c r="R28" i="7"/>
  <c r="J28" i="7"/>
  <c r="E18" i="8"/>
  <c r="R26" i="5"/>
  <c r="J26" i="5"/>
  <c r="D16" i="8"/>
  <c r="F30" i="4"/>
  <c r="B30" i="4" s="1"/>
  <c r="I30" i="4" s="1"/>
  <c r="S27" i="1"/>
  <c r="K27" i="1"/>
  <c r="B17" i="8"/>
  <c r="A30" i="7"/>
  <c r="E29" i="7"/>
  <c r="F29" i="7" s="1"/>
  <c r="B29" i="7" s="1"/>
  <c r="I29" i="7" s="1"/>
  <c r="D29" i="7"/>
  <c r="G29" i="7" s="1"/>
  <c r="C29" i="7" s="1"/>
  <c r="N29" i="7" s="1"/>
  <c r="C19" i="8"/>
  <c r="R29" i="4"/>
  <c r="J29" i="4"/>
  <c r="F27" i="5"/>
  <c r="B27" i="5" s="1"/>
  <c r="I27" i="5" s="1"/>
  <c r="G29" i="4"/>
  <c r="C29" i="4" s="1"/>
  <c r="N29" i="4" s="1"/>
  <c r="G28" i="7"/>
  <c r="C28" i="7" s="1"/>
  <c r="N28" i="7" s="1"/>
  <c r="A32" i="4"/>
  <c r="D31" i="4"/>
  <c r="E31" i="4"/>
  <c r="H28" i="1"/>
  <c r="D28" i="1" s="1"/>
  <c r="O28" i="1" s="1"/>
  <c r="A29" i="5"/>
  <c r="E28" i="5"/>
  <c r="D28" i="5"/>
  <c r="B30" i="1"/>
  <c r="A31" i="1"/>
  <c r="K25" i="5"/>
  <c r="L15" i="8" s="1"/>
  <c r="H15" i="8"/>
  <c r="K27" i="7"/>
  <c r="M17" i="8" s="1"/>
  <c r="I17" i="8"/>
  <c r="J28" i="1"/>
  <c r="C28" i="1"/>
  <c r="F29" i="1"/>
  <c r="G29" i="1" s="1"/>
  <c r="E29" i="1"/>
  <c r="R27" i="5" l="1"/>
  <c r="J27" i="5"/>
  <c r="D17" i="8"/>
  <c r="L27" i="1"/>
  <c r="J17" i="8" s="1"/>
  <c r="F17" i="8"/>
  <c r="K28" i="7"/>
  <c r="M18" i="8" s="1"/>
  <c r="I18" i="8"/>
  <c r="K29" i="4"/>
  <c r="K19" i="8" s="1"/>
  <c r="G19" i="8"/>
  <c r="H29" i="1"/>
  <c r="D29" i="1" s="1"/>
  <c r="O29" i="1" s="1"/>
  <c r="F31" i="4"/>
  <c r="B31" i="4" s="1"/>
  <c r="I31" i="4" s="1"/>
  <c r="G31" i="4"/>
  <c r="C31" i="4" s="1"/>
  <c r="N31" i="4" s="1"/>
  <c r="G30" i="4"/>
  <c r="C30" i="4" s="1"/>
  <c r="N30" i="4" s="1"/>
  <c r="J29" i="7"/>
  <c r="R29" i="7"/>
  <c r="E19" i="8"/>
  <c r="K26" i="5"/>
  <c r="L16" i="8" s="1"/>
  <c r="H16" i="8"/>
  <c r="C20" i="8"/>
  <c r="R30" i="4"/>
  <c r="J30" i="4"/>
  <c r="E30" i="1"/>
  <c r="F30" i="1"/>
  <c r="G30" i="1" s="1"/>
  <c r="A31" i="7"/>
  <c r="D30" i="7"/>
  <c r="G30" i="7" s="1"/>
  <c r="C30" i="7" s="1"/>
  <c r="N30" i="7" s="1"/>
  <c r="E30" i="7"/>
  <c r="F30" i="7" s="1"/>
  <c r="B30" i="7" s="1"/>
  <c r="I30" i="7" s="1"/>
  <c r="J29" i="1"/>
  <c r="C29" i="1"/>
  <c r="A32" i="1"/>
  <c r="B31" i="1"/>
  <c r="A33" i="4"/>
  <c r="D32" i="4"/>
  <c r="E32" i="4"/>
  <c r="S28" i="1"/>
  <c r="B18" i="8"/>
  <c r="K28" i="1"/>
  <c r="F28" i="5"/>
  <c r="B28" i="5" s="1"/>
  <c r="I28" i="5" s="1"/>
  <c r="E29" i="5"/>
  <c r="A30" i="5"/>
  <c r="D29" i="5"/>
  <c r="G27" i="5"/>
  <c r="C27" i="5" s="1"/>
  <c r="N27" i="5" s="1"/>
  <c r="G20" i="8" l="1"/>
  <c r="K30" i="4"/>
  <c r="K20" i="8" s="1"/>
  <c r="S29" i="1"/>
  <c r="K29" i="1"/>
  <c r="B19" i="8"/>
  <c r="F29" i="5"/>
  <c r="B29" i="5" s="1"/>
  <c r="I29" i="5" s="1"/>
  <c r="G29" i="5"/>
  <c r="C29" i="5" s="1"/>
  <c r="N29" i="5" s="1"/>
  <c r="E20" i="8"/>
  <c r="J30" i="7"/>
  <c r="R30" i="7"/>
  <c r="A31" i="5"/>
  <c r="D30" i="5"/>
  <c r="E30" i="5"/>
  <c r="G28" i="5"/>
  <c r="C28" i="5" s="1"/>
  <c r="N28" i="5" s="1"/>
  <c r="A34" i="4"/>
  <c r="D33" i="4"/>
  <c r="N6" i="4"/>
  <c r="E33" i="4"/>
  <c r="C21" i="8"/>
  <c r="R31" i="4"/>
  <c r="J31" i="4"/>
  <c r="F32" i="4"/>
  <c r="B32" i="4" s="1"/>
  <c r="I32" i="4" s="1"/>
  <c r="G32" i="4"/>
  <c r="C32" i="4" s="1"/>
  <c r="N32" i="4" s="1"/>
  <c r="A32" i="7"/>
  <c r="E31" i="7"/>
  <c r="F31" i="7" s="1"/>
  <c r="B31" i="7" s="1"/>
  <c r="I31" i="7" s="1"/>
  <c r="D31" i="7"/>
  <c r="C30" i="1"/>
  <c r="J30" i="1"/>
  <c r="K27" i="5"/>
  <c r="L17" i="8" s="1"/>
  <c r="H17" i="8"/>
  <c r="R28" i="5"/>
  <c r="J28" i="5"/>
  <c r="D18" i="8"/>
  <c r="F31" i="1"/>
  <c r="G31" i="1" s="1"/>
  <c r="E31" i="1"/>
  <c r="H31" i="1" s="1"/>
  <c r="D31" i="1" s="1"/>
  <c r="O31" i="1" s="1"/>
  <c r="F18" i="8"/>
  <c r="L28" i="1"/>
  <c r="J18" i="8" s="1"/>
  <c r="A33" i="1"/>
  <c r="B32" i="1"/>
  <c r="H30" i="1"/>
  <c r="D30" i="1" s="1"/>
  <c r="O30" i="1" s="1"/>
  <c r="K29" i="7"/>
  <c r="M19" i="8" s="1"/>
  <c r="I19" i="8"/>
  <c r="C31" i="1" l="1"/>
  <c r="J31" i="1"/>
  <c r="R29" i="5"/>
  <c r="J29" i="5"/>
  <c r="D19" i="8"/>
  <c r="G31" i="7"/>
  <c r="C31" i="7" s="1"/>
  <c r="N31" i="7" s="1"/>
  <c r="H18" i="8"/>
  <c r="K28" i="5"/>
  <c r="L18" i="8" s="1"/>
  <c r="E32" i="1"/>
  <c r="F32" i="1"/>
  <c r="G32" i="1" s="1"/>
  <c r="A33" i="7"/>
  <c r="D32" i="7"/>
  <c r="E32" i="7"/>
  <c r="F32" i="7" s="1"/>
  <c r="B32" i="7" s="1"/>
  <c r="I32" i="7" s="1"/>
  <c r="D31" i="5"/>
  <c r="A32" i="5"/>
  <c r="E31" i="5"/>
  <c r="R31" i="7"/>
  <c r="E21" i="8"/>
  <c r="J31" i="7"/>
  <c r="F33" i="4"/>
  <c r="B33" i="4" s="1"/>
  <c r="I33" i="4" s="1"/>
  <c r="B20" i="8"/>
  <c r="K30" i="1"/>
  <c r="S30" i="1"/>
  <c r="L29" i="1"/>
  <c r="J19" i="8" s="1"/>
  <c r="F19" i="8"/>
  <c r="A34" i="1"/>
  <c r="B33" i="1"/>
  <c r="O8" i="1"/>
  <c r="J32" i="4"/>
  <c r="R32" i="4"/>
  <c r="C22" i="8"/>
  <c r="A35" i="4"/>
  <c r="D34" i="4"/>
  <c r="E34" i="4"/>
  <c r="I20" i="8"/>
  <c r="K30" i="7"/>
  <c r="M20" i="8" s="1"/>
  <c r="K31" i="4"/>
  <c r="K21" i="8" s="1"/>
  <c r="G21" i="8"/>
  <c r="F30" i="5"/>
  <c r="B30" i="5" s="1"/>
  <c r="I30" i="5" s="1"/>
  <c r="R32" i="7" l="1"/>
  <c r="J32" i="7"/>
  <c r="E22" i="8"/>
  <c r="G31" i="5"/>
  <c r="C31" i="5" s="1"/>
  <c r="N31" i="5" s="1"/>
  <c r="F31" i="5"/>
  <c r="B31" i="5" s="1"/>
  <c r="I31" i="5" s="1"/>
  <c r="G33" i="4"/>
  <c r="C33" i="4" s="1"/>
  <c r="B34" i="1"/>
  <c r="A35" i="1"/>
  <c r="G32" i="7"/>
  <c r="C32" i="7" s="1"/>
  <c r="N32" i="7" s="1"/>
  <c r="E33" i="1"/>
  <c r="F33" i="1"/>
  <c r="G33" i="1" s="1"/>
  <c r="C32" i="1"/>
  <c r="J32" i="1"/>
  <c r="H19" i="8"/>
  <c r="K29" i="5"/>
  <c r="L19" i="8" s="1"/>
  <c r="R30" i="5"/>
  <c r="D20" i="8"/>
  <c r="J30" i="5"/>
  <c r="H32" i="1"/>
  <c r="D32" i="1" s="1"/>
  <c r="O32" i="1" s="1"/>
  <c r="F34" i="4"/>
  <c r="B34" i="4" s="1"/>
  <c r="I34" i="4" s="1"/>
  <c r="K31" i="7"/>
  <c r="M21" i="8" s="1"/>
  <c r="I21" i="8"/>
  <c r="A36" i="4"/>
  <c r="D35" i="4"/>
  <c r="E35" i="4"/>
  <c r="B21" i="8"/>
  <c r="K31" i="1"/>
  <c r="S31" i="1"/>
  <c r="J33" i="4"/>
  <c r="C23" i="8"/>
  <c r="R33" i="4"/>
  <c r="G30" i="5"/>
  <c r="C30" i="5" s="1"/>
  <c r="N30" i="5" s="1"/>
  <c r="A34" i="7"/>
  <c r="N6" i="7"/>
  <c r="E33" i="7"/>
  <c r="F33" i="7" s="1"/>
  <c r="B33" i="7" s="1"/>
  <c r="I33" i="7" s="1"/>
  <c r="D33" i="7"/>
  <c r="F20" i="8"/>
  <c r="L30" i="1"/>
  <c r="J20" i="8" s="1"/>
  <c r="G22" i="8"/>
  <c r="K32" i="4"/>
  <c r="K22" i="8" s="1"/>
  <c r="A33" i="5"/>
  <c r="D32" i="5"/>
  <c r="E32" i="5"/>
  <c r="F34" i="1" l="1"/>
  <c r="G34" i="1" s="1"/>
  <c r="E34" i="1"/>
  <c r="G23" i="8"/>
  <c r="K33" i="4"/>
  <c r="K23" i="8" s="1"/>
  <c r="L6" i="4"/>
  <c r="L8" i="4" s="1"/>
  <c r="N33" i="4"/>
  <c r="G33" i="7"/>
  <c r="C33" i="7" s="1"/>
  <c r="G34" i="4"/>
  <c r="C34" i="4" s="1"/>
  <c r="N34" i="4" s="1"/>
  <c r="K32" i="1"/>
  <c r="S32" i="1"/>
  <c r="B22" i="8"/>
  <c r="R31" i="5"/>
  <c r="D21" i="8"/>
  <c r="J31" i="5"/>
  <c r="R33" i="7"/>
  <c r="J33" i="7"/>
  <c r="E23" i="8"/>
  <c r="C33" i="1"/>
  <c r="J33" i="1"/>
  <c r="K30" i="5"/>
  <c r="L20" i="8" s="1"/>
  <c r="H20" i="8"/>
  <c r="H33" i="1"/>
  <c r="D33" i="1" s="1"/>
  <c r="L31" i="1"/>
  <c r="J21" i="8" s="1"/>
  <c r="F21" i="8"/>
  <c r="F32" i="5"/>
  <c r="B32" i="5" s="1"/>
  <c r="I32" i="5" s="1"/>
  <c r="K32" i="7"/>
  <c r="M22" i="8" s="1"/>
  <c r="I22" i="8"/>
  <c r="R34" i="4"/>
  <c r="J34" i="4"/>
  <c r="C24" i="8"/>
  <c r="N6" i="5"/>
  <c r="A34" i="5"/>
  <c r="E33" i="5"/>
  <c r="D33" i="5"/>
  <c r="A35" i="7"/>
  <c r="D34" i="7"/>
  <c r="G34" i="7" s="1"/>
  <c r="C34" i="7" s="1"/>
  <c r="N34" i="7" s="1"/>
  <c r="E34" i="7"/>
  <c r="F34" i="7" s="1"/>
  <c r="B34" i="7" s="1"/>
  <c r="I34" i="7" s="1"/>
  <c r="F35" i="4"/>
  <c r="B35" i="4" s="1"/>
  <c r="I35" i="4" s="1"/>
  <c r="A37" i="4"/>
  <c r="E36" i="4"/>
  <c r="D36" i="4"/>
  <c r="B35" i="1"/>
  <c r="A36" i="1"/>
  <c r="F33" i="5" l="1"/>
  <c r="B33" i="5" s="1"/>
  <c r="I33" i="5" s="1"/>
  <c r="O33" i="1"/>
  <c r="M8" i="1"/>
  <c r="M10" i="1"/>
  <c r="N33" i="7"/>
  <c r="L6" i="7"/>
  <c r="L8" i="7" s="1"/>
  <c r="K33" i="7"/>
  <c r="M23" i="8" s="1"/>
  <c r="I23" i="8"/>
  <c r="F36" i="4"/>
  <c r="B36" i="4" s="1"/>
  <c r="I36" i="4" s="1"/>
  <c r="H21" i="8"/>
  <c r="K31" i="5"/>
  <c r="L21" i="8" s="1"/>
  <c r="A36" i="7"/>
  <c r="D35" i="7"/>
  <c r="E35" i="7"/>
  <c r="F35" i="7" s="1"/>
  <c r="B35" i="7" s="1"/>
  <c r="I35" i="7" s="1"/>
  <c r="O32" i="4"/>
  <c r="O17" i="4"/>
  <c r="O22" i="4"/>
  <c r="O27" i="4"/>
  <c r="O28" i="4"/>
  <c r="O18" i="4"/>
  <c r="O24" i="4"/>
  <c r="O19" i="4"/>
  <c r="O20" i="4"/>
  <c r="O37" i="4"/>
  <c r="O15" i="4"/>
  <c r="O16" i="4"/>
  <c r="O33" i="4"/>
  <c r="Q33" i="4" s="1"/>
  <c r="O29" i="4"/>
  <c r="O34" i="4"/>
  <c r="Q34" i="4" s="1"/>
  <c r="O25" i="4"/>
  <c r="O35" i="4"/>
  <c r="Q35" i="4" s="1"/>
  <c r="O21" i="4"/>
  <c r="O31" i="4"/>
  <c r="O23" i="4"/>
  <c r="O36" i="4"/>
  <c r="O30" i="4"/>
  <c r="O26" i="4"/>
  <c r="J35" i="4"/>
  <c r="R35" i="4"/>
  <c r="C25" i="8"/>
  <c r="G35" i="4"/>
  <c r="C35" i="4" s="1"/>
  <c r="N35" i="4" s="1"/>
  <c r="P35" i="4" s="1"/>
  <c r="R32" i="5"/>
  <c r="J32" i="5"/>
  <c r="D22" i="8"/>
  <c r="K33" i="1"/>
  <c r="S33" i="1"/>
  <c r="B23" i="8"/>
  <c r="E35" i="1"/>
  <c r="F35" i="1"/>
  <c r="G35" i="1" s="1"/>
  <c r="A38" i="4"/>
  <c r="D37" i="4"/>
  <c r="E37" i="4"/>
  <c r="A35" i="5"/>
  <c r="E34" i="5"/>
  <c r="D34" i="5"/>
  <c r="E24" i="8"/>
  <c r="J34" i="7"/>
  <c r="R34" i="7"/>
  <c r="G32" i="5"/>
  <c r="C32" i="5" s="1"/>
  <c r="N32" i="5" s="1"/>
  <c r="H34" i="1"/>
  <c r="D34" i="1" s="1"/>
  <c r="O34" i="1" s="1"/>
  <c r="B36" i="1"/>
  <c r="A37" i="1"/>
  <c r="G24" i="8"/>
  <c r="K34" i="4"/>
  <c r="K24" i="8" s="1"/>
  <c r="L32" i="1"/>
  <c r="J22" i="8" s="1"/>
  <c r="F22" i="8"/>
  <c r="J34" i="1"/>
  <c r="C34" i="1"/>
  <c r="A37" i="7" l="1"/>
  <c r="D36" i="7"/>
  <c r="E36" i="7"/>
  <c r="F36" i="7" s="1"/>
  <c r="B36" i="7" s="1"/>
  <c r="I36" i="7" s="1"/>
  <c r="J35" i="1"/>
  <c r="C35" i="1"/>
  <c r="Q26" i="4"/>
  <c r="P26" i="4"/>
  <c r="Q20" i="4"/>
  <c r="P20" i="4"/>
  <c r="Q17" i="4"/>
  <c r="P17" i="4"/>
  <c r="P33" i="4"/>
  <c r="P33" i="7"/>
  <c r="A39" i="4"/>
  <c r="E38" i="4"/>
  <c r="D38" i="4"/>
  <c r="O23" i="7"/>
  <c r="O32" i="7"/>
  <c r="O18" i="7"/>
  <c r="O27" i="7"/>
  <c r="O28" i="7"/>
  <c r="O37" i="7"/>
  <c r="O19" i="7"/>
  <c r="O24" i="7"/>
  <c r="O33" i="7"/>
  <c r="Q33" i="7" s="1"/>
  <c r="O20" i="7"/>
  <c r="O31" i="7"/>
  <c r="O29" i="7"/>
  <c r="O16" i="7"/>
  <c r="O15" i="7"/>
  <c r="O25" i="7"/>
  <c r="O34" i="7"/>
  <c r="O21" i="7"/>
  <c r="O30" i="7"/>
  <c r="O35" i="7"/>
  <c r="Q35" i="7" s="1"/>
  <c r="O17" i="7"/>
  <c r="O36" i="7"/>
  <c r="O22" i="7"/>
  <c r="O26" i="7"/>
  <c r="K34" i="7"/>
  <c r="M24" i="8" s="1"/>
  <c r="I24" i="8"/>
  <c r="H35" i="1"/>
  <c r="D35" i="1" s="1"/>
  <c r="O35" i="1" s="1"/>
  <c r="Q35" i="1" s="1"/>
  <c r="Q31" i="4"/>
  <c r="P31" i="4"/>
  <c r="Q15" i="4"/>
  <c r="P15" i="4"/>
  <c r="P20" i="1"/>
  <c r="P31" i="1"/>
  <c r="P37" i="1"/>
  <c r="P34" i="1"/>
  <c r="R34" i="1" s="1"/>
  <c r="P21" i="1"/>
  <c r="P24" i="1"/>
  <c r="P16" i="1"/>
  <c r="P38" i="1"/>
  <c r="P35" i="1"/>
  <c r="P29" i="1"/>
  <c r="P36" i="1"/>
  <c r="P27" i="1"/>
  <c r="P15" i="1"/>
  <c r="P32" i="1"/>
  <c r="P30" i="1"/>
  <c r="P17" i="1"/>
  <c r="P23" i="1"/>
  <c r="P18" i="1"/>
  <c r="P26" i="1"/>
  <c r="P33" i="1"/>
  <c r="R33" i="1" s="1"/>
  <c r="P19" i="1"/>
  <c r="P22" i="1"/>
  <c r="P28" i="1"/>
  <c r="P25" i="1"/>
  <c r="A38" i="1"/>
  <c r="B37" i="1"/>
  <c r="K35" i="4"/>
  <c r="K25" i="8" s="1"/>
  <c r="G25" i="8"/>
  <c r="Q29" i="4"/>
  <c r="P29" i="4"/>
  <c r="Q19" i="4"/>
  <c r="P19" i="4"/>
  <c r="Q32" i="4"/>
  <c r="P32" i="4"/>
  <c r="G36" i="4"/>
  <c r="C36" i="4" s="1"/>
  <c r="N36" i="4" s="1"/>
  <c r="P36" i="4" s="1"/>
  <c r="Q33" i="1"/>
  <c r="Q28" i="4"/>
  <c r="P28" i="4"/>
  <c r="E36" i="1"/>
  <c r="H36" i="1" s="1"/>
  <c r="D36" i="1" s="1"/>
  <c r="O36" i="1" s="1"/>
  <c r="Q36" i="1" s="1"/>
  <c r="F36" i="1"/>
  <c r="G36" i="1" s="1"/>
  <c r="F23" i="8"/>
  <c r="L33" i="1"/>
  <c r="J23" i="8" s="1"/>
  <c r="Q27" i="4"/>
  <c r="P27" i="4"/>
  <c r="R36" i="4"/>
  <c r="J36" i="4"/>
  <c r="C26" i="8"/>
  <c r="G33" i="5"/>
  <c r="C33" i="5" s="1"/>
  <c r="F34" i="5"/>
  <c r="B34" i="5" s="1"/>
  <c r="I34" i="5" s="1"/>
  <c r="G34" i="5"/>
  <c r="C34" i="5" s="1"/>
  <c r="N34" i="5" s="1"/>
  <c r="Q21" i="4"/>
  <c r="P21" i="4"/>
  <c r="O38" i="4"/>
  <c r="A36" i="5"/>
  <c r="D35" i="5"/>
  <c r="E35" i="5"/>
  <c r="K34" i="1"/>
  <c r="B24" i="8"/>
  <c r="S34" i="1"/>
  <c r="Q36" i="4"/>
  <c r="Q25" i="4"/>
  <c r="P25" i="4"/>
  <c r="Q18" i="4"/>
  <c r="P18" i="4"/>
  <c r="E25" i="8"/>
  <c r="J35" i="7"/>
  <c r="R35" i="7"/>
  <c r="R33" i="5"/>
  <c r="D23" i="8"/>
  <c r="J33" i="5"/>
  <c r="Q30" i="4"/>
  <c r="P30" i="4"/>
  <c r="Q24" i="4"/>
  <c r="P24" i="4"/>
  <c r="Q34" i="1"/>
  <c r="F37" i="4"/>
  <c r="B37" i="4" s="1"/>
  <c r="I37" i="4" s="1"/>
  <c r="G37" i="4"/>
  <c r="C37" i="4" s="1"/>
  <c r="N37" i="4" s="1"/>
  <c r="P37" i="4" s="1"/>
  <c r="H22" i="8"/>
  <c r="K32" i="5"/>
  <c r="L22" i="8" s="1"/>
  <c r="Q23" i="4"/>
  <c r="P23" i="4"/>
  <c r="Q16" i="4"/>
  <c r="P16" i="4"/>
  <c r="Q22" i="4"/>
  <c r="P22" i="4"/>
  <c r="G35" i="7"/>
  <c r="C35" i="7" s="1"/>
  <c r="N35" i="7" s="1"/>
  <c r="P34" i="4"/>
  <c r="R19" i="1" l="1"/>
  <c r="Q19" i="1"/>
  <c r="F38" i="4"/>
  <c r="B38" i="4" s="1"/>
  <c r="I38" i="4" s="1"/>
  <c r="K33" i="5"/>
  <c r="L23" i="8" s="1"/>
  <c r="H23" i="8"/>
  <c r="A37" i="5"/>
  <c r="D36" i="5"/>
  <c r="E36" i="5"/>
  <c r="G26" i="8"/>
  <c r="K36" i="4"/>
  <c r="K26" i="8" s="1"/>
  <c r="R30" i="1"/>
  <c r="Q30" i="1"/>
  <c r="R16" i="1"/>
  <c r="Q16" i="1"/>
  <c r="Q22" i="7"/>
  <c r="P22" i="7"/>
  <c r="Q17" i="7"/>
  <c r="P17" i="7"/>
  <c r="Q28" i="7"/>
  <c r="P28" i="7"/>
  <c r="F35" i="5"/>
  <c r="B35" i="5" s="1"/>
  <c r="I35" i="5" s="1"/>
  <c r="G35" i="5"/>
  <c r="C35" i="5" s="1"/>
  <c r="N35" i="5" s="1"/>
  <c r="R17" i="1"/>
  <c r="Q17" i="1"/>
  <c r="Q16" i="7"/>
  <c r="P16" i="7"/>
  <c r="Q20" i="7"/>
  <c r="P20" i="7"/>
  <c r="Q24" i="7"/>
  <c r="P24" i="7"/>
  <c r="Q37" i="4"/>
  <c r="J37" i="4"/>
  <c r="R37" i="4"/>
  <c r="C27" i="8"/>
  <c r="R32" i="1"/>
  <c r="Q32" i="1"/>
  <c r="R24" i="1"/>
  <c r="Q24" i="1"/>
  <c r="Q30" i="7"/>
  <c r="P30" i="7"/>
  <c r="Q19" i="7"/>
  <c r="P19" i="7"/>
  <c r="Q32" i="7"/>
  <c r="P32" i="7"/>
  <c r="A40" i="4"/>
  <c r="D39" i="4"/>
  <c r="E39" i="4"/>
  <c r="O39" i="4"/>
  <c r="R15" i="1"/>
  <c r="Q15" i="1"/>
  <c r="Q34" i="7"/>
  <c r="P34" i="7"/>
  <c r="R25" i="1"/>
  <c r="Q25" i="1"/>
  <c r="R27" i="1"/>
  <c r="Q27" i="1"/>
  <c r="Q21" i="7"/>
  <c r="P21" i="7"/>
  <c r="Q18" i="7"/>
  <c r="P18" i="7"/>
  <c r="Q23" i="7"/>
  <c r="P23" i="7"/>
  <c r="S35" i="1"/>
  <c r="K35" i="1"/>
  <c r="B25" i="8"/>
  <c r="R21" i="1"/>
  <c r="Q21" i="1"/>
  <c r="E37" i="1"/>
  <c r="H37" i="1" s="1"/>
  <c r="D37" i="1" s="1"/>
  <c r="O37" i="1" s="1"/>
  <c r="Q37" i="1" s="1"/>
  <c r="F37" i="1"/>
  <c r="G37" i="1" s="1"/>
  <c r="R28" i="1"/>
  <c r="Q28" i="1"/>
  <c r="R26" i="1"/>
  <c r="Q26" i="1"/>
  <c r="R36" i="1"/>
  <c r="R37" i="1"/>
  <c r="Q25" i="7"/>
  <c r="P25" i="7"/>
  <c r="Q29" i="7"/>
  <c r="P29" i="7"/>
  <c r="R36" i="7"/>
  <c r="J36" i="7"/>
  <c r="E26" i="8"/>
  <c r="Q27" i="7"/>
  <c r="P27" i="7"/>
  <c r="F24" i="8"/>
  <c r="L34" i="1"/>
  <c r="J24" i="8" s="1"/>
  <c r="R34" i="5"/>
  <c r="J34" i="5"/>
  <c r="D24" i="8"/>
  <c r="A39" i="1"/>
  <c r="B38" i="1"/>
  <c r="R22" i="1"/>
  <c r="Q22" i="1"/>
  <c r="R18" i="1"/>
  <c r="Q18" i="1"/>
  <c r="R29" i="1"/>
  <c r="Q29" i="1"/>
  <c r="R31" i="1"/>
  <c r="Q31" i="1"/>
  <c r="G36" i="7"/>
  <c r="C36" i="7" s="1"/>
  <c r="N36" i="7" s="1"/>
  <c r="P36" i="7" s="1"/>
  <c r="I25" i="8"/>
  <c r="K35" i="7"/>
  <c r="M25" i="8" s="1"/>
  <c r="P35" i="7"/>
  <c r="L6" i="5"/>
  <c r="L8" i="5" s="1"/>
  <c r="N33" i="5"/>
  <c r="C36" i="1"/>
  <c r="J36" i="1"/>
  <c r="R23" i="1"/>
  <c r="Q23" i="1"/>
  <c r="R35" i="1"/>
  <c r="R20" i="1"/>
  <c r="Q20" i="1"/>
  <c r="Q26" i="7"/>
  <c r="P26" i="7"/>
  <c r="Q15" i="7"/>
  <c r="P15" i="7"/>
  <c r="Q31" i="7"/>
  <c r="P31" i="7"/>
  <c r="A38" i="7"/>
  <c r="D37" i="7"/>
  <c r="E37" i="7"/>
  <c r="F37" i="7" s="1"/>
  <c r="B37" i="7" s="1"/>
  <c r="I37" i="7" s="1"/>
  <c r="A38" i="5" l="1"/>
  <c r="E37" i="5"/>
  <c r="D37" i="5"/>
  <c r="A40" i="1"/>
  <c r="B39" i="1"/>
  <c r="P39" i="1"/>
  <c r="R35" i="5"/>
  <c r="D25" i="8"/>
  <c r="J35" i="5"/>
  <c r="R37" i="7"/>
  <c r="E27" i="8"/>
  <c r="J37" i="7"/>
  <c r="G37" i="7"/>
  <c r="C37" i="7" s="1"/>
  <c r="O26" i="5"/>
  <c r="O28" i="5"/>
  <c r="O27" i="5"/>
  <c r="O25" i="5"/>
  <c r="O34" i="5"/>
  <c r="O20" i="5"/>
  <c r="O38" i="5"/>
  <c r="O23" i="5"/>
  <c r="O17" i="5"/>
  <c r="O18" i="5"/>
  <c r="O16" i="5"/>
  <c r="O30" i="5"/>
  <c r="O19" i="5"/>
  <c r="O37" i="5"/>
  <c r="O22" i="5"/>
  <c r="O15" i="5"/>
  <c r="O21" i="5"/>
  <c r="O36" i="5"/>
  <c r="O35" i="5"/>
  <c r="Q35" i="5" s="1"/>
  <c r="O31" i="5"/>
  <c r="O32" i="5"/>
  <c r="O24" i="5"/>
  <c r="O33" i="5"/>
  <c r="Q33" i="5" s="1"/>
  <c r="O29" i="5"/>
  <c r="I26" i="8"/>
  <c r="K36" i="7"/>
  <c r="M26" i="8" s="1"/>
  <c r="A39" i="7"/>
  <c r="D38" i="7"/>
  <c r="E38" i="7"/>
  <c r="F38" i="7" s="1"/>
  <c r="B38" i="7" s="1"/>
  <c r="I38" i="7" s="1"/>
  <c r="O38" i="7"/>
  <c r="F25" i="8"/>
  <c r="L35" i="1"/>
  <c r="J25" i="8" s="1"/>
  <c r="G38" i="4"/>
  <c r="C38" i="4" s="1"/>
  <c r="K34" i="5"/>
  <c r="L24" i="8" s="1"/>
  <c r="H24" i="8"/>
  <c r="R38" i="4"/>
  <c r="J38" i="4"/>
  <c r="C28" i="8"/>
  <c r="G27" i="8"/>
  <c r="K37" i="4"/>
  <c r="K27" i="8" s="1"/>
  <c r="Q36" i="7"/>
  <c r="C37" i="1"/>
  <c r="J37" i="1"/>
  <c r="G39" i="4"/>
  <c r="C39" i="4" s="1"/>
  <c r="N39" i="4" s="1"/>
  <c r="P39" i="4" s="1"/>
  <c r="F39" i="4"/>
  <c r="B39" i="4" s="1"/>
  <c r="I39" i="4" s="1"/>
  <c r="F38" i="1"/>
  <c r="G38" i="1" s="1"/>
  <c r="E38" i="1"/>
  <c r="H38" i="1" s="1"/>
  <c r="D38" i="1" s="1"/>
  <c r="S36" i="1"/>
  <c r="B26" i="8"/>
  <c r="K36" i="1"/>
  <c r="A41" i="4"/>
  <c r="E40" i="4"/>
  <c r="D40" i="4"/>
  <c r="O40" i="4"/>
  <c r="G36" i="5"/>
  <c r="C36" i="5" s="1"/>
  <c r="N36" i="5" s="1"/>
  <c r="P36" i="5" s="1"/>
  <c r="F36" i="5"/>
  <c r="B36" i="5" s="1"/>
  <c r="I36" i="5" s="1"/>
  <c r="Q36" i="5" l="1"/>
  <c r="Q18" i="5"/>
  <c r="P18" i="5"/>
  <c r="Q34" i="5"/>
  <c r="P34" i="5"/>
  <c r="Q28" i="5"/>
  <c r="P28" i="5"/>
  <c r="N37" i="7"/>
  <c r="P37" i="7" s="1"/>
  <c r="Q37" i="7"/>
  <c r="F39" i="1"/>
  <c r="G39" i="1" s="1"/>
  <c r="E39" i="1"/>
  <c r="J38" i="1"/>
  <c r="C38" i="1"/>
  <c r="Q31" i="5"/>
  <c r="P31" i="5"/>
  <c r="F40" i="4"/>
  <c r="B40" i="4" s="1"/>
  <c r="I40" i="4" s="1"/>
  <c r="R39" i="4"/>
  <c r="J39" i="4"/>
  <c r="C29" i="8"/>
  <c r="G28" i="8"/>
  <c r="K38" i="4"/>
  <c r="K28" i="8" s="1"/>
  <c r="Q29" i="5"/>
  <c r="P29" i="5"/>
  <c r="Q17" i="5"/>
  <c r="P17" i="5"/>
  <c r="Q25" i="5"/>
  <c r="P25" i="5"/>
  <c r="K37" i="7"/>
  <c r="M27" i="8" s="1"/>
  <c r="I27" i="8"/>
  <c r="A41" i="1"/>
  <c r="B40" i="1"/>
  <c r="P40" i="1"/>
  <c r="Q26" i="5"/>
  <c r="P26" i="5"/>
  <c r="Q24" i="5"/>
  <c r="P24" i="5"/>
  <c r="Q23" i="5"/>
  <c r="P23" i="5"/>
  <c r="F37" i="5"/>
  <c r="B37" i="5" s="1"/>
  <c r="I37" i="5" s="1"/>
  <c r="G38" i="7"/>
  <c r="C38" i="7" s="1"/>
  <c r="N38" i="7" s="1"/>
  <c r="P38" i="7" s="1"/>
  <c r="Q15" i="5"/>
  <c r="P15" i="5"/>
  <c r="Q19" i="5"/>
  <c r="P19" i="5"/>
  <c r="Q27" i="5"/>
  <c r="P27" i="5"/>
  <c r="L36" i="1"/>
  <c r="J26" i="8" s="1"/>
  <c r="F26" i="8"/>
  <c r="A40" i="7"/>
  <c r="E39" i="7"/>
  <c r="F39" i="7" s="1"/>
  <c r="B39" i="7" s="1"/>
  <c r="I39" i="7" s="1"/>
  <c r="D39" i="7"/>
  <c r="O39" i="7"/>
  <c r="K35" i="5"/>
  <c r="L25" i="8" s="1"/>
  <c r="H25" i="8"/>
  <c r="O38" i="1"/>
  <c r="Q38" i="1" s="1"/>
  <c r="R38" i="1"/>
  <c r="E28" i="8"/>
  <c r="R38" i="7"/>
  <c r="J38" i="7"/>
  <c r="B27" i="8"/>
  <c r="K37" i="1"/>
  <c r="S37" i="1"/>
  <c r="N38" i="4"/>
  <c r="P38" i="4" s="1"/>
  <c r="Q38" i="4"/>
  <c r="Q32" i="5"/>
  <c r="P32" i="5"/>
  <c r="Q22" i="5"/>
  <c r="P22" i="5"/>
  <c r="Q30" i="5"/>
  <c r="P30" i="5"/>
  <c r="A39" i="5"/>
  <c r="D38" i="5"/>
  <c r="E38" i="5"/>
  <c r="P33" i="5"/>
  <c r="A42" i="4"/>
  <c r="D41" i="4"/>
  <c r="E41" i="4"/>
  <c r="O41" i="4"/>
  <c r="R36" i="5"/>
  <c r="J36" i="5"/>
  <c r="D26" i="8"/>
  <c r="Q39" i="4"/>
  <c r="Q21" i="5"/>
  <c r="P21" i="5"/>
  <c r="Q16" i="5"/>
  <c r="P16" i="5"/>
  <c r="Q20" i="5"/>
  <c r="P20" i="5"/>
  <c r="P35" i="5"/>
  <c r="K38" i="7" l="1"/>
  <c r="M28" i="8" s="1"/>
  <c r="I28" i="8"/>
  <c r="G39" i="7"/>
  <c r="C39" i="7" s="1"/>
  <c r="N39" i="7" s="1"/>
  <c r="P39" i="7" s="1"/>
  <c r="Q38" i="7"/>
  <c r="H26" i="8"/>
  <c r="K36" i="5"/>
  <c r="L26" i="8" s="1"/>
  <c r="F38" i="5"/>
  <c r="B38" i="5" s="1"/>
  <c r="I38" i="5" s="1"/>
  <c r="G38" i="5"/>
  <c r="C38" i="5" s="1"/>
  <c r="A41" i="7"/>
  <c r="E40" i="7"/>
  <c r="F40" i="7" s="1"/>
  <c r="B40" i="7" s="1"/>
  <c r="I40" i="7" s="1"/>
  <c r="D40" i="7"/>
  <c r="G40" i="7" s="1"/>
  <c r="C40" i="7" s="1"/>
  <c r="N40" i="7" s="1"/>
  <c r="P40" i="7" s="1"/>
  <c r="O40" i="7"/>
  <c r="B28" i="8"/>
  <c r="S38" i="1"/>
  <c r="K38" i="1"/>
  <c r="A40" i="5"/>
  <c r="D39" i="5"/>
  <c r="E39" i="5"/>
  <c r="O39" i="5"/>
  <c r="G37" i="5"/>
  <c r="C37" i="5" s="1"/>
  <c r="G29" i="8"/>
  <c r="K39" i="4"/>
  <c r="K29" i="8" s="1"/>
  <c r="H39" i="1"/>
  <c r="D39" i="1" s="1"/>
  <c r="R37" i="5"/>
  <c r="J37" i="5"/>
  <c r="D27" i="8"/>
  <c r="C39" i="1"/>
  <c r="J39" i="1"/>
  <c r="F41" i="4"/>
  <c r="B41" i="4" s="1"/>
  <c r="I41" i="4" s="1"/>
  <c r="L37" i="1"/>
  <c r="J27" i="8" s="1"/>
  <c r="F27" i="8"/>
  <c r="F40" i="1"/>
  <c r="G40" i="1" s="1"/>
  <c r="E40" i="1"/>
  <c r="G40" i="4"/>
  <c r="C40" i="4" s="1"/>
  <c r="E29" i="8"/>
  <c r="J39" i="7"/>
  <c r="R39" i="7"/>
  <c r="A43" i="4"/>
  <c r="E42" i="4"/>
  <c r="D42" i="4"/>
  <c r="O42" i="4"/>
  <c r="Q39" i="7"/>
  <c r="A42" i="1"/>
  <c r="B41" i="1"/>
  <c r="P41" i="1"/>
  <c r="C30" i="8"/>
  <c r="J40" i="4"/>
  <c r="R40" i="4"/>
  <c r="E41" i="1" l="1"/>
  <c r="F41" i="1"/>
  <c r="G41" i="1" s="1"/>
  <c r="L38" i="1"/>
  <c r="J28" i="8" s="1"/>
  <c r="F28" i="8"/>
  <c r="R38" i="5"/>
  <c r="D28" i="8"/>
  <c r="J38" i="5"/>
  <c r="O39" i="1"/>
  <c r="Q39" i="1" s="1"/>
  <c r="R39" i="1"/>
  <c r="S39" i="1"/>
  <c r="K39" i="1"/>
  <c r="B29" i="8"/>
  <c r="G41" i="4"/>
  <c r="C41" i="4" s="1"/>
  <c r="K39" i="7"/>
  <c r="M29" i="8" s="1"/>
  <c r="I29" i="8"/>
  <c r="N40" i="4"/>
  <c r="P40" i="4" s="1"/>
  <c r="Q40" i="4"/>
  <c r="N37" i="5"/>
  <c r="P37" i="5" s="1"/>
  <c r="Q37" i="5"/>
  <c r="J41" i="4"/>
  <c r="R41" i="4"/>
  <c r="C31" i="8"/>
  <c r="H40" i="1"/>
  <c r="D40" i="1" s="1"/>
  <c r="Q40" i="7"/>
  <c r="A41" i="5"/>
  <c r="D40" i="5"/>
  <c r="E40" i="5"/>
  <c r="O40" i="5"/>
  <c r="G42" i="4"/>
  <c r="C42" i="4" s="1"/>
  <c r="N42" i="4" s="1"/>
  <c r="P42" i="4" s="1"/>
  <c r="F42" i="4"/>
  <c r="B42" i="4" s="1"/>
  <c r="I42" i="4" s="1"/>
  <c r="N38" i="5"/>
  <c r="P38" i="5" s="1"/>
  <c r="Q38" i="5"/>
  <c r="A43" i="1"/>
  <c r="B42" i="1"/>
  <c r="P42" i="1"/>
  <c r="K37" i="5"/>
  <c r="L27" i="8" s="1"/>
  <c r="H27" i="8"/>
  <c r="E30" i="8"/>
  <c r="J40" i="7"/>
  <c r="R40" i="7"/>
  <c r="J40" i="1"/>
  <c r="C40" i="1"/>
  <c r="K40" i="4"/>
  <c r="K30" i="8" s="1"/>
  <c r="G30" i="8"/>
  <c r="A44" i="4"/>
  <c r="D43" i="4"/>
  <c r="E43" i="4"/>
  <c r="O43" i="4"/>
  <c r="F39" i="5"/>
  <c r="B39" i="5" s="1"/>
  <c r="I39" i="5" s="1"/>
  <c r="A42" i="7"/>
  <c r="E41" i="7"/>
  <c r="F41" i="7" s="1"/>
  <c r="B41" i="7" s="1"/>
  <c r="I41" i="7" s="1"/>
  <c r="D41" i="7"/>
  <c r="O41" i="7"/>
  <c r="G41" i="7" l="1"/>
  <c r="C41" i="7" s="1"/>
  <c r="N41" i="7" s="1"/>
  <c r="P41" i="7" s="1"/>
  <c r="A45" i="4"/>
  <c r="D44" i="4"/>
  <c r="E44" i="4"/>
  <c r="O44" i="4"/>
  <c r="R42" i="4"/>
  <c r="C32" i="8"/>
  <c r="J42" i="4"/>
  <c r="Q42" i="4"/>
  <c r="R41" i="7"/>
  <c r="J41" i="7"/>
  <c r="E31" i="8"/>
  <c r="H28" i="8"/>
  <c r="K38" i="5"/>
  <c r="L28" i="8" s="1"/>
  <c r="N41" i="4"/>
  <c r="P41" i="4" s="1"/>
  <c r="Q41" i="4"/>
  <c r="G39" i="5"/>
  <c r="C39" i="5" s="1"/>
  <c r="F42" i="1"/>
  <c r="G42" i="1" s="1"/>
  <c r="E42" i="1"/>
  <c r="G31" i="8"/>
  <c r="K41" i="4"/>
  <c r="K31" i="8" s="1"/>
  <c r="R39" i="5"/>
  <c r="D29" i="8"/>
  <c r="J39" i="5"/>
  <c r="K40" i="1"/>
  <c r="S40" i="1"/>
  <c r="B30" i="8"/>
  <c r="A44" i="1"/>
  <c r="B43" i="1"/>
  <c r="P43" i="1"/>
  <c r="F40" i="5"/>
  <c r="B40" i="5" s="1"/>
  <c r="I40" i="5" s="1"/>
  <c r="A42" i="5"/>
  <c r="E41" i="5"/>
  <c r="D41" i="5"/>
  <c r="O41" i="5"/>
  <c r="F29" i="8"/>
  <c r="L39" i="1"/>
  <c r="J29" i="8" s="1"/>
  <c r="K40" i="7"/>
  <c r="M30" i="8" s="1"/>
  <c r="I30" i="8"/>
  <c r="C41" i="1"/>
  <c r="J41" i="1"/>
  <c r="A43" i="7"/>
  <c r="D42" i="7"/>
  <c r="G42" i="7" s="1"/>
  <c r="C42" i="7" s="1"/>
  <c r="N42" i="7" s="1"/>
  <c r="P42" i="7" s="1"/>
  <c r="E42" i="7"/>
  <c r="F42" i="7" s="1"/>
  <c r="B42" i="7" s="1"/>
  <c r="I42" i="7" s="1"/>
  <c r="O42" i="7"/>
  <c r="Q41" i="7"/>
  <c r="F43" i="4"/>
  <c r="B43" i="4" s="1"/>
  <c r="I43" i="4" s="1"/>
  <c r="O40" i="1"/>
  <c r="Q40" i="1" s="1"/>
  <c r="R40" i="1"/>
  <c r="H41" i="1"/>
  <c r="D41" i="1" s="1"/>
  <c r="J42" i="7" l="1"/>
  <c r="R42" i="7"/>
  <c r="E32" i="8"/>
  <c r="K42" i="4"/>
  <c r="K32" i="8" s="1"/>
  <c r="G32" i="8"/>
  <c r="O41" i="1"/>
  <c r="Q41" i="1" s="1"/>
  <c r="R41" i="1"/>
  <c r="F43" i="1"/>
  <c r="G43" i="1" s="1"/>
  <c r="E43" i="1"/>
  <c r="A45" i="1"/>
  <c r="B44" i="1"/>
  <c r="P44" i="1"/>
  <c r="H42" i="1"/>
  <c r="D42" i="1" s="1"/>
  <c r="J42" i="1"/>
  <c r="C42" i="1"/>
  <c r="K41" i="1"/>
  <c r="S41" i="1"/>
  <c r="B31" i="8"/>
  <c r="N39" i="5"/>
  <c r="P39" i="5" s="1"/>
  <c r="Q39" i="5"/>
  <c r="I31" i="8"/>
  <c r="K41" i="7"/>
  <c r="M31" i="8" s="1"/>
  <c r="F44" i="4"/>
  <c r="B44" i="4" s="1"/>
  <c r="I44" i="4" s="1"/>
  <c r="A44" i="7"/>
  <c r="D43" i="7"/>
  <c r="E43" i="7"/>
  <c r="F43" i="7" s="1"/>
  <c r="B43" i="7" s="1"/>
  <c r="I43" i="7" s="1"/>
  <c r="O43" i="7"/>
  <c r="R43" i="4"/>
  <c r="C33" i="8"/>
  <c r="J43" i="4"/>
  <c r="R40" i="5"/>
  <c r="J40" i="5"/>
  <c r="D30" i="8"/>
  <c r="H29" i="8"/>
  <c r="K39" i="5"/>
  <c r="L29" i="8" s="1"/>
  <c r="A46" i="4"/>
  <c r="D45" i="4"/>
  <c r="E45" i="4"/>
  <c r="O45" i="4"/>
  <c r="F41" i="5"/>
  <c r="B41" i="5" s="1"/>
  <c r="I41" i="5" s="1"/>
  <c r="A43" i="5"/>
  <c r="E42" i="5"/>
  <c r="D42" i="5"/>
  <c r="O42" i="5"/>
  <c r="G43" i="4"/>
  <c r="C43" i="4" s="1"/>
  <c r="L40" i="1"/>
  <c r="J30" i="8" s="1"/>
  <c r="F30" i="8"/>
  <c r="Q42" i="7"/>
  <c r="G40" i="5"/>
  <c r="C40" i="5" s="1"/>
  <c r="F42" i="5" l="1"/>
  <c r="B42" i="5" s="1"/>
  <c r="I42" i="5" s="1"/>
  <c r="A47" i="4"/>
  <c r="E46" i="4"/>
  <c r="D46" i="4"/>
  <c r="O46" i="4"/>
  <c r="B32" i="8"/>
  <c r="S42" i="1"/>
  <c r="K42" i="1"/>
  <c r="N40" i="5"/>
  <c r="P40" i="5" s="1"/>
  <c r="Q40" i="5"/>
  <c r="O42" i="1"/>
  <c r="Q42" i="1" s="1"/>
  <c r="R42" i="1"/>
  <c r="G43" i="7"/>
  <c r="C43" i="7" s="1"/>
  <c r="N43" i="7" s="1"/>
  <c r="P43" i="7" s="1"/>
  <c r="G41" i="5"/>
  <c r="C41" i="5" s="1"/>
  <c r="K40" i="5"/>
  <c r="L30" i="8" s="1"/>
  <c r="H30" i="8"/>
  <c r="A45" i="7"/>
  <c r="D44" i="7"/>
  <c r="E44" i="7"/>
  <c r="F44" i="7" s="1"/>
  <c r="B44" i="7" s="1"/>
  <c r="I44" i="7" s="1"/>
  <c r="O44" i="7"/>
  <c r="F44" i="1"/>
  <c r="G44" i="1" s="1"/>
  <c r="E44" i="1"/>
  <c r="H44" i="1" s="1"/>
  <c r="D44" i="1" s="1"/>
  <c r="O44" i="1" s="1"/>
  <c r="Q44" i="1" s="1"/>
  <c r="A46" i="1"/>
  <c r="B45" i="1"/>
  <c r="P45" i="1"/>
  <c r="E33" i="8"/>
  <c r="R43" i="7"/>
  <c r="J43" i="7"/>
  <c r="R41" i="5"/>
  <c r="D31" i="8"/>
  <c r="J41" i="5"/>
  <c r="N43" i="4"/>
  <c r="P43" i="4" s="1"/>
  <c r="Q43" i="4"/>
  <c r="G33" i="8"/>
  <c r="K43" i="4"/>
  <c r="K33" i="8" s="1"/>
  <c r="G44" i="4"/>
  <c r="C44" i="4" s="1"/>
  <c r="L41" i="1"/>
  <c r="J31" i="8" s="1"/>
  <c r="F31" i="8"/>
  <c r="H43" i="1"/>
  <c r="D43" i="1" s="1"/>
  <c r="A44" i="5"/>
  <c r="E43" i="5"/>
  <c r="D43" i="5"/>
  <c r="O43" i="5"/>
  <c r="F45" i="4"/>
  <c r="B45" i="4" s="1"/>
  <c r="I45" i="4" s="1"/>
  <c r="J44" i="4"/>
  <c r="C34" i="8"/>
  <c r="R44" i="4"/>
  <c r="J43" i="1"/>
  <c r="C43" i="1"/>
  <c r="I32" i="8"/>
  <c r="K42" i="7"/>
  <c r="M32" i="8" s="1"/>
  <c r="C44" i="1" l="1"/>
  <c r="J44" i="1"/>
  <c r="F43" i="5"/>
  <c r="B43" i="5" s="1"/>
  <c r="I43" i="5" s="1"/>
  <c r="R44" i="1"/>
  <c r="K43" i="7"/>
  <c r="M33" i="8" s="1"/>
  <c r="I33" i="8"/>
  <c r="F46" i="4"/>
  <c r="B46" i="4" s="1"/>
  <c r="I46" i="4" s="1"/>
  <c r="S43" i="1"/>
  <c r="B33" i="8"/>
  <c r="K43" i="1"/>
  <c r="N41" i="5"/>
  <c r="P41" i="5" s="1"/>
  <c r="Q41" i="5"/>
  <c r="G44" i="7"/>
  <c r="C44" i="7" s="1"/>
  <c r="N44" i="7" s="1"/>
  <c r="P44" i="7" s="1"/>
  <c r="K44" i="4"/>
  <c r="K34" i="8" s="1"/>
  <c r="G34" i="8"/>
  <c r="K41" i="5"/>
  <c r="L31" i="8" s="1"/>
  <c r="H31" i="8"/>
  <c r="A46" i="7"/>
  <c r="E45" i="7"/>
  <c r="F45" i="7" s="1"/>
  <c r="B45" i="7" s="1"/>
  <c r="I45" i="7" s="1"/>
  <c r="D45" i="7"/>
  <c r="G45" i="7" s="1"/>
  <c r="C45" i="7" s="1"/>
  <c r="N45" i="7" s="1"/>
  <c r="P45" i="7" s="1"/>
  <c r="O45" i="7"/>
  <c r="A48" i="4"/>
  <c r="D47" i="4"/>
  <c r="E47" i="4"/>
  <c r="O47" i="4"/>
  <c r="E34" i="8"/>
  <c r="R44" i="7"/>
  <c r="J44" i="7"/>
  <c r="A45" i="5"/>
  <c r="E44" i="5"/>
  <c r="D44" i="5"/>
  <c r="O44" i="5"/>
  <c r="F45" i="1"/>
  <c r="G45" i="1" s="1"/>
  <c r="E45" i="1"/>
  <c r="O43" i="1"/>
  <c r="Q43" i="1" s="1"/>
  <c r="R43" i="1"/>
  <c r="B46" i="1"/>
  <c r="A47" i="1"/>
  <c r="P46" i="1"/>
  <c r="G45" i="4"/>
  <c r="C45" i="4" s="1"/>
  <c r="G42" i="5"/>
  <c r="C42" i="5" s="1"/>
  <c r="N44" i="4"/>
  <c r="P44" i="4" s="1"/>
  <c r="Q44" i="4"/>
  <c r="C35" i="8"/>
  <c r="J45" i="4"/>
  <c r="R45" i="4"/>
  <c r="Q43" i="7"/>
  <c r="L42" i="1"/>
  <c r="J32" i="8" s="1"/>
  <c r="F32" i="8"/>
  <c r="R42" i="5"/>
  <c r="D32" i="8"/>
  <c r="J42" i="5"/>
  <c r="H45" i="1" l="1"/>
  <c r="D45" i="1" s="1"/>
  <c r="A47" i="7"/>
  <c r="D46" i="7"/>
  <c r="E46" i="7"/>
  <c r="F46" i="7" s="1"/>
  <c r="B46" i="7" s="1"/>
  <c r="I46" i="7" s="1"/>
  <c r="O46" i="7"/>
  <c r="L43" i="1"/>
  <c r="J33" i="8" s="1"/>
  <c r="F33" i="8"/>
  <c r="J45" i="1"/>
  <c r="C45" i="1"/>
  <c r="F44" i="5"/>
  <c r="B44" i="5" s="1"/>
  <c r="I44" i="5" s="1"/>
  <c r="F47" i="4"/>
  <c r="B47" i="4" s="1"/>
  <c r="I47" i="4" s="1"/>
  <c r="Q44" i="7"/>
  <c r="B47" i="1"/>
  <c r="A48" i="1"/>
  <c r="P47" i="1"/>
  <c r="A49" i="4"/>
  <c r="D48" i="4"/>
  <c r="E48" i="4"/>
  <c r="O48" i="4"/>
  <c r="G43" i="5"/>
  <c r="C43" i="5" s="1"/>
  <c r="N42" i="5"/>
  <c r="P42" i="5" s="1"/>
  <c r="Q42" i="5"/>
  <c r="N45" i="4"/>
  <c r="P45" i="4" s="1"/>
  <c r="Q45" i="4"/>
  <c r="K45" i="4"/>
  <c r="K35" i="8" s="1"/>
  <c r="G35" i="8"/>
  <c r="F46" i="1"/>
  <c r="G46" i="1" s="1"/>
  <c r="E46" i="1"/>
  <c r="H46" i="1" s="1"/>
  <c r="D46" i="1" s="1"/>
  <c r="O46" i="1" s="1"/>
  <c r="Q46" i="1" s="1"/>
  <c r="A46" i="5"/>
  <c r="D45" i="5"/>
  <c r="E45" i="5"/>
  <c r="O45" i="5"/>
  <c r="Q45" i="7"/>
  <c r="G46" i="4"/>
  <c r="C46" i="4" s="1"/>
  <c r="R43" i="5"/>
  <c r="D33" i="8"/>
  <c r="J43" i="5"/>
  <c r="H32" i="8"/>
  <c r="K42" i="5"/>
  <c r="L32" i="8" s="1"/>
  <c r="I34" i="8"/>
  <c r="K44" i="7"/>
  <c r="M34" i="8" s="1"/>
  <c r="R46" i="4"/>
  <c r="J46" i="4"/>
  <c r="C36" i="8"/>
  <c r="S44" i="1"/>
  <c r="K44" i="1"/>
  <c r="B34" i="8"/>
  <c r="E35" i="8"/>
  <c r="J45" i="7"/>
  <c r="R45" i="7"/>
  <c r="K46" i="4" l="1"/>
  <c r="K36" i="8" s="1"/>
  <c r="G36" i="8"/>
  <c r="J46" i="1"/>
  <c r="C46" i="1"/>
  <c r="F48" i="4"/>
  <c r="B48" i="4" s="1"/>
  <c r="I48" i="4" s="1"/>
  <c r="C37" i="8"/>
  <c r="R47" i="4"/>
  <c r="J47" i="4"/>
  <c r="A50" i="4"/>
  <c r="D49" i="4"/>
  <c r="E49" i="4"/>
  <c r="O49" i="4"/>
  <c r="G47" i="4"/>
  <c r="C47" i="4" s="1"/>
  <c r="R44" i="5"/>
  <c r="D34" i="8"/>
  <c r="J44" i="5"/>
  <c r="R46" i="7"/>
  <c r="E36" i="8"/>
  <c r="J46" i="7"/>
  <c r="N46" i="4"/>
  <c r="P46" i="4" s="1"/>
  <c r="Q46" i="4"/>
  <c r="K45" i="7"/>
  <c r="M35" i="8" s="1"/>
  <c r="I35" i="8"/>
  <c r="F45" i="5"/>
  <c r="B45" i="5" s="1"/>
  <c r="I45" i="5" s="1"/>
  <c r="G45" i="5"/>
  <c r="C45" i="5" s="1"/>
  <c r="N45" i="5" s="1"/>
  <c r="P45" i="5" s="1"/>
  <c r="A49" i="1"/>
  <c r="B48" i="1"/>
  <c r="P48" i="1"/>
  <c r="G44" i="5"/>
  <c r="C44" i="5" s="1"/>
  <c r="G46" i="7"/>
  <c r="C46" i="7" s="1"/>
  <c r="N46" i="7" s="1"/>
  <c r="P46" i="7" s="1"/>
  <c r="L44" i="1"/>
  <c r="J34" i="8" s="1"/>
  <c r="F34" i="8"/>
  <c r="K43" i="5"/>
  <c r="L33" i="8" s="1"/>
  <c r="H33" i="8"/>
  <c r="A47" i="5"/>
  <c r="E46" i="5"/>
  <c r="D46" i="5"/>
  <c r="O46" i="5"/>
  <c r="F47" i="1"/>
  <c r="G47" i="1" s="1"/>
  <c r="E47" i="1"/>
  <c r="H47" i="1" s="1"/>
  <c r="D47" i="1" s="1"/>
  <c r="O47" i="1" s="1"/>
  <c r="Q47" i="1" s="1"/>
  <c r="A48" i="7"/>
  <c r="E47" i="7"/>
  <c r="F47" i="7" s="1"/>
  <c r="B47" i="7" s="1"/>
  <c r="I47" i="7" s="1"/>
  <c r="D47" i="7"/>
  <c r="G47" i="7" s="1"/>
  <c r="C47" i="7" s="1"/>
  <c r="N47" i="7" s="1"/>
  <c r="P47" i="7" s="1"/>
  <c r="O47" i="7"/>
  <c r="N43" i="5"/>
  <c r="P43" i="5" s="1"/>
  <c r="Q43" i="5"/>
  <c r="R46" i="1"/>
  <c r="B35" i="8"/>
  <c r="S45" i="1"/>
  <c r="K45" i="1"/>
  <c r="O45" i="1"/>
  <c r="Q45" i="1" s="1"/>
  <c r="R45" i="1"/>
  <c r="J47" i="7" l="1"/>
  <c r="E37" i="8"/>
  <c r="R47" i="7"/>
  <c r="E48" i="1"/>
  <c r="F48" i="1"/>
  <c r="G48" i="1" s="1"/>
  <c r="I36" i="8"/>
  <c r="K46" i="7"/>
  <c r="M36" i="8" s="1"/>
  <c r="G48" i="4"/>
  <c r="C48" i="4" s="1"/>
  <c r="R48" i="4"/>
  <c r="C38" i="8"/>
  <c r="J48" i="4"/>
  <c r="F49" i="4"/>
  <c r="B49" i="4" s="1"/>
  <c r="I49" i="4" s="1"/>
  <c r="A48" i="5"/>
  <c r="D47" i="5"/>
  <c r="E47" i="5"/>
  <c r="O47" i="5"/>
  <c r="L45" i="1"/>
  <c r="J35" i="8" s="1"/>
  <c r="F35" i="8"/>
  <c r="A49" i="7"/>
  <c r="E48" i="7"/>
  <c r="F48" i="7" s="1"/>
  <c r="B48" i="7" s="1"/>
  <c r="I48" i="7" s="1"/>
  <c r="D48" i="7"/>
  <c r="G48" i="7" s="1"/>
  <c r="C48" i="7" s="1"/>
  <c r="N48" i="7" s="1"/>
  <c r="P48" i="7" s="1"/>
  <c r="O48" i="7"/>
  <c r="B49" i="1"/>
  <c r="A50" i="1"/>
  <c r="P49" i="1"/>
  <c r="R45" i="5"/>
  <c r="J45" i="5"/>
  <c r="D35" i="8"/>
  <c r="A51" i="4"/>
  <c r="D50" i="4"/>
  <c r="E50" i="4"/>
  <c r="O50" i="4"/>
  <c r="C47" i="1"/>
  <c r="J47" i="1"/>
  <c r="K44" i="5"/>
  <c r="L34" i="8" s="1"/>
  <c r="H34" i="8"/>
  <c r="R47" i="1"/>
  <c r="Q45" i="5"/>
  <c r="B36" i="8"/>
  <c r="S46" i="1"/>
  <c r="K46" i="1"/>
  <c r="F46" i="5"/>
  <c r="B46" i="5" s="1"/>
  <c r="I46" i="5" s="1"/>
  <c r="K47" i="4"/>
  <c r="K37" i="8" s="1"/>
  <c r="G37" i="8"/>
  <c r="N47" i="4"/>
  <c r="P47" i="4" s="1"/>
  <c r="Q47" i="4"/>
  <c r="Q47" i="7"/>
  <c r="N44" i="5"/>
  <c r="P44" i="5" s="1"/>
  <c r="Q44" i="5"/>
  <c r="Q46" i="7"/>
  <c r="J48" i="7" l="1"/>
  <c r="R48" i="7"/>
  <c r="E38" i="8"/>
  <c r="G49" i="4"/>
  <c r="C49" i="4" s="1"/>
  <c r="C39" i="8"/>
  <c r="R49" i="4"/>
  <c r="J49" i="4"/>
  <c r="A49" i="5"/>
  <c r="E48" i="5"/>
  <c r="D48" i="5"/>
  <c r="O48" i="5"/>
  <c r="G38" i="8"/>
  <c r="K48" i="4"/>
  <c r="K38" i="8" s="1"/>
  <c r="C48" i="1"/>
  <c r="J48" i="1"/>
  <c r="R46" i="5"/>
  <c r="J46" i="5"/>
  <c r="D36" i="8"/>
  <c r="B37" i="8"/>
  <c r="S47" i="1"/>
  <c r="K47" i="1"/>
  <c r="H48" i="1"/>
  <c r="D48" i="1" s="1"/>
  <c r="A52" i="4"/>
  <c r="D51" i="4"/>
  <c r="E51" i="4"/>
  <c r="O51" i="4"/>
  <c r="K45" i="5"/>
  <c r="L35" i="8" s="1"/>
  <c r="H35" i="8"/>
  <c r="A51" i="1"/>
  <c r="B50" i="1"/>
  <c r="P50" i="1"/>
  <c r="G46" i="5"/>
  <c r="C46" i="5" s="1"/>
  <c r="A50" i="7"/>
  <c r="E49" i="7"/>
  <c r="F49" i="7" s="1"/>
  <c r="B49" i="7" s="1"/>
  <c r="I49" i="7" s="1"/>
  <c r="D49" i="7"/>
  <c r="O49" i="7"/>
  <c r="E49" i="1"/>
  <c r="H49" i="1" s="1"/>
  <c r="D49" i="1" s="1"/>
  <c r="O49" i="1" s="1"/>
  <c r="Q49" i="1" s="1"/>
  <c r="F49" i="1"/>
  <c r="G49" i="1" s="1"/>
  <c r="F36" i="8"/>
  <c r="L46" i="1"/>
  <c r="J36" i="8" s="1"/>
  <c r="F50" i="4"/>
  <c r="B50" i="4" s="1"/>
  <c r="I50" i="4" s="1"/>
  <c r="Q48" i="7"/>
  <c r="F47" i="5"/>
  <c r="B47" i="5" s="1"/>
  <c r="I47" i="5" s="1"/>
  <c r="N48" i="4"/>
  <c r="P48" i="4" s="1"/>
  <c r="Q48" i="4"/>
  <c r="K47" i="7"/>
  <c r="M37" i="8" s="1"/>
  <c r="I37" i="8"/>
  <c r="E50" i="1" l="1"/>
  <c r="F50" i="1"/>
  <c r="G50" i="1" s="1"/>
  <c r="A53" i="4"/>
  <c r="D52" i="4"/>
  <c r="E52" i="4"/>
  <c r="O52" i="4"/>
  <c r="A50" i="5"/>
  <c r="E49" i="5"/>
  <c r="D49" i="5"/>
  <c r="O49" i="5"/>
  <c r="O48" i="1"/>
  <c r="Q48" i="1" s="1"/>
  <c r="R48" i="1"/>
  <c r="K49" i="4"/>
  <c r="K39" i="8" s="1"/>
  <c r="G39" i="8"/>
  <c r="G49" i="7"/>
  <c r="C49" i="7" s="1"/>
  <c r="N49" i="7" s="1"/>
  <c r="P49" i="7" s="1"/>
  <c r="R49" i="1"/>
  <c r="E39" i="8"/>
  <c r="J49" i="7"/>
  <c r="R49" i="7"/>
  <c r="F37" i="8"/>
  <c r="L47" i="1"/>
  <c r="J37" i="8" s="1"/>
  <c r="C40" i="8"/>
  <c r="J50" i="4"/>
  <c r="R50" i="4"/>
  <c r="G50" i="4"/>
  <c r="C50" i="4" s="1"/>
  <c r="A51" i="7"/>
  <c r="D50" i="7"/>
  <c r="E50" i="7"/>
  <c r="F50" i="7" s="1"/>
  <c r="B50" i="7" s="1"/>
  <c r="I50" i="7" s="1"/>
  <c r="O50" i="7"/>
  <c r="N49" i="4"/>
  <c r="P49" i="4" s="1"/>
  <c r="Q49" i="4"/>
  <c r="N46" i="5"/>
  <c r="P46" i="5" s="1"/>
  <c r="Q46" i="5"/>
  <c r="B51" i="1"/>
  <c r="A52" i="1"/>
  <c r="P51" i="1"/>
  <c r="K48" i="1"/>
  <c r="S48" i="1"/>
  <c r="B38" i="8"/>
  <c r="F48" i="5"/>
  <c r="B48" i="5" s="1"/>
  <c r="I48" i="5" s="1"/>
  <c r="R47" i="5"/>
  <c r="D37" i="8"/>
  <c r="J47" i="5"/>
  <c r="G47" i="5"/>
  <c r="C47" i="5" s="1"/>
  <c r="J49" i="1"/>
  <c r="C49" i="1"/>
  <c r="F51" i="4"/>
  <c r="B51" i="4" s="1"/>
  <c r="I51" i="4" s="1"/>
  <c r="H36" i="8"/>
  <c r="K46" i="5"/>
  <c r="L36" i="8" s="1"/>
  <c r="K48" i="7"/>
  <c r="M38" i="8" s="1"/>
  <c r="I38" i="8"/>
  <c r="F38" i="8" l="1"/>
  <c r="L48" i="1"/>
  <c r="J38" i="8" s="1"/>
  <c r="Q49" i="7"/>
  <c r="A51" i="5"/>
  <c r="D50" i="5"/>
  <c r="E50" i="5"/>
  <c r="O50" i="5"/>
  <c r="B52" i="1"/>
  <c r="A53" i="1"/>
  <c r="P52" i="1"/>
  <c r="N47" i="5"/>
  <c r="P47" i="5" s="1"/>
  <c r="Q47" i="5"/>
  <c r="Q50" i="7"/>
  <c r="K47" i="5"/>
  <c r="L37" i="8" s="1"/>
  <c r="H37" i="8"/>
  <c r="K50" i="4"/>
  <c r="K40" i="8" s="1"/>
  <c r="G40" i="8"/>
  <c r="E40" i="8"/>
  <c r="J50" i="7"/>
  <c r="R50" i="7"/>
  <c r="F52" i="4"/>
  <c r="B52" i="4" s="1"/>
  <c r="I52" i="4" s="1"/>
  <c r="E51" i="1"/>
  <c r="F51" i="1"/>
  <c r="G51" i="1" s="1"/>
  <c r="G50" i="7"/>
  <c r="C50" i="7" s="1"/>
  <c r="N50" i="7" s="1"/>
  <c r="P50" i="7" s="1"/>
  <c r="A54" i="4"/>
  <c r="D53" i="4"/>
  <c r="E53" i="4"/>
  <c r="O53" i="4"/>
  <c r="R48" i="5"/>
  <c r="J48" i="5"/>
  <c r="D38" i="8"/>
  <c r="A52" i="7"/>
  <c r="D51" i="7"/>
  <c r="E51" i="7"/>
  <c r="F51" i="7" s="1"/>
  <c r="B51" i="7" s="1"/>
  <c r="I51" i="7" s="1"/>
  <c r="O51" i="7"/>
  <c r="I39" i="8"/>
  <c r="K49" i="7"/>
  <c r="M39" i="8" s="1"/>
  <c r="C50" i="1"/>
  <c r="J50" i="1"/>
  <c r="J51" i="4"/>
  <c r="R51" i="4"/>
  <c r="C41" i="8"/>
  <c r="G51" i="4"/>
  <c r="C51" i="4" s="1"/>
  <c r="G48" i="5"/>
  <c r="C48" i="5" s="1"/>
  <c r="K49" i="1"/>
  <c r="S49" i="1"/>
  <c r="B39" i="8"/>
  <c r="N50" i="4"/>
  <c r="P50" i="4" s="1"/>
  <c r="Q50" i="4"/>
  <c r="F49" i="5"/>
  <c r="B49" i="5" s="1"/>
  <c r="I49" i="5" s="1"/>
  <c r="H50" i="1"/>
  <c r="D50" i="1" s="1"/>
  <c r="G52" i="4" l="1"/>
  <c r="C52" i="4" s="1"/>
  <c r="J52" i="4"/>
  <c r="C42" i="8"/>
  <c r="R52" i="4"/>
  <c r="Q51" i="7"/>
  <c r="O50" i="1"/>
  <c r="Q50" i="1" s="1"/>
  <c r="R50" i="1"/>
  <c r="N51" i="4"/>
  <c r="P51" i="4" s="1"/>
  <c r="Q51" i="4"/>
  <c r="K50" i="7"/>
  <c r="M40" i="8" s="1"/>
  <c r="I40" i="8"/>
  <c r="F50" i="5"/>
  <c r="B50" i="5" s="1"/>
  <c r="I50" i="5" s="1"/>
  <c r="G50" i="5"/>
  <c r="C50" i="5" s="1"/>
  <c r="N50" i="5" s="1"/>
  <c r="P50" i="5" s="1"/>
  <c r="N48" i="5"/>
  <c r="P48" i="5" s="1"/>
  <c r="Q48" i="5"/>
  <c r="K51" i="4"/>
  <c r="K41" i="8" s="1"/>
  <c r="G41" i="8"/>
  <c r="G51" i="7"/>
  <c r="C51" i="7" s="1"/>
  <c r="N51" i="7" s="1"/>
  <c r="P51" i="7" s="1"/>
  <c r="A55" i="4"/>
  <c r="D54" i="4"/>
  <c r="E54" i="4"/>
  <c r="O54" i="4"/>
  <c r="A52" i="5"/>
  <c r="E51" i="5"/>
  <c r="D51" i="5"/>
  <c r="O51" i="5"/>
  <c r="J51" i="7"/>
  <c r="E41" i="8"/>
  <c r="R51" i="7"/>
  <c r="R49" i="5"/>
  <c r="J49" i="5"/>
  <c r="D39" i="8"/>
  <c r="J51" i="1"/>
  <c r="C51" i="1"/>
  <c r="F52" i="1"/>
  <c r="G52" i="1" s="1"/>
  <c r="E52" i="1"/>
  <c r="G49" i="5"/>
  <c r="C49" i="5" s="1"/>
  <c r="F53" i="4"/>
  <c r="B53" i="4" s="1"/>
  <c r="I53" i="4" s="1"/>
  <c r="B40" i="8"/>
  <c r="S50" i="1"/>
  <c r="K50" i="1"/>
  <c r="A53" i="7"/>
  <c r="D52" i="7"/>
  <c r="E52" i="7"/>
  <c r="F52" i="7" s="1"/>
  <c r="B52" i="7" s="1"/>
  <c r="I52" i="7" s="1"/>
  <c r="O52" i="7"/>
  <c r="L49" i="1"/>
  <c r="J39" i="8" s="1"/>
  <c r="F39" i="8"/>
  <c r="H38" i="8"/>
  <c r="K48" i="5"/>
  <c r="L38" i="8" s="1"/>
  <c r="H51" i="1"/>
  <c r="D51" i="1" s="1"/>
  <c r="A54" i="1"/>
  <c r="B53" i="1"/>
  <c r="P53" i="1"/>
  <c r="B54" i="1" l="1"/>
  <c r="A55" i="1"/>
  <c r="P54" i="1"/>
  <c r="J52" i="7"/>
  <c r="R52" i="7"/>
  <c r="E42" i="8"/>
  <c r="C52" i="1"/>
  <c r="J52" i="1"/>
  <c r="K51" i="7"/>
  <c r="M41" i="8" s="1"/>
  <c r="I41" i="8"/>
  <c r="A56" i="4"/>
  <c r="D55" i="4"/>
  <c r="E55" i="4"/>
  <c r="O55" i="4"/>
  <c r="R50" i="5"/>
  <c r="D40" i="8"/>
  <c r="J50" i="5"/>
  <c r="N49" i="5"/>
  <c r="P49" i="5" s="1"/>
  <c r="Q49" i="5"/>
  <c r="G52" i="7"/>
  <c r="C52" i="7" s="1"/>
  <c r="N52" i="7" s="1"/>
  <c r="P52" i="7" s="1"/>
  <c r="A54" i="7"/>
  <c r="E53" i="7"/>
  <c r="F53" i="7" s="1"/>
  <c r="B53" i="7" s="1"/>
  <c r="I53" i="7" s="1"/>
  <c r="D53" i="7"/>
  <c r="O53" i="7"/>
  <c r="F54" i="4"/>
  <c r="B54" i="4" s="1"/>
  <c r="I54" i="4" s="1"/>
  <c r="K51" i="1"/>
  <c r="S51" i="1"/>
  <c r="B41" i="8"/>
  <c r="F51" i="5"/>
  <c r="B51" i="5" s="1"/>
  <c r="I51" i="5" s="1"/>
  <c r="K52" i="4"/>
  <c r="K42" i="8" s="1"/>
  <c r="G42" i="8"/>
  <c r="E53" i="1"/>
  <c r="F53" i="1"/>
  <c r="G53" i="1" s="1"/>
  <c r="O51" i="1"/>
  <c r="Q51" i="1" s="1"/>
  <c r="R51" i="1"/>
  <c r="F40" i="8"/>
  <c r="L50" i="1"/>
  <c r="J40" i="8" s="1"/>
  <c r="Q50" i="5"/>
  <c r="H52" i="1"/>
  <c r="D52" i="1" s="1"/>
  <c r="C43" i="8"/>
  <c r="J53" i="4"/>
  <c r="R53" i="4"/>
  <c r="Q52" i="7"/>
  <c r="G53" i="4"/>
  <c r="C53" i="4" s="1"/>
  <c r="H39" i="8"/>
  <c r="K49" i="5"/>
  <c r="L39" i="8" s="1"/>
  <c r="A53" i="5"/>
  <c r="E52" i="5"/>
  <c r="D52" i="5"/>
  <c r="O52" i="5"/>
  <c r="N52" i="4"/>
  <c r="P52" i="4" s="1"/>
  <c r="Q52" i="4"/>
  <c r="G51" i="5" l="1"/>
  <c r="C51" i="5" s="1"/>
  <c r="K52" i="1"/>
  <c r="S52" i="1"/>
  <c r="B42" i="8"/>
  <c r="R51" i="5"/>
  <c r="D41" i="8"/>
  <c r="J51" i="5"/>
  <c r="G53" i="7"/>
  <c r="C53" i="7" s="1"/>
  <c r="N53" i="7" s="1"/>
  <c r="P53" i="7" s="1"/>
  <c r="R53" i="7"/>
  <c r="J53" i="7"/>
  <c r="E43" i="8"/>
  <c r="G43" i="8"/>
  <c r="K53" i="4"/>
  <c r="K43" i="8" s="1"/>
  <c r="A55" i="7"/>
  <c r="E54" i="7"/>
  <c r="F54" i="7" s="1"/>
  <c r="B54" i="7" s="1"/>
  <c r="I54" i="7" s="1"/>
  <c r="D54" i="7"/>
  <c r="O54" i="7"/>
  <c r="C53" i="1"/>
  <c r="J53" i="1"/>
  <c r="L51" i="1"/>
  <c r="J41" i="8" s="1"/>
  <c r="F41" i="8"/>
  <c r="F55" i="4"/>
  <c r="B55" i="4" s="1"/>
  <c r="I55" i="4" s="1"/>
  <c r="G55" i="4"/>
  <c r="C55" i="4" s="1"/>
  <c r="N55" i="4" s="1"/>
  <c r="P55" i="4" s="1"/>
  <c r="I42" i="8"/>
  <c r="K52" i="7"/>
  <c r="M42" i="8" s="1"/>
  <c r="F52" i="5"/>
  <c r="B52" i="5" s="1"/>
  <c r="I52" i="5" s="1"/>
  <c r="A54" i="5"/>
  <c r="E53" i="5"/>
  <c r="D53" i="5"/>
  <c r="O53" i="5"/>
  <c r="R54" i="4"/>
  <c r="J54" i="4"/>
  <c r="C44" i="8"/>
  <c r="A57" i="4"/>
  <c r="E56" i="4"/>
  <c r="D56" i="4"/>
  <c r="O56" i="4"/>
  <c r="O52" i="1"/>
  <c r="Q52" i="1" s="1"/>
  <c r="R52" i="1"/>
  <c r="G54" i="4"/>
  <c r="C54" i="4" s="1"/>
  <c r="A56" i="1"/>
  <c r="B55" i="1"/>
  <c r="P55" i="1"/>
  <c r="H53" i="1"/>
  <c r="D53" i="1" s="1"/>
  <c r="N53" i="4"/>
  <c r="P53" i="4" s="1"/>
  <c r="Q53" i="4"/>
  <c r="K50" i="5"/>
  <c r="L40" i="8" s="1"/>
  <c r="H40" i="8"/>
  <c r="E54" i="1"/>
  <c r="F54" i="1"/>
  <c r="G54" i="1" s="1"/>
  <c r="F53" i="5" l="1"/>
  <c r="B53" i="5" s="1"/>
  <c r="I53" i="5" s="1"/>
  <c r="R55" i="4"/>
  <c r="J55" i="4"/>
  <c r="C45" i="8"/>
  <c r="A56" i="7"/>
  <c r="D55" i="7"/>
  <c r="E55" i="7"/>
  <c r="F55" i="7" s="1"/>
  <c r="B55" i="7" s="1"/>
  <c r="I55" i="7" s="1"/>
  <c r="O55" i="7"/>
  <c r="K51" i="5"/>
  <c r="L41" i="8" s="1"/>
  <c r="H41" i="8"/>
  <c r="J54" i="7"/>
  <c r="R54" i="7"/>
  <c r="E44" i="8"/>
  <c r="F56" i="4"/>
  <c r="B56" i="4" s="1"/>
  <c r="I56" i="4" s="1"/>
  <c r="G56" i="4"/>
  <c r="C56" i="4" s="1"/>
  <c r="N56" i="4" s="1"/>
  <c r="P56" i="4" s="1"/>
  <c r="H54" i="1"/>
  <c r="D54" i="1" s="1"/>
  <c r="B56" i="1"/>
  <c r="A57" i="1"/>
  <c r="P56" i="1"/>
  <c r="A55" i="5"/>
  <c r="D54" i="5"/>
  <c r="E54" i="5"/>
  <c r="O54" i="5"/>
  <c r="F55" i="1"/>
  <c r="G55" i="1" s="1"/>
  <c r="E55" i="1"/>
  <c r="R52" i="5"/>
  <c r="D42" i="8"/>
  <c r="J52" i="5"/>
  <c r="S53" i="1"/>
  <c r="K53" i="1"/>
  <c r="B43" i="8"/>
  <c r="Q55" i="4"/>
  <c r="O53" i="1"/>
  <c r="Q53" i="1" s="1"/>
  <c r="R53" i="1"/>
  <c r="C54" i="1"/>
  <c r="J54" i="1"/>
  <c r="N54" i="4"/>
  <c r="P54" i="4" s="1"/>
  <c r="Q54" i="4"/>
  <c r="A58" i="4"/>
  <c r="D57" i="4"/>
  <c r="E57" i="4"/>
  <c r="O57" i="4"/>
  <c r="G52" i="5"/>
  <c r="C52" i="5" s="1"/>
  <c r="N51" i="5"/>
  <c r="P51" i="5" s="1"/>
  <c r="Q51" i="5"/>
  <c r="K54" i="4"/>
  <c r="K44" i="8" s="1"/>
  <c r="G44" i="8"/>
  <c r="K53" i="7"/>
  <c r="M43" i="8" s="1"/>
  <c r="I43" i="8"/>
  <c r="F42" i="8"/>
  <c r="L52" i="1"/>
  <c r="J42" i="8" s="1"/>
  <c r="G54" i="7"/>
  <c r="C54" i="7" s="1"/>
  <c r="N54" i="7" s="1"/>
  <c r="P54" i="7" s="1"/>
  <c r="Q53" i="7"/>
  <c r="F57" i="4" l="1"/>
  <c r="B57" i="4" s="1"/>
  <c r="I57" i="4" s="1"/>
  <c r="J56" i="4"/>
  <c r="R56" i="4"/>
  <c r="C46" i="8"/>
  <c r="G55" i="7"/>
  <c r="C55" i="7" s="1"/>
  <c r="N55" i="7" s="1"/>
  <c r="P55" i="7" s="1"/>
  <c r="F54" i="5"/>
  <c r="B54" i="5" s="1"/>
  <c r="I54" i="5" s="1"/>
  <c r="A57" i="7"/>
  <c r="D56" i="7"/>
  <c r="E56" i="7"/>
  <c r="F56" i="7" s="1"/>
  <c r="B56" i="7" s="1"/>
  <c r="I56" i="7" s="1"/>
  <c r="O56" i="7"/>
  <c r="N52" i="5"/>
  <c r="P52" i="5" s="1"/>
  <c r="Q52" i="5"/>
  <c r="A56" i="5"/>
  <c r="E55" i="5"/>
  <c r="D55" i="5"/>
  <c r="O55" i="5"/>
  <c r="J55" i="7"/>
  <c r="E45" i="8"/>
  <c r="R55" i="7"/>
  <c r="I44" i="8"/>
  <c r="K54" i="7"/>
  <c r="M44" i="8" s="1"/>
  <c r="K55" i="4"/>
  <c r="K45" i="8" s="1"/>
  <c r="G45" i="8"/>
  <c r="F43" i="8"/>
  <c r="L53" i="1"/>
  <c r="J43" i="8" s="1"/>
  <c r="Q56" i="4"/>
  <c r="B44" i="8"/>
  <c r="K54" i="1"/>
  <c r="S54" i="1"/>
  <c r="K52" i="5"/>
  <c r="L42" i="8" s="1"/>
  <c r="H42" i="8"/>
  <c r="Q54" i="7"/>
  <c r="H55" i="1"/>
  <c r="D55" i="1" s="1"/>
  <c r="A58" i="1"/>
  <c r="B57" i="1"/>
  <c r="P57" i="1"/>
  <c r="C55" i="1"/>
  <c r="J55" i="1"/>
  <c r="E56" i="1"/>
  <c r="F56" i="1"/>
  <c r="G56" i="1" s="1"/>
  <c r="R53" i="5"/>
  <c r="D43" i="8"/>
  <c r="J53" i="5"/>
  <c r="A59" i="4"/>
  <c r="D58" i="4"/>
  <c r="E58" i="4"/>
  <c r="O58" i="4"/>
  <c r="O54" i="1"/>
  <c r="Q54" i="1" s="1"/>
  <c r="R54" i="1"/>
  <c r="Q55" i="7"/>
  <c r="G53" i="5"/>
  <c r="C53" i="5" s="1"/>
  <c r="N53" i="5" l="1"/>
  <c r="P53" i="5" s="1"/>
  <c r="Q53" i="5"/>
  <c r="K53" i="5"/>
  <c r="L43" i="8" s="1"/>
  <c r="H43" i="8"/>
  <c r="F57" i="1"/>
  <c r="G57" i="1" s="1"/>
  <c r="E57" i="1"/>
  <c r="A57" i="5"/>
  <c r="D56" i="5"/>
  <c r="E56" i="5"/>
  <c r="O56" i="5"/>
  <c r="R54" i="5"/>
  <c r="D44" i="8"/>
  <c r="J54" i="5"/>
  <c r="C56" i="1"/>
  <c r="J56" i="1"/>
  <c r="B58" i="1"/>
  <c r="A59" i="1"/>
  <c r="P58" i="1"/>
  <c r="H56" i="1"/>
  <c r="D56" i="1" s="1"/>
  <c r="K55" i="7"/>
  <c r="M45" i="8" s="1"/>
  <c r="I45" i="8"/>
  <c r="E46" i="8"/>
  <c r="J56" i="7"/>
  <c r="R56" i="7"/>
  <c r="S55" i="1"/>
  <c r="B45" i="8"/>
  <c r="K55" i="1"/>
  <c r="G56" i="7"/>
  <c r="C56" i="7" s="1"/>
  <c r="N56" i="7" s="1"/>
  <c r="P56" i="7" s="1"/>
  <c r="G46" i="8"/>
  <c r="K56" i="4"/>
  <c r="K46" i="8" s="1"/>
  <c r="F55" i="5"/>
  <c r="B55" i="5" s="1"/>
  <c r="I55" i="5" s="1"/>
  <c r="A58" i="7"/>
  <c r="D57" i="7"/>
  <c r="E57" i="7"/>
  <c r="F57" i="7" s="1"/>
  <c r="B57" i="7" s="1"/>
  <c r="I57" i="7" s="1"/>
  <c r="O57" i="7"/>
  <c r="R57" i="4"/>
  <c r="J57" i="4"/>
  <c r="C47" i="8"/>
  <c r="O55" i="1"/>
  <c r="Q55" i="1" s="1"/>
  <c r="R55" i="1"/>
  <c r="F58" i="4"/>
  <c r="B58" i="4" s="1"/>
  <c r="I58" i="4" s="1"/>
  <c r="A60" i="4"/>
  <c r="D59" i="4"/>
  <c r="E59" i="4"/>
  <c r="O59" i="4"/>
  <c r="F44" i="8"/>
  <c r="L54" i="1"/>
  <c r="J44" i="8" s="1"/>
  <c r="G54" i="5"/>
  <c r="C54" i="5" s="1"/>
  <c r="G57" i="4"/>
  <c r="C57" i="4" s="1"/>
  <c r="F59" i="4" l="1"/>
  <c r="B59" i="4" s="1"/>
  <c r="I59" i="4" s="1"/>
  <c r="I46" i="8"/>
  <c r="K56" i="7"/>
  <c r="M46" i="8" s="1"/>
  <c r="Q56" i="7"/>
  <c r="F56" i="5"/>
  <c r="B56" i="5" s="1"/>
  <c r="I56" i="5" s="1"/>
  <c r="G56" i="5"/>
  <c r="C56" i="5" s="1"/>
  <c r="N56" i="5" s="1"/>
  <c r="P56" i="5" s="1"/>
  <c r="H57" i="1"/>
  <c r="D57" i="1" s="1"/>
  <c r="N57" i="4"/>
  <c r="P57" i="4" s="1"/>
  <c r="Q57" i="4"/>
  <c r="A58" i="5"/>
  <c r="E57" i="5"/>
  <c r="D57" i="5"/>
  <c r="O57" i="5"/>
  <c r="C57" i="1"/>
  <c r="J57" i="1"/>
  <c r="C48" i="8"/>
  <c r="R58" i="4"/>
  <c r="J58" i="4"/>
  <c r="O56" i="1"/>
  <c r="Q56" i="1" s="1"/>
  <c r="R56" i="1"/>
  <c r="E47" i="8"/>
  <c r="R57" i="7"/>
  <c r="J57" i="7"/>
  <c r="R55" i="5"/>
  <c r="D45" i="8"/>
  <c r="J55" i="5"/>
  <c r="Q57" i="7"/>
  <c r="K56" i="1"/>
  <c r="B46" i="8"/>
  <c r="S56" i="1"/>
  <c r="G57" i="7"/>
  <c r="C57" i="7" s="1"/>
  <c r="N57" i="7" s="1"/>
  <c r="P57" i="7" s="1"/>
  <c r="A59" i="7"/>
  <c r="E58" i="7"/>
  <c r="F58" i="7" s="1"/>
  <c r="B58" i="7" s="1"/>
  <c r="I58" i="7" s="1"/>
  <c r="D58" i="7"/>
  <c r="G58" i="7" s="1"/>
  <c r="C58" i="7" s="1"/>
  <c r="N58" i="7" s="1"/>
  <c r="P58" i="7" s="1"/>
  <c r="O58" i="7"/>
  <c r="G55" i="5"/>
  <c r="C55" i="5" s="1"/>
  <c r="B59" i="1"/>
  <c r="A60" i="1"/>
  <c r="P59" i="1"/>
  <c r="A61" i="4"/>
  <c r="D60" i="4"/>
  <c r="E60" i="4"/>
  <c r="O60" i="4"/>
  <c r="N54" i="5"/>
  <c r="P54" i="5" s="1"/>
  <c r="Q54" i="5"/>
  <c r="G58" i="4"/>
  <c r="C58" i="4" s="1"/>
  <c r="K54" i="5"/>
  <c r="L44" i="8" s="1"/>
  <c r="H44" i="8"/>
  <c r="L55" i="1"/>
  <c r="J45" i="8" s="1"/>
  <c r="F45" i="8"/>
  <c r="G47" i="8"/>
  <c r="K57" i="4"/>
  <c r="K47" i="8" s="1"/>
  <c r="F58" i="1"/>
  <c r="G58" i="1" s="1"/>
  <c r="E58" i="1"/>
  <c r="H58" i="1" s="1"/>
  <c r="D58" i="1" s="1"/>
  <c r="O58" i="1" s="1"/>
  <c r="Q58" i="1" s="1"/>
  <c r="E59" i="1" l="1"/>
  <c r="H59" i="1" s="1"/>
  <c r="D59" i="1" s="1"/>
  <c r="O59" i="1" s="1"/>
  <c r="Q59" i="1" s="1"/>
  <c r="F59" i="1"/>
  <c r="G59" i="1" s="1"/>
  <c r="K57" i="7"/>
  <c r="M47" i="8" s="1"/>
  <c r="I47" i="8"/>
  <c r="K57" i="1"/>
  <c r="S57" i="1"/>
  <c r="B47" i="8"/>
  <c r="O57" i="1"/>
  <c r="Q57" i="1" s="1"/>
  <c r="R57" i="1"/>
  <c r="F46" i="8"/>
  <c r="L56" i="1"/>
  <c r="J46" i="8" s="1"/>
  <c r="R56" i="5"/>
  <c r="D46" i="8"/>
  <c r="J56" i="5"/>
  <c r="F60" i="4"/>
  <c r="B60" i="4" s="1"/>
  <c r="I60" i="4" s="1"/>
  <c r="F57" i="5"/>
  <c r="B57" i="5" s="1"/>
  <c r="I57" i="5" s="1"/>
  <c r="Q58" i="7"/>
  <c r="A62" i="4"/>
  <c r="D61" i="4"/>
  <c r="E61" i="4"/>
  <c r="O61" i="4"/>
  <c r="R58" i="1"/>
  <c r="N55" i="5"/>
  <c r="P55" i="5" s="1"/>
  <c r="Q55" i="5"/>
  <c r="Q56" i="5"/>
  <c r="R58" i="7"/>
  <c r="J58" i="7"/>
  <c r="E48" i="8"/>
  <c r="H45" i="8"/>
  <c r="K55" i="5"/>
  <c r="L45" i="8" s="1"/>
  <c r="G48" i="8"/>
  <c r="K58" i="4"/>
  <c r="K48" i="8" s="1"/>
  <c r="A59" i="5"/>
  <c r="D58" i="5"/>
  <c r="E58" i="5"/>
  <c r="O58" i="5"/>
  <c r="R59" i="1"/>
  <c r="C49" i="8"/>
  <c r="R59" i="4"/>
  <c r="J59" i="4"/>
  <c r="N58" i="4"/>
  <c r="P58" i="4" s="1"/>
  <c r="Q58" i="4"/>
  <c r="A60" i="7"/>
  <c r="D59" i="7"/>
  <c r="E59" i="7"/>
  <c r="F59" i="7" s="1"/>
  <c r="B59" i="7" s="1"/>
  <c r="I59" i="7" s="1"/>
  <c r="O59" i="7"/>
  <c r="J58" i="1"/>
  <c r="C58" i="1"/>
  <c r="B60" i="1"/>
  <c r="A61" i="1"/>
  <c r="P60" i="1"/>
  <c r="G59" i="4"/>
  <c r="C59" i="4" s="1"/>
  <c r="N59" i="4" l="1"/>
  <c r="P59" i="4" s="1"/>
  <c r="Q59" i="4"/>
  <c r="K56" i="5"/>
  <c r="L46" i="8" s="1"/>
  <c r="H46" i="8"/>
  <c r="F58" i="5"/>
  <c r="B58" i="5" s="1"/>
  <c r="I58" i="5" s="1"/>
  <c r="A63" i="4"/>
  <c r="D62" i="4"/>
  <c r="E62" i="4"/>
  <c r="O62" i="4"/>
  <c r="B61" i="1"/>
  <c r="A62" i="1"/>
  <c r="P61" i="1"/>
  <c r="F60" i="1"/>
  <c r="G60" i="1" s="1"/>
  <c r="E60" i="1"/>
  <c r="H60" i="1" s="1"/>
  <c r="D60" i="1" s="1"/>
  <c r="O60" i="1" s="1"/>
  <c r="Q60" i="1" s="1"/>
  <c r="A60" i="5"/>
  <c r="D59" i="5"/>
  <c r="E59" i="5"/>
  <c r="O59" i="5"/>
  <c r="F47" i="8"/>
  <c r="L57" i="1"/>
  <c r="J47" i="8" s="1"/>
  <c r="F61" i="4"/>
  <c r="B61" i="4" s="1"/>
  <c r="I61" i="4" s="1"/>
  <c r="K59" i="4"/>
  <c r="K49" i="8" s="1"/>
  <c r="G49" i="8"/>
  <c r="G57" i="5"/>
  <c r="C57" i="5" s="1"/>
  <c r="G59" i="7"/>
  <c r="C59" i="7" s="1"/>
  <c r="N59" i="7" s="1"/>
  <c r="P59" i="7" s="1"/>
  <c r="A61" i="7"/>
  <c r="D60" i="7"/>
  <c r="G60" i="7" s="1"/>
  <c r="C60" i="7" s="1"/>
  <c r="N60" i="7" s="1"/>
  <c r="P60" i="7" s="1"/>
  <c r="E60" i="7"/>
  <c r="F60" i="7" s="1"/>
  <c r="B60" i="7" s="1"/>
  <c r="I60" i="7" s="1"/>
  <c r="O60" i="7"/>
  <c r="Q60" i="7" s="1"/>
  <c r="B48" i="8"/>
  <c r="S58" i="1"/>
  <c r="K58" i="1"/>
  <c r="R57" i="5"/>
  <c r="D47" i="8"/>
  <c r="J57" i="5"/>
  <c r="R59" i="7"/>
  <c r="E49" i="8"/>
  <c r="J59" i="7"/>
  <c r="I48" i="8"/>
  <c r="K58" i="7"/>
  <c r="M48" i="8" s="1"/>
  <c r="G60" i="4"/>
  <c r="C60" i="4" s="1"/>
  <c r="C59" i="1"/>
  <c r="J59" i="1"/>
  <c r="C50" i="8"/>
  <c r="J60" i="4"/>
  <c r="R60" i="4"/>
  <c r="A64" i="4" l="1"/>
  <c r="D63" i="4"/>
  <c r="E63" i="4"/>
  <c r="O63" i="4"/>
  <c r="R60" i="7"/>
  <c r="E50" i="8"/>
  <c r="J60" i="7"/>
  <c r="G61" i="4"/>
  <c r="C61" i="4" s="1"/>
  <c r="C60" i="1"/>
  <c r="J60" i="1"/>
  <c r="G58" i="5"/>
  <c r="C58" i="5" s="1"/>
  <c r="R58" i="5"/>
  <c r="J58" i="5"/>
  <c r="D48" i="8"/>
  <c r="Q59" i="7"/>
  <c r="A62" i="7"/>
  <c r="E61" i="7"/>
  <c r="F61" i="7" s="1"/>
  <c r="B61" i="7" s="1"/>
  <c r="I61" i="7" s="1"/>
  <c r="D61" i="7"/>
  <c r="G61" i="7" s="1"/>
  <c r="C61" i="7" s="1"/>
  <c r="N61" i="7" s="1"/>
  <c r="P61" i="7" s="1"/>
  <c r="O61" i="7"/>
  <c r="B62" i="1"/>
  <c r="A63" i="1"/>
  <c r="P62" i="1"/>
  <c r="R60" i="1"/>
  <c r="C51" i="8"/>
  <c r="R61" i="4"/>
  <c r="J61" i="4"/>
  <c r="K57" i="5"/>
  <c r="L47" i="8" s="1"/>
  <c r="H47" i="8"/>
  <c r="E61" i="1"/>
  <c r="F61" i="1"/>
  <c r="G61" i="1" s="1"/>
  <c r="N60" i="4"/>
  <c r="P60" i="4" s="1"/>
  <c r="Q60" i="4"/>
  <c r="F48" i="8"/>
  <c r="L58" i="1"/>
  <c r="J48" i="8" s="1"/>
  <c r="N57" i="5"/>
  <c r="P57" i="5" s="1"/>
  <c r="Q57" i="5"/>
  <c r="K59" i="1"/>
  <c r="B49" i="8"/>
  <c r="S59" i="1"/>
  <c r="G50" i="8"/>
  <c r="K60" i="4"/>
  <c r="K50" i="8" s="1"/>
  <c r="F59" i="5"/>
  <c r="B59" i="5" s="1"/>
  <c r="I59" i="5" s="1"/>
  <c r="I49" i="8"/>
  <c r="K59" i="7"/>
  <c r="M49" i="8" s="1"/>
  <c r="A61" i="5"/>
  <c r="E60" i="5"/>
  <c r="D60" i="5"/>
  <c r="O60" i="5"/>
  <c r="F62" i="4"/>
  <c r="B62" i="4" s="1"/>
  <c r="I62" i="4" s="1"/>
  <c r="J61" i="1" l="1"/>
  <c r="C61" i="1"/>
  <c r="A63" i="7"/>
  <c r="E62" i="7"/>
  <c r="F62" i="7" s="1"/>
  <c r="B62" i="7" s="1"/>
  <c r="I62" i="7" s="1"/>
  <c r="D62" i="7"/>
  <c r="G62" i="7" s="1"/>
  <c r="C62" i="7" s="1"/>
  <c r="N62" i="7" s="1"/>
  <c r="P62" i="7" s="1"/>
  <c r="O62" i="7"/>
  <c r="N61" i="4"/>
  <c r="P61" i="4" s="1"/>
  <c r="Q61" i="4"/>
  <c r="K60" i="7"/>
  <c r="M50" i="8" s="1"/>
  <c r="I50" i="8"/>
  <c r="H61" i="1"/>
  <c r="D61" i="1" s="1"/>
  <c r="G62" i="4"/>
  <c r="C62" i="4" s="1"/>
  <c r="G59" i="5"/>
  <c r="C59" i="5" s="1"/>
  <c r="C52" i="8"/>
  <c r="J62" i="4"/>
  <c r="R62" i="4"/>
  <c r="R59" i="5"/>
  <c r="J59" i="5"/>
  <c r="D49" i="8"/>
  <c r="B63" i="1"/>
  <c r="A64" i="1"/>
  <c r="P63" i="1"/>
  <c r="H48" i="8"/>
  <c r="K58" i="5"/>
  <c r="L48" i="8" s="1"/>
  <c r="F62" i="1"/>
  <c r="G62" i="1" s="1"/>
  <c r="E62" i="1"/>
  <c r="H62" i="1" s="1"/>
  <c r="D62" i="1" s="1"/>
  <c r="O62" i="1" s="1"/>
  <c r="Q62" i="1" s="1"/>
  <c r="F60" i="5"/>
  <c r="B60" i="5" s="1"/>
  <c r="I60" i="5" s="1"/>
  <c r="G60" i="5"/>
  <c r="C60" i="5" s="1"/>
  <c r="N60" i="5" s="1"/>
  <c r="P60" i="5" s="1"/>
  <c r="Q61" i="7"/>
  <c r="N58" i="5"/>
  <c r="P58" i="5" s="1"/>
  <c r="Q58" i="5"/>
  <c r="B50" i="8"/>
  <c r="S60" i="1"/>
  <c r="K60" i="1"/>
  <c r="F63" i="4"/>
  <c r="B63" i="4" s="1"/>
  <c r="I63" i="4" s="1"/>
  <c r="G63" i="4"/>
  <c r="C63" i="4" s="1"/>
  <c r="N63" i="4" s="1"/>
  <c r="P63" i="4" s="1"/>
  <c r="F49" i="8"/>
  <c r="L59" i="1"/>
  <c r="J49" i="8" s="1"/>
  <c r="G51" i="8"/>
  <c r="K61" i="4"/>
  <c r="K51" i="8" s="1"/>
  <c r="A62" i="5"/>
  <c r="D61" i="5"/>
  <c r="E61" i="5"/>
  <c r="O61" i="5"/>
  <c r="R61" i="7"/>
  <c r="J61" i="7"/>
  <c r="E51" i="8"/>
  <c r="A65" i="4"/>
  <c r="E64" i="4"/>
  <c r="D64" i="4"/>
  <c r="O64" i="4"/>
  <c r="Q64" i="4" l="1"/>
  <c r="F50" i="8"/>
  <c r="L60" i="1"/>
  <c r="J50" i="8" s="1"/>
  <c r="G52" i="8"/>
  <c r="K62" i="4"/>
  <c r="K52" i="8" s="1"/>
  <c r="R63" i="1"/>
  <c r="J63" i="4"/>
  <c r="C53" i="8"/>
  <c r="R63" i="4"/>
  <c r="R60" i="5"/>
  <c r="J60" i="5"/>
  <c r="D50" i="8"/>
  <c r="B64" i="1"/>
  <c r="A65" i="1"/>
  <c r="P64" i="1"/>
  <c r="R62" i="1"/>
  <c r="Q62" i="7"/>
  <c r="F64" i="4"/>
  <c r="B64" i="4" s="1"/>
  <c r="I64" i="4" s="1"/>
  <c r="G64" i="4"/>
  <c r="C64" i="4" s="1"/>
  <c r="N64" i="4" s="1"/>
  <c r="P64" i="4" s="1"/>
  <c r="E63" i="1"/>
  <c r="H63" i="1" s="1"/>
  <c r="D63" i="1" s="1"/>
  <c r="O63" i="1" s="1"/>
  <c r="Q63" i="1" s="1"/>
  <c r="F63" i="1"/>
  <c r="G63" i="1" s="1"/>
  <c r="Q63" i="4"/>
  <c r="A63" i="5"/>
  <c r="D62" i="5"/>
  <c r="E62" i="5"/>
  <c r="O62" i="5"/>
  <c r="J62" i="7"/>
  <c r="E52" i="8"/>
  <c r="R62" i="7"/>
  <c r="F61" i="5"/>
  <c r="B61" i="5" s="1"/>
  <c r="I61" i="5" s="1"/>
  <c r="N62" i="4"/>
  <c r="P62" i="4" s="1"/>
  <c r="Q62" i="4"/>
  <c r="A66" i="4"/>
  <c r="E65" i="4"/>
  <c r="D65" i="4"/>
  <c r="O65" i="4"/>
  <c r="O61" i="1"/>
  <c r="Q61" i="1" s="1"/>
  <c r="R61" i="1"/>
  <c r="A64" i="7"/>
  <c r="D63" i="7"/>
  <c r="G63" i="7" s="1"/>
  <c r="C63" i="7" s="1"/>
  <c r="N63" i="7" s="1"/>
  <c r="P63" i="7" s="1"/>
  <c r="E63" i="7"/>
  <c r="F63" i="7" s="1"/>
  <c r="B63" i="7" s="1"/>
  <c r="I63" i="7" s="1"/>
  <c r="O63" i="7"/>
  <c r="N59" i="5"/>
  <c r="P59" i="5" s="1"/>
  <c r="Q59" i="5"/>
  <c r="J62" i="1"/>
  <c r="C62" i="1"/>
  <c r="K59" i="5"/>
  <c r="L49" i="8" s="1"/>
  <c r="H49" i="8"/>
  <c r="Q60" i="5"/>
  <c r="I51" i="8"/>
  <c r="K61" i="7"/>
  <c r="M51" i="8" s="1"/>
  <c r="B51" i="8"/>
  <c r="S61" i="1"/>
  <c r="K61" i="1"/>
  <c r="F62" i="5" l="1"/>
  <c r="B62" i="5" s="1"/>
  <c r="I62" i="5" s="1"/>
  <c r="G62" i="5"/>
  <c r="C62" i="5" s="1"/>
  <c r="N62" i="5" s="1"/>
  <c r="P62" i="5" s="1"/>
  <c r="F51" i="8"/>
  <c r="L61" i="1"/>
  <c r="J51" i="8" s="1"/>
  <c r="G61" i="5"/>
  <c r="C61" i="5" s="1"/>
  <c r="A64" i="5"/>
  <c r="E63" i="5"/>
  <c r="D63" i="5"/>
  <c r="O63" i="5"/>
  <c r="K63" i="4"/>
  <c r="K53" i="8" s="1"/>
  <c r="G53" i="8"/>
  <c r="S62" i="1"/>
  <c r="K62" i="1"/>
  <c r="B52" i="8"/>
  <c r="A66" i="1"/>
  <c r="B65" i="1"/>
  <c r="P65" i="1"/>
  <c r="J63" i="1"/>
  <c r="C63" i="1"/>
  <c r="F64" i="1"/>
  <c r="G64" i="1" s="1"/>
  <c r="E64" i="1"/>
  <c r="H64" i="1" s="1"/>
  <c r="D64" i="1" s="1"/>
  <c r="O64" i="1" s="1"/>
  <c r="Q64" i="1" s="1"/>
  <c r="F65" i="4"/>
  <c r="B65" i="4" s="1"/>
  <c r="I65" i="4" s="1"/>
  <c r="R61" i="5"/>
  <c r="D51" i="8"/>
  <c r="J61" i="5"/>
  <c r="Q63" i="7"/>
  <c r="K62" i="7"/>
  <c r="M52" i="8" s="1"/>
  <c r="I52" i="8"/>
  <c r="K60" i="5"/>
  <c r="L50" i="8" s="1"/>
  <c r="H50" i="8"/>
  <c r="A65" i="7"/>
  <c r="E64" i="7"/>
  <c r="F64" i="7" s="1"/>
  <c r="B64" i="7" s="1"/>
  <c r="I64" i="7" s="1"/>
  <c r="D64" i="7"/>
  <c r="O64" i="7"/>
  <c r="J63" i="7"/>
  <c r="E53" i="8"/>
  <c r="R63" i="7"/>
  <c r="A67" i="4"/>
  <c r="E66" i="4"/>
  <c r="D66" i="4"/>
  <c r="O66" i="4"/>
  <c r="Q62" i="5"/>
  <c r="C54" i="8"/>
  <c r="J64" i="4"/>
  <c r="R64" i="4"/>
  <c r="C55" i="8" l="1"/>
  <c r="J65" i="4"/>
  <c r="R65" i="4"/>
  <c r="A67" i="1"/>
  <c r="B66" i="1"/>
  <c r="P66" i="1"/>
  <c r="F63" i="5"/>
  <c r="B63" i="5" s="1"/>
  <c r="I63" i="5" s="1"/>
  <c r="J64" i="1"/>
  <c r="C64" i="1"/>
  <c r="F52" i="8"/>
  <c r="L62" i="1"/>
  <c r="J52" i="8" s="1"/>
  <c r="A65" i="5"/>
  <c r="E64" i="5"/>
  <c r="D64" i="5"/>
  <c r="O64" i="5"/>
  <c r="K64" i="4"/>
  <c r="K54" i="8" s="1"/>
  <c r="G54" i="8"/>
  <c r="N61" i="5"/>
  <c r="P61" i="5" s="1"/>
  <c r="Q61" i="5"/>
  <c r="K63" i="7"/>
  <c r="M53" i="8" s="1"/>
  <c r="I53" i="8"/>
  <c r="G64" i="7"/>
  <c r="C64" i="7" s="1"/>
  <c r="N64" i="7" s="1"/>
  <c r="P64" i="7" s="1"/>
  <c r="H51" i="8"/>
  <c r="K61" i="5"/>
  <c r="L51" i="8" s="1"/>
  <c r="B53" i="8"/>
  <c r="S63" i="1"/>
  <c r="K63" i="1"/>
  <c r="R64" i="7"/>
  <c r="E54" i="8"/>
  <c r="J64" i="7"/>
  <c r="R64" i="1"/>
  <c r="Q64" i="7"/>
  <c r="F66" i="4"/>
  <c r="B66" i="4" s="1"/>
  <c r="I66" i="4" s="1"/>
  <c r="A66" i="7"/>
  <c r="D65" i="7"/>
  <c r="E65" i="7"/>
  <c r="F65" i="7" s="1"/>
  <c r="B65" i="7" s="1"/>
  <c r="I65" i="7" s="1"/>
  <c r="O65" i="7"/>
  <c r="A68" i="4"/>
  <c r="D67" i="4"/>
  <c r="E67" i="4"/>
  <c r="O67" i="4"/>
  <c r="G65" i="4"/>
  <c r="C65" i="4" s="1"/>
  <c r="F65" i="1"/>
  <c r="G65" i="1" s="1"/>
  <c r="E65" i="1"/>
  <c r="R62" i="5"/>
  <c r="D52" i="8"/>
  <c r="J62" i="5"/>
  <c r="K65" i="4" l="1"/>
  <c r="K55" i="8" s="1"/>
  <c r="G55" i="8"/>
  <c r="S64" i="1"/>
  <c r="B54" i="8"/>
  <c r="K64" i="1"/>
  <c r="H65" i="1"/>
  <c r="D65" i="1" s="1"/>
  <c r="G63" i="5"/>
  <c r="C63" i="5" s="1"/>
  <c r="A69" i="4"/>
  <c r="E68" i="4"/>
  <c r="D68" i="4"/>
  <c r="O68" i="4"/>
  <c r="G65" i="7"/>
  <c r="C65" i="7" s="1"/>
  <c r="N65" i="7" s="1"/>
  <c r="P65" i="7" s="1"/>
  <c r="R65" i="7"/>
  <c r="E55" i="8"/>
  <c r="J65" i="7"/>
  <c r="I54" i="8"/>
  <c r="K64" i="7"/>
  <c r="M54" i="8" s="1"/>
  <c r="N65" i="4"/>
  <c r="P65" i="4" s="1"/>
  <c r="Q65" i="4"/>
  <c r="A67" i="7"/>
  <c r="D66" i="7"/>
  <c r="E66" i="7"/>
  <c r="F66" i="7" s="1"/>
  <c r="B66" i="7" s="1"/>
  <c r="I66" i="7" s="1"/>
  <c r="O66" i="7"/>
  <c r="A66" i="5"/>
  <c r="D65" i="5"/>
  <c r="E65" i="5"/>
  <c r="O65" i="5"/>
  <c r="F66" i="1"/>
  <c r="G66" i="1" s="1"/>
  <c r="E66" i="1"/>
  <c r="C65" i="1"/>
  <c r="J65" i="1"/>
  <c r="F64" i="5"/>
  <c r="B64" i="5" s="1"/>
  <c r="I64" i="5" s="1"/>
  <c r="J66" i="4"/>
  <c r="C56" i="8"/>
  <c r="R66" i="4"/>
  <c r="F53" i="8"/>
  <c r="L63" i="1"/>
  <c r="J53" i="8" s="1"/>
  <c r="B67" i="1"/>
  <c r="A68" i="1"/>
  <c r="P67" i="1"/>
  <c r="R63" i="5"/>
  <c r="D53" i="8"/>
  <c r="J63" i="5"/>
  <c r="H52" i="8"/>
  <c r="K62" i="5"/>
  <c r="L52" i="8" s="1"/>
  <c r="F67" i="4"/>
  <c r="B67" i="4" s="1"/>
  <c r="I67" i="4" s="1"/>
  <c r="G66" i="4"/>
  <c r="C66" i="4" s="1"/>
  <c r="K63" i="5" l="1"/>
  <c r="L53" i="8" s="1"/>
  <c r="H53" i="8"/>
  <c r="A68" i="7"/>
  <c r="D67" i="7"/>
  <c r="E67" i="7"/>
  <c r="F67" i="7" s="1"/>
  <c r="B67" i="7" s="1"/>
  <c r="I67" i="7" s="1"/>
  <c r="O67" i="7"/>
  <c r="J66" i="1"/>
  <c r="C66" i="1"/>
  <c r="Q65" i="7"/>
  <c r="O65" i="1"/>
  <c r="Q65" i="1" s="1"/>
  <c r="R65" i="1"/>
  <c r="R64" i="5"/>
  <c r="D54" i="8"/>
  <c r="J64" i="5"/>
  <c r="G65" i="5"/>
  <c r="C65" i="5" s="1"/>
  <c r="N65" i="5" s="1"/>
  <c r="P65" i="5" s="1"/>
  <c r="F65" i="5"/>
  <c r="B65" i="5" s="1"/>
  <c r="I65" i="5" s="1"/>
  <c r="F54" i="8"/>
  <c r="L64" i="1"/>
  <c r="J54" i="8" s="1"/>
  <c r="B68" i="1"/>
  <c r="A69" i="1"/>
  <c r="P68" i="1"/>
  <c r="A67" i="5"/>
  <c r="E66" i="5"/>
  <c r="D66" i="5"/>
  <c r="O66" i="5"/>
  <c r="F68" i="4"/>
  <c r="B68" i="4" s="1"/>
  <c r="I68" i="4" s="1"/>
  <c r="K66" i="4"/>
  <c r="K56" i="8" s="1"/>
  <c r="G56" i="8"/>
  <c r="G67" i="4"/>
  <c r="C67" i="4" s="1"/>
  <c r="E67" i="1"/>
  <c r="F67" i="1"/>
  <c r="G67" i="1" s="1"/>
  <c r="K65" i="1"/>
  <c r="S65" i="1"/>
  <c r="B55" i="8"/>
  <c r="N66" i="4"/>
  <c r="P66" i="4" s="1"/>
  <c r="Q66" i="4"/>
  <c r="J66" i="7"/>
  <c r="R66" i="7"/>
  <c r="E56" i="8"/>
  <c r="K65" i="7"/>
  <c r="M55" i="8" s="1"/>
  <c r="I55" i="8"/>
  <c r="A70" i="4"/>
  <c r="E69" i="4"/>
  <c r="D69" i="4"/>
  <c r="O69" i="4"/>
  <c r="R67" i="4"/>
  <c r="C57" i="8"/>
  <c r="J67" i="4"/>
  <c r="G64" i="5"/>
  <c r="C64" i="5" s="1"/>
  <c r="H66" i="1"/>
  <c r="D66" i="1" s="1"/>
  <c r="G66" i="7"/>
  <c r="C66" i="7" s="1"/>
  <c r="N66" i="7" s="1"/>
  <c r="P66" i="7" s="1"/>
  <c r="N63" i="5"/>
  <c r="P63" i="5" s="1"/>
  <c r="Q63" i="5"/>
  <c r="O66" i="1" l="1"/>
  <c r="Q66" i="1" s="1"/>
  <c r="R66" i="1"/>
  <c r="A71" i="4"/>
  <c r="D70" i="4"/>
  <c r="E70" i="4"/>
  <c r="O70" i="4"/>
  <c r="Q66" i="7"/>
  <c r="A70" i="1"/>
  <c r="B69" i="1"/>
  <c r="P69" i="1"/>
  <c r="K64" i="5"/>
  <c r="L54" i="8" s="1"/>
  <c r="H54" i="8"/>
  <c r="K66" i="1"/>
  <c r="B56" i="8"/>
  <c r="S66" i="1"/>
  <c r="N64" i="5"/>
  <c r="P64" i="5" s="1"/>
  <c r="Q64" i="5"/>
  <c r="G68" i="4"/>
  <c r="C68" i="4" s="1"/>
  <c r="F68" i="1"/>
  <c r="G68" i="1" s="1"/>
  <c r="E68" i="1"/>
  <c r="H68" i="1" s="1"/>
  <c r="D68" i="1" s="1"/>
  <c r="O68" i="1" s="1"/>
  <c r="Q68" i="1" s="1"/>
  <c r="E57" i="8"/>
  <c r="R67" i="7"/>
  <c r="J67" i="7"/>
  <c r="L65" i="1"/>
  <c r="J55" i="8" s="1"/>
  <c r="F55" i="8"/>
  <c r="G67" i="7"/>
  <c r="C67" i="7" s="1"/>
  <c r="N67" i="7" s="1"/>
  <c r="P67" i="7" s="1"/>
  <c r="K67" i="4"/>
  <c r="K57" i="8" s="1"/>
  <c r="G57" i="8"/>
  <c r="J67" i="1"/>
  <c r="C67" i="1"/>
  <c r="F66" i="5"/>
  <c r="B66" i="5" s="1"/>
  <c r="I66" i="5" s="1"/>
  <c r="A69" i="7"/>
  <c r="E68" i="7"/>
  <c r="F68" i="7" s="1"/>
  <c r="B68" i="7" s="1"/>
  <c r="I68" i="7" s="1"/>
  <c r="D68" i="7"/>
  <c r="O68" i="7"/>
  <c r="K66" i="7"/>
  <c r="M56" i="8" s="1"/>
  <c r="I56" i="8"/>
  <c r="H67" i="1"/>
  <c r="D67" i="1" s="1"/>
  <c r="J68" i="4"/>
  <c r="R68" i="4"/>
  <c r="C58" i="8"/>
  <c r="F69" i="4"/>
  <c r="B69" i="4" s="1"/>
  <c r="I69" i="4" s="1"/>
  <c r="N67" i="4"/>
  <c r="P67" i="4" s="1"/>
  <c r="Q67" i="4"/>
  <c r="A68" i="5"/>
  <c r="E67" i="5"/>
  <c r="D67" i="5"/>
  <c r="O67" i="5"/>
  <c r="R65" i="5"/>
  <c r="J65" i="5"/>
  <c r="D55" i="8"/>
  <c r="Q65" i="5"/>
  <c r="H55" i="8" l="1"/>
  <c r="K65" i="5"/>
  <c r="L55" i="8" s="1"/>
  <c r="G69" i="4"/>
  <c r="C69" i="4" s="1"/>
  <c r="B57" i="8"/>
  <c r="K67" i="1"/>
  <c r="S67" i="1"/>
  <c r="R68" i="1"/>
  <c r="B70" i="1"/>
  <c r="A71" i="1"/>
  <c r="P70" i="1"/>
  <c r="C59" i="8"/>
  <c r="J69" i="4"/>
  <c r="R69" i="4"/>
  <c r="G68" i="7"/>
  <c r="C68" i="7" s="1"/>
  <c r="N68" i="7" s="1"/>
  <c r="P68" i="7" s="1"/>
  <c r="Q67" i="7"/>
  <c r="L66" i="1"/>
  <c r="J56" i="8" s="1"/>
  <c r="F56" i="8"/>
  <c r="K68" i="4"/>
  <c r="K58" i="8" s="1"/>
  <c r="G58" i="8"/>
  <c r="F70" i="4"/>
  <c r="B70" i="4" s="1"/>
  <c r="I70" i="4" s="1"/>
  <c r="Q68" i="7"/>
  <c r="C68" i="1"/>
  <c r="J68" i="1"/>
  <c r="A69" i="5"/>
  <c r="E68" i="5"/>
  <c r="D68" i="5"/>
  <c r="O68" i="5"/>
  <c r="N68" i="4"/>
  <c r="P68" i="4" s="1"/>
  <c r="Q68" i="4"/>
  <c r="A72" i="4"/>
  <c r="D71" i="4"/>
  <c r="E71" i="4"/>
  <c r="O71" i="4"/>
  <c r="R68" i="7"/>
  <c r="E58" i="8"/>
  <c r="J68" i="7"/>
  <c r="R66" i="5"/>
  <c r="J66" i="5"/>
  <c r="D56" i="8"/>
  <c r="F67" i="5"/>
  <c r="B67" i="5" s="1"/>
  <c r="I67" i="5" s="1"/>
  <c r="A70" i="7"/>
  <c r="D69" i="7"/>
  <c r="E69" i="7"/>
  <c r="F69" i="7" s="1"/>
  <c r="B69" i="7" s="1"/>
  <c r="I69" i="7" s="1"/>
  <c r="O69" i="7"/>
  <c r="O67" i="1"/>
  <c r="Q67" i="1" s="1"/>
  <c r="R67" i="1"/>
  <c r="G66" i="5"/>
  <c r="C66" i="5" s="1"/>
  <c r="K67" i="7"/>
  <c r="M57" i="8" s="1"/>
  <c r="I57" i="8"/>
  <c r="E69" i="1"/>
  <c r="F69" i="1"/>
  <c r="G69" i="1" s="1"/>
  <c r="E59" i="8" l="1"/>
  <c r="J69" i="7"/>
  <c r="R69" i="7"/>
  <c r="F70" i="1"/>
  <c r="G70" i="1" s="1"/>
  <c r="E70" i="1"/>
  <c r="H70" i="1" s="1"/>
  <c r="D70" i="1" s="1"/>
  <c r="O70" i="1" s="1"/>
  <c r="Q70" i="1" s="1"/>
  <c r="R70" i="4"/>
  <c r="C60" i="8"/>
  <c r="J70" i="4"/>
  <c r="A71" i="7"/>
  <c r="D70" i="7"/>
  <c r="G70" i="7" s="1"/>
  <c r="C70" i="7" s="1"/>
  <c r="N70" i="7" s="1"/>
  <c r="P70" i="7" s="1"/>
  <c r="E70" i="7"/>
  <c r="F70" i="7" s="1"/>
  <c r="B70" i="7" s="1"/>
  <c r="I70" i="7" s="1"/>
  <c r="O70" i="7"/>
  <c r="Q70" i="7" s="1"/>
  <c r="G70" i="4"/>
  <c r="C70" i="4" s="1"/>
  <c r="G68" i="5"/>
  <c r="C68" i="5" s="1"/>
  <c r="N68" i="5" s="1"/>
  <c r="P68" i="5" s="1"/>
  <c r="F68" i="5"/>
  <c r="B68" i="5" s="1"/>
  <c r="I68" i="5" s="1"/>
  <c r="F57" i="8"/>
  <c r="L67" i="1"/>
  <c r="J57" i="8" s="1"/>
  <c r="R67" i="5"/>
  <c r="D57" i="8"/>
  <c r="J67" i="5"/>
  <c r="K69" i="4"/>
  <c r="K59" i="8" s="1"/>
  <c r="G59" i="8"/>
  <c r="G69" i="7"/>
  <c r="C69" i="7" s="1"/>
  <c r="N69" i="7" s="1"/>
  <c r="P69" i="7" s="1"/>
  <c r="G67" i="5"/>
  <c r="C67" i="5" s="1"/>
  <c r="A70" i="5"/>
  <c r="E69" i="5"/>
  <c r="D69" i="5"/>
  <c r="O69" i="5"/>
  <c r="N69" i="4"/>
  <c r="P69" i="4" s="1"/>
  <c r="Q69" i="4"/>
  <c r="H69" i="1"/>
  <c r="D69" i="1" s="1"/>
  <c r="F71" i="4"/>
  <c r="B71" i="4" s="1"/>
  <c r="I71" i="4" s="1"/>
  <c r="B58" i="8"/>
  <c r="S68" i="1"/>
  <c r="K68" i="1"/>
  <c r="R70" i="1"/>
  <c r="C69" i="1"/>
  <c r="J69" i="1"/>
  <c r="I58" i="8"/>
  <c r="K68" i="7"/>
  <c r="M58" i="8" s="1"/>
  <c r="N66" i="5"/>
  <c r="P66" i="5" s="1"/>
  <c r="Q66" i="5"/>
  <c r="Q69" i="7"/>
  <c r="K66" i="5"/>
  <c r="L56" i="8" s="1"/>
  <c r="H56" i="8"/>
  <c r="A73" i="4"/>
  <c r="E72" i="4"/>
  <c r="D72" i="4"/>
  <c r="O72" i="4"/>
  <c r="B71" i="1"/>
  <c r="A72" i="1"/>
  <c r="P71" i="1"/>
  <c r="R68" i="5" l="1"/>
  <c r="D58" i="8"/>
  <c r="J68" i="5"/>
  <c r="G60" i="8"/>
  <c r="K70" i="4"/>
  <c r="K60" i="8" s="1"/>
  <c r="B72" i="1"/>
  <c r="A73" i="1"/>
  <c r="P72" i="1"/>
  <c r="L68" i="1"/>
  <c r="J58" i="8" s="1"/>
  <c r="F58" i="8"/>
  <c r="N70" i="4"/>
  <c r="P70" i="4" s="1"/>
  <c r="Q70" i="4"/>
  <c r="F69" i="5"/>
  <c r="B69" i="5" s="1"/>
  <c r="I69" i="5" s="1"/>
  <c r="H57" i="8"/>
  <c r="K67" i="5"/>
  <c r="L57" i="8" s="1"/>
  <c r="Q68" i="5"/>
  <c r="F71" i="1"/>
  <c r="G71" i="1" s="1"/>
  <c r="E71" i="1"/>
  <c r="H71" i="1" s="1"/>
  <c r="D71" i="1" s="1"/>
  <c r="O71" i="1" s="1"/>
  <c r="Q71" i="1" s="1"/>
  <c r="C70" i="1"/>
  <c r="J70" i="1"/>
  <c r="F72" i="4"/>
  <c r="B72" i="4" s="1"/>
  <c r="I72" i="4" s="1"/>
  <c r="G71" i="4"/>
  <c r="C71" i="4" s="1"/>
  <c r="A71" i="5"/>
  <c r="D70" i="5"/>
  <c r="E70" i="5"/>
  <c r="O70" i="5"/>
  <c r="E60" i="8"/>
  <c r="J70" i="7"/>
  <c r="R70" i="7"/>
  <c r="R71" i="4"/>
  <c r="J71" i="4"/>
  <c r="C61" i="8"/>
  <c r="K69" i="7"/>
  <c r="M59" i="8" s="1"/>
  <c r="I59" i="8"/>
  <c r="N67" i="5"/>
  <c r="P67" i="5" s="1"/>
  <c r="Q67" i="5"/>
  <c r="A74" i="4"/>
  <c r="E73" i="4"/>
  <c r="D73" i="4"/>
  <c r="O73" i="4"/>
  <c r="B59" i="8"/>
  <c r="S69" i="1"/>
  <c r="K69" i="1"/>
  <c r="O69" i="1"/>
  <c r="Q69" i="1" s="1"/>
  <c r="R69" i="1"/>
  <c r="A72" i="7"/>
  <c r="D71" i="7"/>
  <c r="E71" i="7"/>
  <c r="F71" i="7" s="1"/>
  <c r="B71" i="7" s="1"/>
  <c r="I71" i="7" s="1"/>
  <c r="O71" i="7"/>
  <c r="K70" i="7" l="1"/>
  <c r="M60" i="8" s="1"/>
  <c r="I60" i="8"/>
  <c r="R72" i="4"/>
  <c r="J72" i="4"/>
  <c r="C62" i="8"/>
  <c r="R69" i="5"/>
  <c r="D59" i="8"/>
  <c r="J69" i="5"/>
  <c r="B73" i="1"/>
  <c r="A74" i="1"/>
  <c r="P73" i="1"/>
  <c r="S70" i="1"/>
  <c r="K70" i="1"/>
  <c r="B60" i="8"/>
  <c r="G69" i="5"/>
  <c r="C69" i="5" s="1"/>
  <c r="E72" i="1"/>
  <c r="F72" i="1"/>
  <c r="G72" i="1" s="1"/>
  <c r="F59" i="8"/>
  <c r="L69" i="1"/>
  <c r="J59" i="8" s="1"/>
  <c r="J71" i="7"/>
  <c r="R71" i="7"/>
  <c r="E61" i="8"/>
  <c r="F73" i="4"/>
  <c r="B73" i="4" s="1"/>
  <c r="I73" i="4" s="1"/>
  <c r="G73" i="4"/>
  <c r="C73" i="4" s="1"/>
  <c r="N73" i="4" s="1"/>
  <c r="P73" i="4" s="1"/>
  <c r="A72" i="5"/>
  <c r="E71" i="5"/>
  <c r="D71" i="5"/>
  <c r="O71" i="5"/>
  <c r="J71" i="1"/>
  <c r="C71" i="1"/>
  <c r="K68" i="5"/>
  <c r="L58" i="8" s="1"/>
  <c r="H58" i="8"/>
  <c r="F70" i="5"/>
  <c r="B70" i="5" s="1"/>
  <c r="I70" i="5" s="1"/>
  <c r="A73" i="7"/>
  <c r="E72" i="7"/>
  <c r="F72" i="7" s="1"/>
  <c r="B72" i="7" s="1"/>
  <c r="I72" i="7" s="1"/>
  <c r="D72" i="7"/>
  <c r="O72" i="7"/>
  <c r="N71" i="4"/>
  <c r="P71" i="4" s="1"/>
  <c r="Q71" i="4"/>
  <c r="G71" i="7"/>
  <c r="C71" i="7" s="1"/>
  <c r="N71" i="7" s="1"/>
  <c r="P71" i="7" s="1"/>
  <c r="G61" i="8"/>
  <c r="K71" i="4"/>
  <c r="K61" i="8" s="1"/>
  <c r="A75" i="4"/>
  <c r="D74" i="4"/>
  <c r="E74" i="4"/>
  <c r="O74" i="4"/>
  <c r="R71" i="1"/>
  <c r="G72" i="4"/>
  <c r="C72" i="4" s="1"/>
  <c r="E62" i="8" l="1"/>
  <c r="R72" i="7"/>
  <c r="J72" i="7"/>
  <c r="I61" i="8"/>
  <c r="K71" i="7"/>
  <c r="M61" i="8" s="1"/>
  <c r="L70" i="1"/>
  <c r="J60" i="8" s="1"/>
  <c r="F60" i="8"/>
  <c r="R70" i="5"/>
  <c r="D60" i="8"/>
  <c r="J70" i="5"/>
  <c r="N72" i="4"/>
  <c r="P72" i="4" s="1"/>
  <c r="Q72" i="4"/>
  <c r="G70" i="5"/>
  <c r="C70" i="5" s="1"/>
  <c r="A73" i="5"/>
  <c r="D72" i="5"/>
  <c r="E72" i="5"/>
  <c r="O72" i="5"/>
  <c r="Q73" i="4"/>
  <c r="Q71" i="7"/>
  <c r="A76" i="4"/>
  <c r="D75" i="4"/>
  <c r="E75" i="4"/>
  <c r="O75" i="4"/>
  <c r="J72" i="1"/>
  <c r="C72" i="1"/>
  <c r="K72" i="4"/>
  <c r="K62" i="8" s="1"/>
  <c r="G62" i="8"/>
  <c r="H72" i="1"/>
  <c r="D72" i="1" s="1"/>
  <c r="B74" i="1"/>
  <c r="A75" i="1"/>
  <c r="P74" i="1"/>
  <c r="A74" i="7"/>
  <c r="E73" i="7"/>
  <c r="F73" i="7" s="1"/>
  <c r="B73" i="7" s="1"/>
  <c r="I73" i="7" s="1"/>
  <c r="D73" i="7"/>
  <c r="G73" i="7" s="1"/>
  <c r="C73" i="7" s="1"/>
  <c r="N73" i="7" s="1"/>
  <c r="P73" i="7" s="1"/>
  <c r="O73" i="7"/>
  <c r="C63" i="8"/>
  <c r="J73" i="4"/>
  <c r="R73" i="4"/>
  <c r="N69" i="5"/>
  <c r="P69" i="5" s="1"/>
  <c r="Q69" i="5"/>
  <c r="F73" i="1"/>
  <c r="G73" i="1" s="1"/>
  <c r="E73" i="1"/>
  <c r="F71" i="5"/>
  <c r="B71" i="5" s="1"/>
  <c r="I71" i="5" s="1"/>
  <c r="G71" i="5"/>
  <c r="C71" i="5" s="1"/>
  <c r="N71" i="5" s="1"/>
  <c r="P71" i="5" s="1"/>
  <c r="F74" i="4"/>
  <c r="B74" i="4" s="1"/>
  <c r="I74" i="4" s="1"/>
  <c r="G72" i="7"/>
  <c r="C72" i="7" s="1"/>
  <c r="N72" i="7" s="1"/>
  <c r="P72" i="7" s="1"/>
  <c r="K71" i="1"/>
  <c r="S71" i="1"/>
  <c r="B61" i="8"/>
  <c r="K69" i="5"/>
  <c r="L59" i="8" s="1"/>
  <c r="H59" i="8"/>
  <c r="K73" i="4" l="1"/>
  <c r="K63" i="8" s="1"/>
  <c r="G63" i="8"/>
  <c r="A76" i="1"/>
  <c r="B75" i="1"/>
  <c r="P75" i="1"/>
  <c r="F72" i="5"/>
  <c r="B72" i="5" s="1"/>
  <c r="I72" i="5" s="1"/>
  <c r="A74" i="5"/>
  <c r="D73" i="5"/>
  <c r="E73" i="5"/>
  <c r="O73" i="5"/>
  <c r="F75" i="4"/>
  <c r="B75" i="4" s="1"/>
  <c r="I75" i="4" s="1"/>
  <c r="N70" i="5"/>
  <c r="P70" i="5" s="1"/>
  <c r="Q70" i="5"/>
  <c r="R71" i="5"/>
  <c r="J71" i="5"/>
  <c r="D61" i="8"/>
  <c r="Q73" i="7"/>
  <c r="A77" i="4"/>
  <c r="E76" i="4"/>
  <c r="D76" i="4"/>
  <c r="O76" i="4"/>
  <c r="Q71" i="5"/>
  <c r="H73" i="1"/>
  <c r="D73" i="1" s="1"/>
  <c r="F61" i="8"/>
  <c r="L71" i="1"/>
  <c r="J61" i="8" s="1"/>
  <c r="J73" i="7"/>
  <c r="E63" i="8"/>
  <c r="R73" i="7"/>
  <c r="H60" i="8"/>
  <c r="K70" i="5"/>
  <c r="L60" i="8" s="1"/>
  <c r="I62" i="8"/>
  <c r="K72" i="7"/>
  <c r="M62" i="8" s="1"/>
  <c r="E74" i="1"/>
  <c r="H74" i="1" s="1"/>
  <c r="D74" i="1" s="1"/>
  <c r="O74" i="1" s="1"/>
  <c r="Q74" i="1" s="1"/>
  <c r="F74" i="1"/>
  <c r="G74" i="1" s="1"/>
  <c r="O72" i="1"/>
  <c r="Q72" i="1" s="1"/>
  <c r="R72" i="1"/>
  <c r="C73" i="1"/>
  <c r="J73" i="1"/>
  <c r="C64" i="8"/>
  <c r="J74" i="4"/>
  <c r="R74" i="4"/>
  <c r="A75" i="7"/>
  <c r="E74" i="7"/>
  <c r="F74" i="7" s="1"/>
  <c r="B74" i="7" s="1"/>
  <c r="I74" i="7" s="1"/>
  <c r="D74" i="7"/>
  <c r="O74" i="7"/>
  <c r="G74" i="4"/>
  <c r="C74" i="4" s="1"/>
  <c r="Q72" i="7"/>
  <c r="R74" i="1"/>
  <c r="S72" i="1"/>
  <c r="K72" i="1"/>
  <c r="B62" i="8"/>
  <c r="F76" i="4" l="1"/>
  <c r="B76" i="4" s="1"/>
  <c r="I76" i="4" s="1"/>
  <c r="N74" i="4"/>
  <c r="P74" i="4" s="1"/>
  <c r="Q74" i="4"/>
  <c r="G74" i="7"/>
  <c r="C74" i="7" s="1"/>
  <c r="N74" i="7" s="1"/>
  <c r="P74" i="7" s="1"/>
  <c r="G72" i="5"/>
  <c r="C72" i="5" s="1"/>
  <c r="R72" i="5"/>
  <c r="D62" i="8"/>
  <c r="J72" i="5"/>
  <c r="C65" i="8"/>
  <c r="J75" i="4"/>
  <c r="R75" i="4"/>
  <c r="J74" i="1"/>
  <c r="C74" i="1"/>
  <c r="K73" i="7"/>
  <c r="M63" i="8" s="1"/>
  <c r="I63" i="8"/>
  <c r="A78" i="4"/>
  <c r="E77" i="4"/>
  <c r="D77" i="4"/>
  <c r="O77" i="4"/>
  <c r="G75" i="4"/>
  <c r="C75" i="4" s="1"/>
  <c r="R74" i="7"/>
  <c r="E64" i="8"/>
  <c r="J74" i="7"/>
  <c r="L72" i="1"/>
  <c r="J62" i="8" s="1"/>
  <c r="F62" i="8"/>
  <c r="A76" i="7"/>
  <c r="E75" i="7"/>
  <c r="F75" i="7" s="1"/>
  <c r="B75" i="7" s="1"/>
  <c r="I75" i="7" s="1"/>
  <c r="D75" i="7"/>
  <c r="G75" i="7" s="1"/>
  <c r="C75" i="7" s="1"/>
  <c r="N75" i="7" s="1"/>
  <c r="P75" i="7" s="1"/>
  <c r="O75" i="7"/>
  <c r="G64" i="8"/>
  <c r="K74" i="4"/>
  <c r="K64" i="8" s="1"/>
  <c r="F75" i="1"/>
  <c r="G75" i="1" s="1"/>
  <c r="E75" i="1"/>
  <c r="H75" i="1" s="1"/>
  <c r="D75" i="1" s="1"/>
  <c r="O75" i="1" s="1"/>
  <c r="Q75" i="1" s="1"/>
  <c r="B76" i="1"/>
  <c r="A77" i="1"/>
  <c r="P76" i="1"/>
  <c r="S73" i="1"/>
  <c r="B63" i="8"/>
  <c r="K73" i="1"/>
  <c r="O73" i="1"/>
  <c r="Q73" i="1" s="1"/>
  <c r="R73" i="1"/>
  <c r="H61" i="8"/>
  <c r="K71" i="5"/>
  <c r="L61" i="8" s="1"/>
  <c r="F73" i="5"/>
  <c r="B73" i="5" s="1"/>
  <c r="I73" i="5" s="1"/>
  <c r="A75" i="5"/>
  <c r="D74" i="5"/>
  <c r="E74" i="5"/>
  <c r="O74" i="5"/>
  <c r="R73" i="5" l="1"/>
  <c r="J73" i="5"/>
  <c r="D63" i="8"/>
  <c r="Q75" i="7"/>
  <c r="R75" i="7"/>
  <c r="E65" i="8"/>
  <c r="J75" i="7"/>
  <c r="N75" i="4"/>
  <c r="P75" i="4" s="1"/>
  <c r="Q75" i="4"/>
  <c r="S74" i="1"/>
  <c r="K74" i="1"/>
  <c r="B64" i="8"/>
  <c r="B77" i="1"/>
  <c r="A78" i="1"/>
  <c r="P77" i="1"/>
  <c r="R75" i="1"/>
  <c r="F77" i="4"/>
  <c r="B77" i="4" s="1"/>
  <c r="I77" i="4" s="1"/>
  <c r="G65" i="8"/>
  <c r="K75" i="4"/>
  <c r="K65" i="8" s="1"/>
  <c r="Q74" i="5"/>
  <c r="J75" i="1"/>
  <c r="C75" i="1"/>
  <c r="F63" i="8"/>
  <c r="L73" i="1"/>
  <c r="J63" i="8" s="1"/>
  <c r="A77" i="7"/>
  <c r="E76" i="7"/>
  <c r="F76" i="7" s="1"/>
  <c r="B76" i="7" s="1"/>
  <c r="I76" i="7" s="1"/>
  <c r="D76" i="7"/>
  <c r="O76" i="7"/>
  <c r="A76" i="5"/>
  <c r="E75" i="5"/>
  <c r="D75" i="5"/>
  <c r="O75" i="5"/>
  <c r="Q74" i="7"/>
  <c r="I64" i="8"/>
  <c r="K74" i="7"/>
  <c r="M64" i="8" s="1"/>
  <c r="A79" i="4"/>
  <c r="E78" i="4"/>
  <c r="D78" i="4"/>
  <c r="O78" i="4"/>
  <c r="K72" i="5"/>
  <c r="L62" i="8" s="1"/>
  <c r="H62" i="8"/>
  <c r="G76" i="4"/>
  <c r="C76" i="4" s="1"/>
  <c r="N72" i="5"/>
  <c r="P72" i="5" s="1"/>
  <c r="Q72" i="5"/>
  <c r="E76" i="1"/>
  <c r="H76" i="1" s="1"/>
  <c r="D76" i="1" s="1"/>
  <c r="O76" i="1" s="1"/>
  <c r="Q76" i="1" s="1"/>
  <c r="F76" i="1"/>
  <c r="G76" i="1" s="1"/>
  <c r="F74" i="5"/>
  <c r="B74" i="5" s="1"/>
  <c r="I74" i="5" s="1"/>
  <c r="G74" i="5"/>
  <c r="C74" i="5" s="1"/>
  <c r="N74" i="5" s="1"/>
  <c r="P74" i="5" s="1"/>
  <c r="G73" i="5"/>
  <c r="C73" i="5" s="1"/>
  <c r="R76" i="4"/>
  <c r="J76" i="4"/>
  <c r="C66" i="8"/>
  <c r="A77" i="5" l="1"/>
  <c r="D76" i="5"/>
  <c r="E76" i="5"/>
  <c r="O76" i="5"/>
  <c r="S75" i="1"/>
  <c r="K75" i="1"/>
  <c r="B65" i="8"/>
  <c r="I65" i="8"/>
  <c r="K75" i="7"/>
  <c r="M65" i="8" s="1"/>
  <c r="G76" i="7"/>
  <c r="C76" i="7" s="1"/>
  <c r="N76" i="7" s="1"/>
  <c r="P76" i="7" s="1"/>
  <c r="E77" i="1"/>
  <c r="F77" i="1"/>
  <c r="G77" i="1" s="1"/>
  <c r="J76" i="7"/>
  <c r="R76" i="7"/>
  <c r="E66" i="8"/>
  <c r="B78" i="1"/>
  <c r="A79" i="1"/>
  <c r="P78" i="1"/>
  <c r="N73" i="5"/>
  <c r="P73" i="5" s="1"/>
  <c r="Q73" i="5"/>
  <c r="A78" i="7"/>
  <c r="D77" i="7"/>
  <c r="E77" i="7"/>
  <c r="F77" i="7" s="1"/>
  <c r="B77" i="7" s="1"/>
  <c r="I77" i="7" s="1"/>
  <c r="O77" i="7"/>
  <c r="G77" i="4"/>
  <c r="C77" i="4" s="1"/>
  <c r="F64" i="8"/>
  <c r="L74" i="1"/>
  <c r="J64" i="8" s="1"/>
  <c r="R76" i="1"/>
  <c r="A80" i="4"/>
  <c r="E79" i="4"/>
  <c r="D79" i="4"/>
  <c r="O79" i="4"/>
  <c r="N76" i="4"/>
  <c r="P76" i="4" s="1"/>
  <c r="Q76" i="4"/>
  <c r="J77" i="4"/>
  <c r="C67" i="8"/>
  <c r="R77" i="4"/>
  <c r="R74" i="5"/>
  <c r="J74" i="5"/>
  <c r="D64" i="8"/>
  <c r="F75" i="5"/>
  <c r="B75" i="5" s="1"/>
  <c r="I75" i="5" s="1"/>
  <c r="K73" i="5"/>
  <c r="L63" i="8" s="1"/>
  <c r="H63" i="8"/>
  <c r="Q76" i="7"/>
  <c r="G66" i="8"/>
  <c r="K76" i="4"/>
  <c r="K66" i="8" s="1"/>
  <c r="J76" i="1"/>
  <c r="C76" i="1"/>
  <c r="F78" i="4"/>
  <c r="B78" i="4" s="1"/>
  <c r="I78" i="4" s="1"/>
  <c r="R77" i="7" l="1"/>
  <c r="E67" i="8"/>
  <c r="J77" i="7"/>
  <c r="G77" i="7"/>
  <c r="C77" i="7" s="1"/>
  <c r="N77" i="7" s="1"/>
  <c r="P77" i="7" s="1"/>
  <c r="G78" i="4"/>
  <c r="C78" i="4" s="1"/>
  <c r="A81" i="4"/>
  <c r="D80" i="4"/>
  <c r="E80" i="4"/>
  <c r="O80" i="4"/>
  <c r="A79" i="7"/>
  <c r="E78" i="7"/>
  <c r="F78" i="7" s="1"/>
  <c r="B78" i="7" s="1"/>
  <c r="I78" i="7" s="1"/>
  <c r="D78" i="7"/>
  <c r="O78" i="7"/>
  <c r="I66" i="8"/>
  <c r="K76" i="7"/>
  <c r="M66" i="8" s="1"/>
  <c r="L75" i="1"/>
  <c r="J65" i="8" s="1"/>
  <c r="F65" i="8"/>
  <c r="J78" i="4"/>
  <c r="R78" i="4"/>
  <c r="C68" i="8"/>
  <c r="J77" i="1"/>
  <c r="C77" i="1"/>
  <c r="R75" i="5"/>
  <c r="J75" i="5"/>
  <c r="D65" i="8"/>
  <c r="G75" i="5"/>
  <c r="C75" i="5" s="1"/>
  <c r="H77" i="1"/>
  <c r="D77" i="1" s="1"/>
  <c r="K77" i="4"/>
  <c r="K67" i="8" s="1"/>
  <c r="G67" i="8"/>
  <c r="F76" i="5"/>
  <c r="B76" i="5" s="1"/>
  <c r="I76" i="5" s="1"/>
  <c r="F79" i="4"/>
  <c r="B79" i="4" s="1"/>
  <c r="I79" i="4" s="1"/>
  <c r="G79" i="4"/>
  <c r="C79" i="4" s="1"/>
  <c r="N79" i="4" s="1"/>
  <c r="P79" i="4" s="1"/>
  <c r="K76" i="1"/>
  <c r="S76" i="1"/>
  <c r="B66" i="8"/>
  <c r="N77" i="4"/>
  <c r="P77" i="4" s="1"/>
  <c r="Q77" i="4"/>
  <c r="B79" i="1"/>
  <c r="A80" i="1"/>
  <c r="P79" i="1"/>
  <c r="H64" i="8"/>
  <c r="K74" i="5"/>
  <c r="L64" i="8" s="1"/>
  <c r="Q77" i="7"/>
  <c r="F78" i="1"/>
  <c r="G78" i="1" s="1"/>
  <c r="E78" i="1"/>
  <c r="A78" i="5"/>
  <c r="D77" i="5"/>
  <c r="E77" i="5"/>
  <c r="O77" i="5"/>
  <c r="G76" i="5" l="1"/>
  <c r="C76" i="5" s="1"/>
  <c r="K75" i="5"/>
  <c r="L65" i="8" s="1"/>
  <c r="H65" i="8"/>
  <c r="J78" i="1"/>
  <c r="C78" i="1"/>
  <c r="F80" i="4"/>
  <c r="B80" i="4" s="1"/>
  <c r="I80" i="4" s="1"/>
  <c r="R76" i="5"/>
  <c r="D66" i="8"/>
  <c r="J76" i="5"/>
  <c r="Q79" i="4"/>
  <c r="A82" i="4"/>
  <c r="D81" i="4"/>
  <c r="E81" i="4"/>
  <c r="O81" i="4"/>
  <c r="K77" i="1"/>
  <c r="B67" i="8"/>
  <c r="S77" i="1"/>
  <c r="N78" i="4"/>
  <c r="P78" i="4" s="1"/>
  <c r="Q78" i="4"/>
  <c r="G78" i="7"/>
  <c r="C78" i="7" s="1"/>
  <c r="N78" i="7" s="1"/>
  <c r="P78" i="7" s="1"/>
  <c r="J78" i="7"/>
  <c r="R78" i="7"/>
  <c r="E68" i="8"/>
  <c r="K77" i="7"/>
  <c r="M67" i="8" s="1"/>
  <c r="I67" i="8"/>
  <c r="F77" i="5"/>
  <c r="B77" i="5" s="1"/>
  <c r="I77" i="5" s="1"/>
  <c r="G77" i="5"/>
  <c r="C77" i="5" s="1"/>
  <c r="N77" i="5" s="1"/>
  <c r="P77" i="5" s="1"/>
  <c r="F66" i="8"/>
  <c r="L76" i="1"/>
  <c r="J66" i="8" s="1"/>
  <c r="B80" i="1"/>
  <c r="A81" i="1"/>
  <c r="P80" i="1"/>
  <c r="N75" i="5"/>
  <c r="P75" i="5" s="1"/>
  <c r="Q75" i="5"/>
  <c r="G68" i="8"/>
  <c r="K78" i="4"/>
  <c r="K68" i="8" s="1"/>
  <c r="A80" i="7"/>
  <c r="D79" i="7"/>
  <c r="G79" i="7" s="1"/>
  <c r="C79" i="7" s="1"/>
  <c r="N79" i="7" s="1"/>
  <c r="P79" i="7" s="1"/>
  <c r="E79" i="7"/>
  <c r="F79" i="7" s="1"/>
  <c r="B79" i="7" s="1"/>
  <c r="I79" i="7" s="1"/>
  <c r="O79" i="7"/>
  <c r="O77" i="1"/>
  <c r="Q77" i="1" s="1"/>
  <c r="R77" i="1"/>
  <c r="A79" i="5"/>
  <c r="D78" i="5"/>
  <c r="E78" i="5"/>
  <c r="O78" i="5"/>
  <c r="H78" i="1"/>
  <c r="D78" i="1" s="1"/>
  <c r="F79" i="1"/>
  <c r="G79" i="1" s="1"/>
  <c r="E79" i="1"/>
  <c r="H79" i="1" s="1"/>
  <c r="D79" i="1" s="1"/>
  <c r="O79" i="1" s="1"/>
  <c r="Q79" i="1" s="1"/>
  <c r="J79" i="4"/>
  <c r="C69" i="8"/>
  <c r="R79" i="4"/>
  <c r="C70" i="8" l="1"/>
  <c r="J80" i="4"/>
  <c r="R80" i="4"/>
  <c r="G69" i="8"/>
  <c r="K79" i="4"/>
  <c r="K69" i="8" s="1"/>
  <c r="F78" i="5"/>
  <c r="B78" i="5" s="1"/>
  <c r="I78" i="5" s="1"/>
  <c r="G78" i="5"/>
  <c r="C78" i="5" s="1"/>
  <c r="N78" i="5" s="1"/>
  <c r="P78" i="5" s="1"/>
  <c r="R79" i="1"/>
  <c r="Q77" i="5"/>
  <c r="R77" i="5"/>
  <c r="D67" i="8"/>
  <c r="J77" i="5"/>
  <c r="G80" i="4"/>
  <c r="C80" i="4" s="1"/>
  <c r="F81" i="4"/>
  <c r="B81" i="4" s="1"/>
  <c r="I81" i="4" s="1"/>
  <c r="J79" i="1"/>
  <c r="C79" i="1"/>
  <c r="Q79" i="7"/>
  <c r="Q78" i="7"/>
  <c r="A83" i="4"/>
  <c r="E82" i="4"/>
  <c r="D82" i="4"/>
  <c r="O82" i="4"/>
  <c r="K78" i="1"/>
  <c r="B68" i="8"/>
  <c r="S78" i="1"/>
  <c r="E69" i="8"/>
  <c r="J79" i="7"/>
  <c r="R79" i="7"/>
  <c r="B81" i="1"/>
  <c r="A82" i="1"/>
  <c r="P81" i="1"/>
  <c r="A80" i="5"/>
  <c r="E79" i="5"/>
  <c r="D79" i="5"/>
  <c r="O79" i="5"/>
  <c r="H66" i="8"/>
  <c r="K76" i="5"/>
  <c r="L66" i="8" s="1"/>
  <c r="O78" i="1"/>
  <c r="Q78" i="1" s="1"/>
  <c r="R78" i="1"/>
  <c r="E80" i="1"/>
  <c r="F80" i="1"/>
  <c r="G80" i="1" s="1"/>
  <c r="A81" i="7"/>
  <c r="D80" i="7"/>
  <c r="G80" i="7" s="1"/>
  <c r="C80" i="7" s="1"/>
  <c r="N80" i="7" s="1"/>
  <c r="P80" i="7" s="1"/>
  <c r="E80" i="7"/>
  <c r="F80" i="7" s="1"/>
  <c r="B80" i="7" s="1"/>
  <c r="I80" i="7" s="1"/>
  <c r="O80" i="7"/>
  <c r="I68" i="8"/>
  <c r="K78" i="7"/>
  <c r="M68" i="8" s="1"/>
  <c r="L77" i="1"/>
  <c r="J67" i="8" s="1"/>
  <c r="F67" i="8"/>
  <c r="N76" i="5"/>
  <c r="P76" i="5" s="1"/>
  <c r="Q76" i="5"/>
  <c r="Q80" i="7" l="1"/>
  <c r="E70" i="8"/>
  <c r="J80" i="7"/>
  <c r="R80" i="7"/>
  <c r="F81" i="1"/>
  <c r="G81" i="1" s="1"/>
  <c r="E81" i="1"/>
  <c r="S79" i="1"/>
  <c r="K79" i="1"/>
  <c r="B69" i="8"/>
  <c r="F82" i="4"/>
  <c r="B82" i="4" s="1"/>
  <c r="I82" i="4" s="1"/>
  <c r="K79" i="7"/>
  <c r="M69" i="8" s="1"/>
  <c r="I69" i="8"/>
  <c r="G81" i="4"/>
  <c r="C81" i="4" s="1"/>
  <c r="R78" i="5"/>
  <c r="D68" i="8"/>
  <c r="J78" i="5"/>
  <c r="C71" i="8"/>
  <c r="R81" i="4"/>
  <c r="J81" i="4"/>
  <c r="F79" i="5"/>
  <c r="B79" i="5" s="1"/>
  <c r="I79" i="5" s="1"/>
  <c r="A84" i="4"/>
  <c r="E83" i="4"/>
  <c r="D83" i="4"/>
  <c r="O83" i="4"/>
  <c r="N80" i="4"/>
  <c r="P80" i="4" s="1"/>
  <c r="Q80" i="4"/>
  <c r="H80" i="1"/>
  <c r="D80" i="1" s="1"/>
  <c r="H67" i="8"/>
  <c r="K77" i="5"/>
  <c r="L67" i="8" s="1"/>
  <c r="C80" i="1"/>
  <c r="J80" i="1"/>
  <c r="Q78" i="5"/>
  <c r="A82" i="7"/>
  <c r="D81" i="7"/>
  <c r="E81" i="7"/>
  <c r="F81" i="7" s="1"/>
  <c r="B81" i="7" s="1"/>
  <c r="I81" i="7" s="1"/>
  <c r="O81" i="7"/>
  <c r="A81" i="5"/>
  <c r="E80" i="5"/>
  <c r="D80" i="5"/>
  <c r="O80" i="5"/>
  <c r="K80" i="4"/>
  <c r="K70" i="8" s="1"/>
  <c r="G70" i="8"/>
  <c r="B82" i="1"/>
  <c r="A83" i="1"/>
  <c r="P82" i="1"/>
  <c r="F68" i="8"/>
  <c r="L78" i="1"/>
  <c r="J68" i="8" s="1"/>
  <c r="A85" i="4" l="1"/>
  <c r="D84" i="4"/>
  <c r="E84" i="4"/>
  <c r="O84" i="4"/>
  <c r="O80" i="1"/>
  <c r="Q80" i="1" s="1"/>
  <c r="R80" i="1"/>
  <c r="G79" i="5"/>
  <c r="C79" i="5" s="1"/>
  <c r="N81" i="4"/>
  <c r="P81" i="4" s="1"/>
  <c r="Q81" i="4"/>
  <c r="R79" i="5"/>
  <c r="D69" i="8"/>
  <c r="J79" i="5"/>
  <c r="H81" i="1"/>
  <c r="D81" i="1" s="1"/>
  <c r="F82" i="1"/>
  <c r="G82" i="1" s="1"/>
  <c r="E82" i="1"/>
  <c r="C81" i="1"/>
  <c r="J81" i="1"/>
  <c r="J81" i="7"/>
  <c r="E71" i="8"/>
  <c r="R81" i="7"/>
  <c r="G82" i="4"/>
  <c r="C82" i="4" s="1"/>
  <c r="G71" i="8"/>
  <c r="K81" i="4"/>
  <c r="K71" i="8" s="1"/>
  <c r="J82" i="4"/>
  <c r="R82" i="4"/>
  <c r="C72" i="8"/>
  <c r="K80" i="7"/>
  <c r="M70" i="8" s="1"/>
  <c r="I70" i="8"/>
  <c r="G81" i="7"/>
  <c r="C81" i="7" s="1"/>
  <c r="N81" i="7" s="1"/>
  <c r="P81" i="7" s="1"/>
  <c r="F80" i="5"/>
  <c r="B80" i="5" s="1"/>
  <c r="I80" i="5" s="1"/>
  <c r="K78" i="5"/>
  <c r="L68" i="8" s="1"/>
  <c r="H68" i="8"/>
  <c r="A83" i="7"/>
  <c r="E82" i="7"/>
  <c r="F82" i="7" s="1"/>
  <c r="B82" i="7" s="1"/>
  <c r="I82" i="7" s="1"/>
  <c r="D82" i="7"/>
  <c r="G82" i="7" s="1"/>
  <c r="C82" i="7" s="1"/>
  <c r="N82" i="7" s="1"/>
  <c r="P82" i="7" s="1"/>
  <c r="O82" i="7"/>
  <c r="K80" i="1"/>
  <c r="S80" i="1"/>
  <c r="B70" i="8"/>
  <c r="F83" i="4"/>
  <c r="B83" i="4" s="1"/>
  <c r="I83" i="4" s="1"/>
  <c r="B83" i="1"/>
  <c r="A84" i="1"/>
  <c r="P83" i="1"/>
  <c r="A82" i="5"/>
  <c r="D81" i="5"/>
  <c r="E81" i="5"/>
  <c r="O81" i="5"/>
  <c r="F69" i="8"/>
  <c r="L79" i="1"/>
  <c r="J69" i="8" s="1"/>
  <c r="A85" i="1" l="1"/>
  <c r="B84" i="1"/>
  <c r="P84" i="1"/>
  <c r="Q82" i="7"/>
  <c r="H82" i="1"/>
  <c r="D82" i="1" s="1"/>
  <c r="N79" i="5"/>
  <c r="P79" i="5" s="1"/>
  <c r="Q79" i="5"/>
  <c r="R82" i="7"/>
  <c r="E72" i="8"/>
  <c r="J82" i="7"/>
  <c r="O81" i="1"/>
  <c r="Q81" i="1" s="1"/>
  <c r="R81" i="1"/>
  <c r="A83" i="5"/>
  <c r="E82" i="5"/>
  <c r="D82" i="5"/>
  <c r="O82" i="5"/>
  <c r="F70" i="8"/>
  <c r="L80" i="1"/>
  <c r="J70" i="8" s="1"/>
  <c r="F83" i="1"/>
  <c r="G83" i="1" s="1"/>
  <c r="E83" i="1"/>
  <c r="R83" i="4"/>
  <c r="C73" i="8"/>
  <c r="J83" i="4"/>
  <c r="A84" i="7"/>
  <c r="D83" i="7"/>
  <c r="G83" i="7" s="1"/>
  <c r="C83" i="7" s="1"/>
  <c r="N83" i="7" s="1"/>
  <c r="E83" i="7"/>
  <c r="F83" i="7" s="1"/>
  <c r="B83" i="7" s="1"/>
  <c r="I83" i="7" s="1"/>
  <c r="O83" i="7"/>
  <c r="Q83" i="7" s="1"/>
  <c r="H69" i="8"/>
  <c r="K79" i="5"/>
  <c r="L69" i="8" s="1"/>
  <c r="J82" i="1"/>
  <c r="C82" i="1"/>
  <c r="G83" i="4"/>
  <c r="C83" i="4" s="1"/>
  <c r="R80" i="5"/>
  <c r="D70" i="8"/>
  <c r="J80" i="5"/>
  <c r="N82" i="4"/>
  <c r="P82" i="4" s="1"/>
  <c r="Q82" i="4"/>
  <c r="F81" i="5"/>
  <c r="B81" i="5" s="1"/>
  <c r="I81" i="5" s="1"/>
  <c r="G72" i="8"/>
  <c r="K82" i="4"/>
  <c r="K72" i="8" s="1"/>
  <c r="I71" i="8"/>
  <c r="K81" i="7"/>
  <c r="M71" i="8" s="1"/>
  <c r="F84" i="4"/>
  <c r="B84" i="4" s="1"/>
  <c r="I84" i="4" s="1"/>
  <c r="G80" i="5"/>
  <c r="C80" i="5" s="1"/>
  <c r="B71" i="8"/>
  <c r="K81" i="1"/>
  <c r="S81" i="1"/>
  <c r="A86" i="4"/>
  <c r="E85" i="4"/>
  <c r="D85" i="4"/>
  <c r="O85" i="4"/>
  <c r="Q81" i="7"/>
  <c r="C74" i="8" l="1"/>
  <c r="J84" i="4"/>
  <c r="R84" i="4"/>
  <c r="G84" i="4"/>
  <c r="C84" i="4" s="1"/>
  <c r="B72" i="8"/>
  <c r="S82" i="1"/>
  <c r="K82" i="1"/>
  <c r="K83" i="4"/>
  <c r="K73" i="8" s="1"/>
  <c r="G73" i="8"/>
  <c r="F82" i="5"/>
  <c r="B82" i="5" s="1"/>
  <c r="I82" i="5" s="1"/>
  <c r="A84" i="5"/>
  <c r="D83" i="5"/>
  <c r="E83" i="5"/>
  <c r="O83" i="5"/>
  <c r="O82" i="1"/>
  <c r="Q82" i="1" s="1"/>
  <c r="R82" i="1"/>
  <c r="A87" i="4"/>
  <c r="E86" i="4"/>
  <c r="D86" i="4"/>
  <c r="O86" i="4"/>
  <c r="H70" i="8"/>
  <c r="K80" i="5"/>
  <c r="L70" i="8" s="1"/>
  <c r="H83" i="1"/>
  <c r="D83" i="1" s="1"/>
  <c r="C83" i="1"/>
  <c r="J83" i="1"/>
  <c r="F85" i="4"/>
  <c r="B85" i="4" s="1"/>
  <c r="I85" i="4" s="1"/>
  <c r="L81" i="1"/>
  <c r="J71" i="8" s="1"/>
  <c r="F71" i="8"/>
  <c r="R83" i="7"/>
  <c r="E73" i="8"/>
  <c r="J83" i="7"/>
  <c r="K82" i="7"/>
  <c r="M72" i="8" s="1"/>
  <c r="I72" i="8"/>
  <c r="E84" i="1"/>
  <c r="F84" i="1"/>
  <c r="G84" i="1" s="1"/>
  <c r="P83" i="7"/>
  <c r="A86" i="1"/>
  <c r="B85" i="1"/>
  <c r="P85" i="1"/>
  <c r="R81" i="5"/>
  <c r="J81" i="5"/>
  <c r="D71" i="8"/>
  <c r="N83" i="4"/>
  <c r="P83" i="4" s="1"/>
  <c r="Q83" i="4"/>
  <c r="N80" i="5"/>
  <c r="P80" i="5" s="1"/>
  <c r="Q80" i="5"/>
  <c r="G81" i="5"/>
  <c r="C81" i="5" s="1"/>
  <c r="A85" i="7"/>
  <c r="E84" i="7"/>
  <c r="F84" i="7" s="1"/>
  <c r="B84" i="7" s="1"/>
  <c r="I84" i="7" s="1"/>
  <c r="D84" i="7"/>
  <c r="G84" i="7" s="1"/>
  <c r="C84" i="7" s="1"/>
  <c r="N84" i="7" s="1"/>
  <c r="P84" i="7" s="1"/>
  <c r="O84" i="7"/>
  <c r="D87" i="4" l="1"/>
  <c r="E87" i="4"/>
  <c r="O87" i="4"/>
  <c r="F72" i="8"/>
  <c r="L82" i="1"/>
  <c r="J72" i="8" s="1"/>
  <c r="J85" i="4"/>
  <c r="R85" i="4"/>
  <c r="C75" i="8"/>
  <c r="J84" i="7"/>
  <c r="R84" i="7"/>
  <c r="E74" i="8"/>
  <c r="H71" i="8"/>
  <c r="K81" i="5"/>
  <c r="L71" i="8" s="1"/>
  <c r="G85" i="4"/>
  <c r="C85" i="4" s="1"/>
  <c r="F86" i="4"/>
  <c r="B86" i="4" s="1"/>
  <c r="I86" i="4" s="1"/>
  <c r="A85" i="5"/>
  <c r="E84" i="5"/>
  <c r="D84" i="5"/>
  <c r="O84" i="5"/>
  <c r="N84" i="4"/>
  <c r="P84" i="4" s="1"/>
  <c r="Q84" i="4"/>
  <c r="J84" i="1"/>
  <c r="C84" i="1"/>
  <c r="H84" i="1"/>
  <c r="D84" i="1" s="1"/>
  <c r="F83" i="5"/>
  <c r="B83" i="5" s="1"/>
  <c r="I83" i="5" s="1"/>
  <c r="A86" i="7"/>
  <c r="D85" i="7"/>
  <c r="E85" i="7"/>
  <c r="F85" i="7" s="1"/>
  <c r="B85" i="7" s="1"/>
  <c r="I85" i="7" s="1"/>
  <c r="O85" i="7"/>
  <c r="G82" i="5"/>
  <c r="C82" i="5" s="1"/>
  <c r="Q84" i="7"/>
  <c r="N81" i="5"/>
  <c r="P81" i="5" s="1"/>
  <c r="Q81" i="5"/>
  <c r="I73" i="8"/>
  <c r="K83" i="7"/>
  <c r="M73" i="8" s="1"/>
  <c r="B73" i="8"/>
  <c r="S83" i="1"/>
  <c r="K83" i="1"/>
  <c r="R82" i="5"/>
  <c r="D72" i="8"/>
  <c r="J82" i="5"/>
  <c r="F85" i="1"/>
  <c r="G85" i="1" s="1"/>
  <c r="E85" i="1"/>
  <c r="K84" i="4"/>
  <c r="K74" i="8" s="1"/>
  <c r="G74" i="8"/>
  <c r="B86" i="1"/>
  <c r="A87" i="1"/>
  <c r="P86" i="1"/>
  <c r="O83" i="1"/>
  <c r="Q83" i="1" s="1"/>
  <c r="R83" i="1"/>
  <c r="H85" i="1" l="1"/>
  <c r="D85" i="1" s="1"/>
  <c r="G85" i="7"/>
  <c r="C85" i="7" s="1"/>
  <c r="N85" i="7" s="1"/>
  <c r="P85" i="7" s="1"/>
  <c r="N85" i="4"/>
  <c r="P85" i="4" s="1"/>
  <c r="Q85" i="4"/>
  <c r="G75" i="8"/>
  <c r="K85" i="4"/>
  <c r="K75" i="8" s="1"/>
  <c r="E75" i="8"/>
  <c r="J85" i="7"/>
  <c r="R85" i="7"/>
  <c r="A87" i="7"/>
  <c r="D86" i="7"/>
  <c r="E86" i="7"/>
  <c r="F86" i="7" s="1"/>
  <c r="B86" i="7" s="1"/>
  <c r="I86" i="7" s="1"/>
  <c r="O86" i="7"/>
  <c r="K82" i="5"/>
  <c r="L72" i="8" s="1"/>
  <c r="H72" i="8"/>
  <c r="G83" i="5"/>
  <c r="C83" i="5" s="1"/>
  <c r="R83" i="5"/>
  <c r="J83" i="5"/>
  <c r="D73" i="8"/>
  <c r="F84" i="5"/>
  <c r="B84" i="5" s="1"/>
  <c r="I84" i="5" s="1"/>
  <c r="B74" i="8"/>
  <c r="K84" i="1"/>
  <c r="S84" i="1"/>
  <c r="B87" i="1"/>
  <c r="P87" i="1"/>
  <c r="N82" i="5"/>
  <c r="P82" i="5" s="1"/>
  <c r="Q82" i="5"/>
  <c r="J85" i="1"/>
  <c r="C85" i="1"/>
  <c r="F86" i="1"/>
  <c r="G86" i="1" s="1"/>
  <c r="E86" i="1"/>
  <c r="H86" i="1" s="1"/>
  <c r="D86" i="1" s="1"/>
  <c r="O86" i="1" s="1"/>
  <c r="Q86" i="1" s="1"/>
  <c r="F73" i="8"/>
  <c r="L83" i="1"/>
  <c r="J73" i="8" s="1"/>
  <c r="O84" i="1"/>
  <c r="Q84" i="1" s="1"/>
  <c r="R84" i="1"/>
  <c r="A86" i="5"/>
  <c r="E85" i="5"/>
  <c r="D85" i="5"/>
  <c r="O85" i="5"/>
  <c r="I74" i="8"/>
  <c r="K84" i="7"/>
  <c r="M74" i="8" s="1"/>
  <c r="Q85" i="7"/>
  <c r="G86" i="4"/>
  <c r="C86" i="4" s="1"/>
  <c r="G87" i="4"/>
  <c r="C87" i="4" s="1"/>
  <c r="N87" i="4" s="1"/>
  <c r="P87" i="4" s="1"/>
  <c r="F87" i="4"/>
  <c r="B87" i="4" s="1"/>
  <c r="I87" i="4" s="1"/>
  <c r="J15" i="4"/>
  <c r="R86" i="4"/>
  <c r="C76" i="8"/>
  <c r="J86" i="4"/>
  <c r="A87" i="5" l="1"/>
  <c r="D86" i="5"/>
  <c r="E86" i="5"/>
  <c r="O86" i="5"/>
  <c r="B75" i="8"/>
  <c r="S85" i="1"/>
  <c r="K85" i="1"/>
  <c r="L84" i="1"/>
  <c r="J74" i="8" s="1"/>
  <c r="F74" i="8"/>
  <c r="N83" i="5"/>
  <c r="P83" i="5" s="1"/>
  <c r="Q83" i="5"/>
  <c r="K85" i="7"/>
  <c r="M75" i="8" s="1"/>
  <c r="I75" i="8"/>
  <c r="R84" i="5"/>
  <c r="D74" i="8"/>
  <c r="J84" i="5"/>
  <c r="K86" i="4"/>
  <c r="K76" i="8" s="1"/>
  <c r="G76" i="8"/>
  <c r="Q87" i="4"/>
  <c r="G84" i="5"/>
  <c r="C84" i="5" s="1"/>
  <c r="Q86" i="7"/>
  <c r="N86" i="4"/>
  <c r="P86" i="4" s="1"/>
  <c r="Q86" i="4"/>
  <c r="R86" i="7"/>
  <c r="J86" i="7"/>
  <c r="E76" i="8"/>
  <c r="J15" i="7"/>
  <c r="E87" i="1"/>
  <c r="F87" i="1"/>
  <c r="G87" i="1" s="1"/>
  <c r="K83" i="5"/>
  <c r="L73" i="8" s="1"/>
  <c r="H73" i="8"/>
  <c r="G86" i="7"/>
  <c r="C86" i="7" s="1"/>
  <c r="N86" i="7" s="1"/>
  <c r="P86" i="7" s="1"/>
  <c r="F85" i="5"/>
  <c r="B85" i="5" s="1"/>
  <c r="I85" i="5" s="1"/>
  <c r="J86" i="1"/>
  <c r="C86" i="1"/>
  <c r="R86" i="1"/>
  <c r="D87" i="7"/>
  <c r="G87" i="7" s="1"/>
  <c r="C87" i="7" s="1"/>
  <c r="N87" i="7" s="1"/>
  <c r="P87" i="7" s="1"/>
  <c r="E87" i="7"/>
  <c r="F87" i="7" s="1"/>
  <c r="B87" i="7" s="1"/>
  <c r="I87" i="7" s="1"/>
  <c r="O87" i="7"/>
  <c r="K15" i="4"/>
  <c r="K5" i="8" s="1"/>
  <c r="G5" i="8"/>
  <c r="K16" i="4"/>
  <c r="K6" i="8" s="1"/>
  <c r="R87" i="4"/>
  <c r="R89" i="4" s="1"/>
  <c r="R90" i="4" s="1"/>
  <c r="R91" i="4" s="1"/>
  <c r="C77" i="8"/>
  <c r="J87" i="4"/>
  <c r="O85" i="1"/>
  <c r="Q85" i="1" s="1"/>
  <c r="R85" i="1"/>
  <c r="K84" i="5" l="1"/>
  <c r="L74" i="8" s="1"/>
  <c r="H74" i="8"/>
  <c r="F75" i="8"/>
  <c r="L85" i="1"/>
  <c r="J75" i="8" s="1"/>
  <c r="C87" i="1"/>
  <c r="J87" i="1"/>
  <c r="K86" i="1"/>
  <c r="S86" i="1"/>
  <c r="B76" i="8"/>
  <c r="K15" i="1"/>
  <c r="K87" i="4"/>
  <c r="K77" i="8" s="1"/>
  <c r="G77" i="8"/>
  <c r="H87" i="1"/>
  <c r="D87" i="1" s="1"/>
  <c r="G85" i="5"/>
  <c r="C85" i="5" s="1"/>
  <c r="K15" i="7"/>
  <c r="M5" i="8" s="1"/>
  <c r="I5" i="8"/>
  <c r="K16" i="7"/>
  <c r="M6" i="8" s="1"/>
  <c r="N84" i="5"/>
  <c r="P84" i="5" s="1"/>
  <c r="Q84" i="5"/>
  <c r="R85" i="5"/>
  <c r="D75" i="8"/>
  <c r="J85" i="5"/>
  <c r="Q87" i="7"/>
  <c r="K86" i="7"/>
  <c r="M76" i="8" s="1"/>
  <c r="I76" i="8"/>
  <c r="F86" i="5"/>
  <c r="B86" i="5" s="1"/>
  <c r="I86" i="5" s="1"/>
  <c r="J87" i="7"/>
  <c r="E77" i="8"/>
  <c r="R87" i="7"/>
  <c r="R89" i="7" s="1"/>
  <c r="R90" i="7" s="1"/>
  <c r="R91" i="7" s="1"/>
  <c r="D87" i="5"/>
  <c r="E87" i="5"/>
  <c r="O87" i="5"/>
  <c r="F87" i="5" l="1"/>
  <c r="B87" i="5" s="1"/>
  <c r="I87" i="5" s="1"/>
  <c r="K85" i="5"/>
  <c r="L75" i="8" s="1"/>
  <c r="H75" i="8"/>
  <c r="K87" i="1"/>
  <c r="B77" i="8"/>
  <c r="S87" i="1"/>
  <c r="S89" i="1" s="1"/>
  <c r="S90" i="1" s="1"/>
  <c r="S91" i="1" s="1"/>
  <c r="K87" i="7"/>
  <c r="M77" i="8" s="1"/>
  <c r="I77" i="8"/>
  <c r="N85" i="5"/>
  <c r="P85" i="5" s="1"/>
  <c r="Q85" i="5"/>
  <c r="L86" i="1"/>
  <c r="J76" i="8" s="1"/>
  <c r="F76" i="8"/>
  <c r="R86" i="5"/>
  <c r="D76" i="8"/>
  <c r="J86" i="5"/>
  <c r="J15" i="5"/>
  <c r="G86" i="5"/>
  <c r="C86" i="5" s="1"/>
  <c r="L15" i="1"/>
  <c r="J5" i="8" s="1"/>
  <c r="F5" i="8"/>
  <c r="L16" i="1"/>
  <c r="J6" i="8" s="1"/>
  <c r="O87" i="1"/>
  <c r="Q87" i="1" s="1"/>
  <c r="R87" i="1"/>
  <c r="L87" i="1" l="1"/>
  <c r="J77" i="8" s="1"/>
  <c r="F77" i="8"/>
  <c r="H76" i="8"/>
  <c r="K86" i="5"/>
  <c r="L76" i="8" s="1"/>
  <c r="N86" i="5"/>
  <c r="P86" i="5" s="1"/>
  <c r="Q86" i="5"/>
  <c r="R87" i="5"/>
  <c r="R89" i="5" s="1"/>
  <c r="R90" i="5" s="1"/>
  <c r="R91" i="5" s="1"/>
  <c r="J87" i="5"/>
  <c r="D77" i="8"/>
  <c r="K15" i="5"/>
  <c r="L5" i="8" s="1"/>
  <c r="H5" i="8"/>
  <c r="K16" i="5"/>
  <c r="L6" i="8" s="1"/>
  <c r="G87" i="5"/>
  <c r="C87" i="5" s="1"/>
  <c r="K87" i="5" l="1"/>
  <c r="L77" i="8" s="1"/>
  <c r="H77" i="8"/>
  <c r="N87" i="5"/>
  <c r="P87" i="5" s="1"/>
  <c r="Q87" i="5"/>
</calcChain>
</file>

<file path=xl/sharedStrings.xml><?xml version="1.0" encoding="utf-8"?>
<sst xmlns="http://schemas.openxmlformats.org/spreadsheetml/2006/main" count="346" uniqueCount="105">
  <si>
    <t>Data</t>
  </si>
  <si>
    <t>A</t>
  </si>
  <si>
    <t>P</t>
  </si>
  <si>
    <t>C</t>
  </si>
  <si>
    <t>I</t>
  </si>
  <si>
    <t>K</t>
  </si>
  <si>
    <t>R</t>
  </si>
  <si>
    <t>inches</t>
  </si>
  <si>
    <t>Phi</t>
  </si>
  <si>
    <t>Cb</t>
  </si>
  <si>
    <t>Ct</t>
  </si>
  <si>
    <t>Crank</t>
  </si>
  <si>
    <t>Angle-deg</t>
  </si>
  <si>
    <t>PR</t>
  </si>
  <si>
    <t>beta</t>
  </si>
  <si>
    <t>h</t>
  </si>
  <si>
    <t>c</t>
  </si>
  <si>
    <t>alpha</t>
  </si>
  <si>
    <t>Position</t>
  </si>
  <si>
    <t>Velocity</t>
  </si>
  <si>
    <t>(ft/sec)</t>
  </si>
  <si>
    <t>Acceleration</t>
  </si>
  <si>
    <t>Torque Factors &amp; Kinematics</t>
  </si>
  <si>
    <t>Unit:</t>
  </si>
  <si>
    <t>Zero crank angle is the during the up stroke.</t>
  </si>
  <si>
    <t>Zero crank angle is during the up stroke.</t>
  </si>
  <si>
    <t>(ft/sec^2)</t>
  </si>
  <si>
    <t>Tau</t>
  </si>
  <si>
    <t>degrees</t>
  </si>
  <si>
    <t>Well Load</t>
  </si>
  <si>
    <t>Lbs</t>
  </si>
  <si>
    <t>CBE</t>
  </si>
  <si>
    <t>Torque</t>
  </si>
  <si>
    <t>in-lbs</t>
  </si>
  <si>
    <t>Gear Box</t>
  </si>
  <si>
    <t>Load Scale</t>
  </si>
  <si>
    <t>lb/cm</t>
  </si>
  <si>
    <t>lbs</t>
  </si>
  <si>
    <t>at TF</t>
  </si>
  <si>
    <t>in</t>
  </si>
  <si>
    <t>B</t>
  </si>
  <si>
    <t>M</t>
  </si>
  <si>
    <t>Angle-rad</t>
  </si>
  <si>
    <t>deg</t>
  </si>
  <si>
    <t>(lbs)</t>
  </si>
  <si>
    <t>(in-lbs)</t>
  </si>
  <si>
    <t>C320-298-100</t>
  </si>
  <si>
    <t>Cylinder</t>
  </si>
  <si>
    <t>psi at 90 deg</t>
  </si>
  <si>
    <t>Cyl Factor</t>
  </si>
  <si>
    <t>sq in</t>
  </si>
  <si>
    <t>S</t>
  </si>
  <si>
    <t xml:space="preserve">psi  </t>
  </si>
  <si>
    <t>A320-305-100</t>
  </si>
  <si>
    <t>Angle</t>
  </si>
  <si>
    <t>(deg)</t>
  </si>
  <si>
    <t>Polished Rod Position</t>
  </si>
  <si>
    <t>Conv</t>
  </si>
  <si>
    <t>Air</t>
  </si>
  <si>
    <t>RM</t>
  </si>
  <si>
    <t>Polished Rod Velocity</t>
  </si>
  <si>
    <t>Polished Rod Acceleration</t>
  </si>
  <si>
    <t>Mark II</t>
  </si>
  <si>
    <t>Unit Size</t>
  </si>
  <si>
    <t>320-298-100</t>
  </si>
  <si>
    <t>M320-298-100</t>
  </si>
  <si>
    <t>RM320-305-100</t>
  </si>
  <si>
    <t>crank rotation</t>
  </si>
  <si>
    <t>rotation</t>
  </si>
  <si>
    <t>neg 1 is backwards</t>
  </si>
  <si>
    <t>Speed</t>
  </si>
  <si>
    <t>spm</t>
  </si>
  <si>
    <t>ft-lbf</t>
  </si>
  <si>
    <t>hp</t>
  </si>
  <si>
    <t>PR Power</t>
  </si>
  <si>
    <t>in-lbf</t>
  </si>
  <si>
    <t>Enter Data In Yellow Fields</t>
  </si>
  <si>
    <t>Polished Rod</t>
  </si>
  <si>
    <t>Factor (in)</t>
  </si>
  <si>
    <t>(inch)</t>
  </si>
  <si>
    <t>Load</t>
  </si>
  <si>
    <t xml:space="preserve">PR </t>
  </si>
  <si>
    <t>Work</t>
  </si>
  <si>
    <t>(ft-lbf)</t>
  </si>
  <si>
    <t>PR Work</t>
  </si>
  <si>
    <t>at</t>
  </si>
  <si>
    <t>Polished Rod (PR)</t>
  </si>
  <si>
    <t>Permissible</t>
  </si>
  <si>
    <t>PR Load</t>
  </si>
  <si>
    <t>(lbf)</t>
  </si>
  <si>
    <t>Unit</t>
  </si>
  <si>
    <t>Enter Data in Yellow Fields</t>
  </si>
  <si>
    <t>(in)</t>
  </si>
  <si>
    <t>(in-lbf)</t>
  </si>
  <si>
    <t>Load (lbf)</t>
  </si>
  <si>
    <t>Motor Power</t>
  </si>
  <si>
    <t>Beam</t>
  </si>
  <si>
    <t>lbf</t>
  </si>
  <si>
    <t>Factor (in</t>
  </si>
  <si>
    <t>positive 1 is CW, negative is CCW with horsehead on the right</t>
  </si>
  <si>
    <t>positive 1 is the correct crank rotation (CCW with well on the right)</t>
  </si>
  <si>
    <t>negative 1 is backwards.</t>
  </si>
  <si>
    <t>positive 1 is correct (CW with well on right),</t>
  </si>
  <si>
    <t xml:space="preserve">Load </t>
  </si>
  <si>
    <t>positive 1 is CW, negative 1 is CCW with horse head on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</si>
</sst>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5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5" borderId="4" xfId="0" applyFill="1" applyBorder="1" applyProtection="1">
      <protection locked="0"/>
    </xf>
    <xf numFmtId="0" fontId="3" fillId="0" borderId="0" xfId="0" applyFont="1" applyProtection="1">
      <protection locked="0"/>
    </xf>
    <xf numFmtId="0" fontId="0" fillId="5" borderId="4" xfId="0" applyFill="1" applyBorder="1" applyProtection="1">
      <protection locked="0"/>
    </xf>
    <xf numFmtId="0" fontId="2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/>
    <xf numFmtId="164" fontId="0" fillId="0" borderId="0" xfId="0" applyNumberFormat="1" applyProtection="1"/>
    <xf numFmtId="166" fontId="0" fillId="0" borderId="0" xfId="0" applyNumberFormat="1" applyProtection="1"/>
    <xf numFmtId="0" fontId="4" fillId="0" borderId="0" xfId="0" applyFont="1" applyProtection="1"/>
    <xf numFmtId="165" fontId="0" fillId="0" borderId="0" xfId="0" applyNumberFormat="1" applyProtection="1"/>
    <xf numFmtId="0" fontId="3" fillId="0" borderId="0" xfId="0" applyFont="1" applyProtection="1"/>
    <xf numFmtId="0" fontId="0" fillId="0" borderId="0" xfId="0" applyFill="1" applyBorder="1" applyProtection="1">
      <protection locked="0"/>
    </xf>
    <xf numFmtId="164" fontId="0" fillId="0" borderId="0" xfId="0" applyNumberFormat="1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Protection="1">
      <protection locked="0"/>
    </xf>
    <xf numFmtId="164" fontId="0" fillId="5" borderId="4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protection locked="0"/>
    </xf>
    <xf numFmtId="0" fontId="0" fillId="5" borderId="2" xfId="0" applyFill="1" applyBorder="1" applyAlignment="1" applyProtection="1">
      <protection locked="0"/>
    </xf>
    <xf numFmtId="0" fontId="0" fillId="5" borderId="3" xfId="0" applyFill="1" applyBorder="1" applyAlignme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Polished Rod Motion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Conventional Unit</a:t>
            </a:r>
          </a:p>
        </c:rich>
      </c:tx>
      <c:layout>
        <c:manualLayout>
          <c:xMode val="edge"/>
          <c:yMode val="edge"/>
          <c:x val="0.35856611079508599"/>
          <c:y val="3.8461669564031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3008961529211"/>
          <c:y val="0.37062973771635188"/>
          <c:w val="0.59761014303152915"/>
          <c:h val="0.59790311868839918"/>
        </c:manualLayout>
      </c:layout>
      <c:scatterChart>
        <c:scatterStyle val="lineMarker"/>
        <c:varyColors val="0"/>
        <c:ser>
          <c:idx val="0"/>
          <c:order val="0"/>
          <c:tx>
            <c:v>Position (unitless)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Conventional!$A$15:$A$87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Conventional!$C$15:$C$87</c:f>
              <c:numCache>
                <c:formatCode>0.000</c:formatCode>
                <c:ptCount val="73"/>
                <c:pt idx="0">
                  <c:v>4.7825890414021009E-4</c:v>
                </c:pt>
                <c:pt idx="1">
                  <c:v>8.2245896097818373E-4</c:v>
                </c:pt>
                <c:pt idx="2">
                  <c:v>6.3304293059057342E-3</c:v>
                </c:pt>
                <c:pt idx="3">
                  <c:v>1.7049377283328837E-2</c:v>
                </c:pt>
                <c:pt idx="4">
                  <c:v>3.2930828540848923E-2</c:v>
                </c:pt>
                <c:pt idx="5">
                  <c:v>5.3820706357927434E-2</c:v>
                </c:pt>
                <c:pt idx="6">
                  <c:v>7.9454865641687758E-2</c:v>
                </c:pt>
                <c:pt idx="7">
                  <c:v>0.1094616504727234</c:v>
                </c:pt>
                <c:pt idx="8">
                  <c:v>0.14337226913079654</c:v>
                </c:pt>
                <c:pt idx="9">
                  <c:v>0.18063868138425521</c:v>
                </c:pt>
                <c:pt idx="10">
                  <c:v>0.22065749720041392</c:v>
                </c:pt>
                <c:pt idx="11">
                  <c:v>0.26279739469985147</c:v>
                </c:pt>
                <c:pt idx="12">
                  <c:v>0.30642704529780057</c:v>
                </c:pt>
                <c:pt idx="13">
                  <c:v>0.3509406144940917</c:v>
                </c:pt>
                <c:pt idx="14">
                  <c:v>0.39577853083138115</c:v>
                </c:pt>
                <c:pt idx="15">
                  <c:v>0.44044217390031604</c:v>
                </c:pt>
                <c:pt idx="16">
                  <c:v>0.484502155167918</c:v>
                </c:pt>
                <c:pt idx="17">
                  <c:v>0.52760072175406758</c:v>
                </c:pt>
                <c:pt idx="18">
                  <c:v>0.5694493723211107</c:v>
                </c:pt>
                <c:pt idx="19">
                  <c:v>0.60982301447089071</c:v>
                </c:pt>
                <c:pt idx="20">
                  <c:v>0.64855197204398884</c:v>
                </c:pt>
                <c:pt idx="21">
                  <c:v>0.68551296138952345</c:v>
                </c:pt>
                <c:pt idx="22">
                  <c:v>0.72061988960989032</c:v>
                </c:pt>
                <c:pt idx="23">
                  <c:v>0.75381505466604171</c:v>
                </c:pt>
                <c:pt idx="24">
                  <c:v>0.78506108924836859</c:v>
                </c:pt>
                <c:pt idx="25">
                  <c:v>0.81433380600672989</c:v>
                </c:pt>
                <c:pt idx="26">
                  <c:v>0.84161597347089456</c:v>
                </c:pt>
                <c:pt idx="27">
                  <c:v>0.86689197339933188</c:v>
                </c:pt>
                <c:pt idx="28">
                  <c:v>0.8901432517801664</c:v>
                </c:pt>
                <c:pt idx="29">
                  <c:v>0.91134446789146517</c:v>
                </c:pt>
                <c:pt idx="30">
                  <c:v>0.93046026119517922</c:v>
                </c:pt>
                <c:pt idx="31">
                  <c:v>0.94744258917436797</c:v>
                </c:pt>
                <c:pt idx="32">
                  <c:v>0.96222863722105711</c:v>
                </c:pt>
                <c:pt idx="33">
                  <c:v>0.97473936195439714</c:v>
                </c:pt>
                <c:pt idx="34">
                  <c:v>0.9848787988745209</c:v>
                </c:pt>
                <c:pt idx="35">
                  <c:v>0.99253433825212278</c:v>
                </c:pt>
                <c:pt idx="36">
                  <c:v>0.99757823848659277</c:v>
                </c:pt>
                <c:pt idx="37">
                  <c:v>0.99987068491278541</c:v>
                </c:pt>
                <c:pt idx="38">
                  <c:v>0.99926468661833834</c:v>
                </c:pt>
                <c:pt idx="39">
                  <c:v>0.99561300122237129</c:v>
                </c:pt>
                <c:pt idx="40">
                  <c:v>0.988777059479933</c:v>
                </c:pt>
                <c:pt idx="41">
                  <c:v>0.9786375228080213</c:v>
                </c:pt>
                <c:pt idx="42">
                  <c:v>0.96510568739034708</c:v>
                </c:pt>
                <c:pt idx="43">
                  <c:v>0.94813454687585541</c:v>
                </c:pt>
                <c:pt idx="44">
                  <c:v>0.92772808505328019</c:v>
                </c:pt>
                <c:pt idx="45">
                  <c:v>0.90394742723419252</c:v>
                </c:pt>
                <c:pt idx="46">
                  <c:v>0.87691289154775554</c:v>
                </c:pt>
                <c:pt idx="47">
                  <c:v>0.84680167291160469</c:v>
                </c:pt>
                <c:pt idx="48">
                  <c:v>0.81384166588737916</c:v>
                </c:pt>
                <c:pt idx="49">
                  <c:v>0.77830255299850826</c:v>
                </c:pt>
                <c:pt idx="50">
                  <c:v>0.74048558682378707</c:v>
                </c:pt>
                <c:pt idx="51">
                  <c:v>0.70071344510108502</c:v>
                </c:pt>
                <c:pt idx="52">
                  <c:v>0.65932122777333946</c:v>
                </c:pt>
                <c:pt idx="53">
                  <c:v>0.61664923953350814</c:v>
                </c:pt>
                <c:pt idx="54">
                  <c:v>0.57303779362612217</c:v>
                </c:pt>
                <c:pt idx="55">
                  <c:v>0.52882396211105409</c:v>
                </c:pt>
                <c:pt idx="56">
                  <c:v>0.48434000770339741</c:v>
                </c:pt>
                <c:pt idx="57">
                  <c:v>0.43991314729229447</c:v>
                </c:pt>
                <c:pt idx="58">
                  <c:v>0.3958662852585364</c:v>
                </c:pt>
                <c:pt idx="59">
                  <c:v>0.35251938298781099</c:v>
                </c:pt>
                <c:pt idx="60">
                  <c:v>0.31019117385996459</c:v>
                </c:pt>
                <c:pt idx="61">
                  <c:v>0.269200973720648</c:v>
                </c:pt>
                <c:pt idx="62">
                  <c:v>0.22987036622316034</c:v>
                </c:pt>
                <c:pt idx="63">
                  <c:v>0.19252455667130694</c:v>
                </c:pt>
                <c:pt idx="64">
                  <c:v>0.1574931868340978</c:v>
                </c:pt>
                <c:pt idx="65">
                  <c:v>0.12511038879453659</c:v>
                </c:pt>
                <c:pt idx="66">
                  <c:v>9.5713832491641643E-2</c:v>
                </c:pt>
                <c:pt idx="67">
                  <c:v>6.9642495906022631E-2</c:v>
                </c:pt>
                <c:pt idx="68">
                  <c:v>4.7232868710169414E-2</c:v>
                </c:pt>
                <c:pt idx="69">
                  <c:v>2.8813303580889696E-2</c:v>
                </c:pt>
                <c:pt idx="70">
                  <c:v>1.4696272591569857E-2</c:v>
                </c:pt>
                <c:pt idx="71">
                  <c:v>5.1683909705750293E-3</c:v>
                </c:pt>
                <c:pt idx="72">
                  <c:v>4.7825890414021009E-4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2-4CF7-BD5C-B12B229888B7}"/>
            </c:ext>
          </c:extLst>
        </c:ser>
        <c:ser>
          <c:idx val="1"/>
          <c:order val="1"/>
          <c:tx>
            <c:v>Velocity (ft/sec)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Conventional!$A$15:$A$87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Conventional!$K$15:$K$87</c:f>
              <c:numCache>
                <c:formatCode>General</c:formatCode>
                <c:ptCount val="73"/>
                <c:pt idx="0">
                  <c:v>-0.28009638444855872</c:v>
                </c:pt>
                <c:pt idx="1">
                  <c:v>2.0555751966402473E-2</c:v>
                </c:pt>
                <c:pt idx="2">
                  <c:v>0.32893798243016453</c:v>
                </c:pt>
                <c:pt idx="3">
                  <c:v>0.64013945258701743</c:v>
                </c:pt>
                <c:pt idx="4">
                  <c:v>0.94844601687490959</c:v>
                </c:pt>
                <c:pt idx="5">
                  <c:v>1.2475510636491705</c:v>
                </c:pt>
                <c:pt idx="6">
                  <c:v>1.5308812698780974</c:v>
                </c:pt>
                <c:pt idx="7">
                  <c:v>1.7920160500912719</c:v>
                </c:pt>
                <c:pt idx="8">
                  <c:v>2.0251544191078961</c:v>
                </c:pt>
                <c:pt idx="9">
                  <c:v>2.2255636271448909</c:v>
                </c:pt>
                <c:pt idx="10">
                  <c:v>2.3899381640524711</c:v>
                </c:pt>
                <c:pt idx="11">
                  <c:v>2.5166099298345506</c:v>
                </c:pt>
                <c:pt idx="12">
                  <c:v>2.6055785240454443</c:v>
                </c:pt>
                <c:pt idx="13">
                  <c:v>2.6583664626440759</c:v>
                </c:pt>
                <c:pt idx="14">
                  <c:v>2.6777365912914171</c:v>
                </c:pt>
                <c:pt idx="15">
                  <c:v>2.6673289286327275</c:v>
                </c:pt>
                <c:pt idx="16">
                  <c:v>2.6312780273813332</c:v>
                </c:pt>
                <c:pt idx="17">
                  <c:v>2.5738619946521522</c:v>
                </c:pt>
                <c:pt idx="18">
                  <c:v>2.4992165576245822</c:v>
                </c:pt>
                <c:pt idx="19">
                  <c:v>2.4111285211142155</c:v>
                </c:pt>
                <c:pt idx="20">
                  <c:v>2.3129073629545704</c:v>
                </c:pt>
                <c:pt idx="21">
                  <c:v>2.2073236605457502</c:v>
                </c:pt>
                <c:pt idx="22">
                  <c:v>2.0965984591334967</c:v>
                </c:pt>
                <c:pt idx="23">
                  <c:v>1.9824272710659214</c:v>
                </c:pt>
                <c:pt idx="24">
                  <c:v>1.8660244937446004</c:v>
                </c:pt>
                <c:pt idx="25">
                  <c:v>1.7481772391190546</c:v>
                </c:pt>
                <c:pt idx="26">
                  <c:v>1.6293009148549107</c:v>
                </c:pt>
                <c:pt idx="27">
                  <c:v>1.5094918635540646</c:v>
                </c:pt>
                <c:pt idx="28">
                  <c:v>1.388574759948966</c:v>
                </c:pt>
                <c:pt idx="29">
                  <c:v>1.2661442992587841</c:v>
                </c:pt>
                <c:pt idx="30">
                  <c:v>1.1416020944387453</c:v>
                </c:pt>
                <c:pt idx="31">
                  <c:v>1.0141907731195567</c:v>
                </c:pt>
                <c:pt idx="32">
                  <c:v>0.88302814067844748</c:v>
                </c:pt>
                <c:pt idx="33">
                  <c:v>0.74714500892582125</c:v>
                </c:pt>
                <c:pt idx="34">
                  <c:v>0.6055308425098842</c:v>
                </c:pt>
                <c:pt idx="35">
                  <c:v>0.45719158230437679</c:v>
                </c:pt>
                <c:pt idx="36">
                  <c:v>0.30122354747852603</c:v>
                </c:pt>
                <c:pt idx="37">
                  <c:v>0.13690573024879882</c:v>
                </c:pt>
                <c:pt idx="38">
                  <c:v>-3.6190437465785819E-2</c:v>
                </c:pt>
                <c:pt idx="39">
                  <c:v>-0.21807997345615845</c:v>
                </c:pt>
                <c:pt idx="40">
                  <c:v>-0.40824491490565396</c:v>
                </c:pt>
                <c:pt idx="41">
                  <c:v>-0.60553679972275987</c:v>
                </c:pt>
                <c:pt idx="42">
                  <c:v>-0.80812610855212397</c:v>
                </c:pt>
                <c:pt idx="43">
                  <c:v>-1.0135226536789153</c:v>
                </c:pt>
                <c:pt idx="44">
                  <c:v>-1.2186812855006988</c:v>
                </c:pt>
                <c:pt idx="45">
                  <c:v>-1.4201894915931546</c:v>
                </c:pt>
                <c:pt idx="46">
                  <c:v>-1.6145122554667333</c:v>
                </c:pt>
                <c:pt idx="47">
                  <c:v>-1.7982528747291842</c:v>
                </c:pt>
                <c:pt idx="48">
                  <c:v>-1.9683835482914827</c:v>
                </c:pt>
                <c:pt idx="49">
                  <c:v>-2.1224086839517633</c:v>
                </c:pt>
                <c:pt idx="50">
                  <c:v>-2.2584429065778169</c:v>
                </c:pt>
                <c:pt idx="51">
                  <c:v>-2.3752066979155591</c:v>
                </c:pt>
                <c:pt idx="52">
                  <c:v>-2.471958199382533</c:v>
                </c:pt>
                <c:pt idx="53">
                  <c:v>-2.5483865814238427</c:v>
                </c:pt>
                <c:pt idx="54">
                  <c:v>-2.6044913333364144</c:v>
                </c:pt>
                <c:pt idx="55">
                  <c:v>-2.6404660198411092</c:v>
                </c:pt>
                <c:pt idx="56">
                  <c:v>-2.656597856748721</c:v>
                </c:pt>
                <c:pt idx="57">
                  <c:v>-2.6531881826112036</c:v>
                </c:pt>
                <c:pt idx="58">
                  <c:v>-2.6304945419880941</c:v>
                </c:pt>
                <c:pt idx="59">
                  <c:v>-2.5886926916120645</c:v>
                </c:pt>
                <c:pt idx="60">
                  <c:v>-2.5278559684364135</c:v>
                </c:pt>
                <c:pt idx="61">
                  <c:v>-2.4479495873924839</c:v>
                </c:pt>
                <c:pt idx="62">
                  <c:v>-2.348838114186774</c:v>
                </c:pt>
                <c:pt idx="63">
                  <c:v>-2.2303052625402997</c:v>
                </c:pt>
                <c:pt idx="64">
                  <c:v>-2.0920860851454104</c:v>
                </c:pt>
                <c:pt idx="65">
                  <c:v>-1.9339124188252779</c:v>
                </c:pt>
                <c:pt idx="66">
                  <c:v>-1.7555729815383014</c:v>
                </c:pt>
                <c:pt idx="67">
                  <c:v>-1.556989656567233</c:v>
                </c:pt>
                <c:pt idx="68">
                  <c:v>-1.3383110465735564</c:v>
                </c:pt>
                <c:pt idx="69">
                  <c:v>-1.1000230958843296</c:v>
                </c:pt>
                <c:pt idx="70">
                  <c:v>-0.84307419988334353</c:v>
                </c:pt>
                <c:pt idx="71">
                  <c:v>-0.56900853871331225</c:v>
                </c:pt>
                <c:pt idx="72">
                  <c:v>-0.28009638444855872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2-4CF7-BD5C-B12B229888B7}"/>
            </c:ext>
          </c:extLst>
        </c:ser>
        <c:ser>
          <c:idx val="2"/>
          <c:order val="2"/>
          <c:tx>
            <c:v>Acceleration (ft/sec^2)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Conventional!$A$15:$A$87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Conventional!$L$15:$L$87</c:f>
              <c:numCache>
                <c:formatCode>0.00000</c:formatCode>
                <c:ptCount val="73"/>
                <c:pt idx="0">
                  <c:v>2.0558382560397401</c:v>
                </c:pt>
                <c:pt idx="1">
                  <c:v>2.1393775051621677</c:v>
                </c:pt>
                <c:pt idx="2">
                  <c:v>2.1943832321062375</c:v>
                </c:pt>
                <c:pt idx="3">
                  <c:v>2.2144443500912243</c:v>
                </c:pt>
                <c:pt idx="4">
                  <c:v>2.1938448074787322</c:v>
                </c:pt>
                <c:pt idx="5">
                  <c:v>2.1283687399651172</c:v>
                </c:pt>
                <c:pt idx="6">
                  <c:v>2.016118285294715</c:v>
                </c:pt>
                <c:pt idx="7">
                  <c:v>1.8581802918987396</c:v>
                </c:pt>
                <c:pt idx="8">
                  <c:v>1.6589637054032331</c:v>
                </c:pt>
                <c:pt idx="9">
                  <c:v>1.4260698647088546</c:v>
                </c:pt>
                <c:pt idx="10">
                  <c:v>1.1696547075127521</c:v>
                </c:pt>
                <c:pt idx="11">
                  <c:v>0.90136970082699908</c:v>
                </c:pt>
                <c:pt idx="12">
                  <c:v>0.6330818446537928</c:v>
                </c:pt>
                <c:pt idx="13">
                  <c:v>0.37562789251536549</c:v>
                </c:pt>
                <c:pt idx="14">
                  <c:v>0.13783377026472629</c:v>
                </c:pt>
                <c:pt idx="15">
                  <c:v>-7.4058743233359661E-2</c:v>
                </c:pt>
                <c:pt idx="16">
                  <c:v>-0.25653064733791037</c:v>
                </c:pt>
                <c:pt idx="17">
                  <c:v>-0.40856043905481459</c:v>
                </c:pt>
                <c:pt idx="18">
                  <c:v>-0.53116126412410136</c:v>
                </c:pt>
                <c:pt idx="19">
                  <c:v>-0.62681598085861479</c:v>
                </c:pt>
                <c:pt idx="20">
                  <c:v>-0.69892114788665671</c:v>
                </c:pt>
                <c:pt idx="21">
                  <c:v>-0.75131146759390088</c:v>
                </c:pt>
                <c:pt idx="22">
                  <c:v>-0.7878972954610205</c:v>
                </c:pt>
                <c:pt idx="23">
                  <c:v>-0.81241821329447739</c:v>
                </c:pt>
                <c:pt idx="24">
                  <c:v>-0.82829773408270058</c:v>
                </c:pt>
                <c:pt idx="25">
                  <c:v>-0.83857633142854016</c:v>
                </c:pt>
                <c:pt idx="26">
                  <c:v>-0.84589897500697253</c:v>
                </c:pt>
                <c:pt idx="27">
                  <c:v>-0.85253606484964783</c:v>
                </c:pt>
                <c:pt idx="28">
                  <c:v>-0.86042073250086737</c:v>
                </c:pt>
                <c:pt idx="29">
                  <c:v>-0.87118946391156371</c:v>
                </c:pt>
                <c:pt idx="30">
                  <c:v>-0.88621619194996848</c:v>
                </c:pt>
                <c:pt idx="31">
                  <c:v>-0.90663222281927835</c:v>
                </c:pt>
                <c:pt idx="32">
                  <c:v>-0.93332576547890911</c:v>
                </c:pt>
                <c:pt idx="33">
                  <c:v>-0.96691584789313934</c:v>
                </c:pt>
                <c:pt idx="34">
                  <c:v>-1.0076966877906739</c:v>
                </c:pt>
                <c:pt idx="35">
                  <c:v>-1.055551043808481</c:v>
                </c:pt>
                <c:pt idx="36">
                  <c:v>-1.1098358029634441</c:v>
                </c:pt>
                <c:pt idx="37">
                  <c:v>-1.1692511021888548</c:v>
                </c:pt>
                <c:pt idx="38">
                  <c:v>-1.2317160019353544</c:v>
                </c:pt>
                <c:pt idx="39">
                  <c:v>-1.2942877651303664</c:v>
                </c:pt>
                <c:pt idx="40">
                  <c:v>-1.3531738136263072</c:v>
                </c:pt>
                <c:pt idx="41">
                  <c:v>-1.4038876469056698</c:v>
                </c:pt>
                <c:pt idx="42">
                  <c:v>-1.4415830044117504</c:v>
                </c:pt>
                <c:pt idx="43">
                  <c:v>-1.4615587087523501</c:v>
                </c:pt>
                <c:pt idx="44">
                  <c:v>-1.4598657676045301</c:v>
                </c:pt>
                <c:pt idx="45">
                  <c:v>-1.4338901042258809</c:v>
                </c:pt>
                <c:pt idx="46">
                  <c:v>-1.3827600053980078</c:v>
                </c:pt>
                <c:pt idx="47">
                  <c:v>-1.307459685209452</c:v>
                </c:pt>
                <c:pt idx="48">
                  <c:v>-1.2106141679130189</c:v>
                </c:pt>
                <c:pt idx="49">
                  <c:v>-1.0960105402555802</c:v>
                </c:pt>
                <c:pt idx="50">
                  <c:v>-0.96799097883915597</c:v>
                </c:pt>
                <c:pt idx="51">
                  <c:v>-0.83086663405789052</c:v>
                </c:pt>
                <c:pt idx="52">
                  <c:v>-0.68846337929700674</c:v>
                </c:pt>
                <c:pt idx="53">
                  <c:v>-0.54384832665696503</c:v>
                </c:pt>
                <c:pt idx="54">
                  <c:v>-0.39922963996103228</c:v>
                </c:pt>
                <c:pt idx="55">
                  <c:v>-0.25598831919551029</c:v>
                </c:pt>
                <c:pt idx="56">
                  <c:v>-0.1147907658618989</c:v>
                </c:pt>
                <c:pt idx="57">
                  <c:v>2.4262525577632296E-2</c:v>
                </c:pt>
                <c:pt idx="58">
                  <c:v>0.16148318398212266</c:v>
                </c:pt>
                <c:pt idx="59">
                  <c:v>0.29745319436280349</c:v>
                </c:pt>
                <c:pt idx="60">
                  <c:v>0.43290135437497312</c:v>
                </c:pt>
                <c:pt idx="61">
                  <c:v>0.56859703763539549</c:v>
                </c:pt>
                <c:pt idx="62">
                  <c:v>0.70525644290491529</c:v>
                </c:pt>
                <c:pt idx="63">
                  <c:v>0.84345489594389833</c:v>
                </c:pt>
                <c:pt idx="64">
                  <c:v>0.98353865841989352</c:v>
                </c:pt>
                <c:pt idx="65">
                  <c:v>1.1255306137830572</c:v>
                </c:pt>
                <c:pt idx="66">
                  <c:v>1.2690260078126983</c:v>
                </c:pt>
                <c:pt idx="67">
                  <c:v>1.4130772640079987</c:v>
                </c:pt>
                <c:pt idx="68">
                  <c:v>1.5560710948512577</c:v>
                </c:pt>
                <c:pt idx="69">
                  <c:v>1.6956070478478593</c:v>
                </c:pt>
                <c:pt idx="70">
                  <c:v>1.8283944183322092</c:v>
                </c:pt>
                <c:pt idx="71">
                  <c:v>1.9501937269965095</c:v>
                </c:pt>
                <c:pt idx="72">
                  <c:v>2.0558382560397424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2-4CF7-BD5C-B12B2298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69112"/>
        <c:axId val="1"/>
      </c:scatterChart>
      <c:valAx>
        <c:axId val="463069112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(degrees)</a:t>
                </a:r>
              </a:p>
            </c:rich>
          </c:tx>
          <c:layout>
            <c:manualLayout>
              <c:xMode val="edge"/>
              <c:yMode val="edge"/>
              <c:x val="0.28087662046046524"/>
              <c:y val="0.86713433548079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9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0691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508208337074"/>
          <c:y val="0.41958107509288611"/>
          <c:w val="0.21513966647705163"/>
          <c:h val="0.3666336026178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Polished Rod Motion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Reverse Mark Unit</a:t>
            </a:r>
          </a:p>
        </c:rich>
      </c:tx>
      <c:layout>
        <c:manualLayout>
          <c:xMode val="edge"/>
          <c:yMode val="edge"/>
          <c:x val="0.35437881873727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0957230142567"/>
          <c:y val="0.230769624756926"/>
          <c:w val="0.58859470468431774"/>
          <c:h val="0.59790311868839918"/>
        </c:manualLayout>
      </c:layout>
      <c:scatterChart>
        <c:scatterStyle val="lineMarker"/>
        <c:varyColors val="0"/>
        <c:ser>
          <c:idx val="0"/>
          <c:order val="0"/>
          <c:tx>
            <c:v>Position (unitless)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RM!$A$15:$A$87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RM!$B$15:$B$87</c:f>
              <c:numCache>
                <c:formatCode>0.000</c:formatCode>
                <c:ptCount val="73"/>
                <c:pt idx="0">
                  <c:v>1.8290868300925432E-2</c:v>
                </c:pt>
                <c:pt idx="1">
                  <c:v>7.9279147574017241E-3</c:v>
                </c:pt>
                <c:pt idx="2">
                  <c:v>1.798306240601175E-3</c:v>
                </c:pt>
                <c:pt idx="3">
                  <c:v>2.0421274804249685E-5</c:v>
                </c:pt>
                <c:pt idx="4">
                  <c:v>2.6611742530129458E-3</c:v>
                </c:pt>
                <c:pt idx="5">
                  <c:v>9.7279770576582138E-3</c:v>
                </c:pt>
                <c:pt idx="6">
                  <c:v>2.1162317772025457E-2</c:v>
                </c:pt>
                <c:pt idx="7">
                  <c:v>3.6835851048957813E-2</c:v>
                </c:pt>
                <c:pt idx="8">
                  <c:v>5.6549779963736023E-2</c:v>
                </c:pt>
                <c:pt idx="9">
                  <c:v>8.003804165223545E-2</c:v>
                </c:pt>
                <c:pt idx="10">
                  <c:v>0.10697440938134797</c:v>
                </c:pt>
                <c:pt idx="11">
                  <c:v>0.13698315222469512</c:v>
                </c:pt>
                <c:pt idx="12">
                  <c:v>0.16965243945751668</c:v>
                </c:pt>
                <c:pt idx="13">
                  <c:v>0.20454933452057461</c:v>
                </c:pt>
                <c:pt idx="14">
                  <c:v>0.24123506378332321</c:v>
                </c:pt>
                <c:pt idx="15">
                  <c:v>0.27927929385918687</c:v>
                </c:pt>
                <c:pt idx="16">
                  <c:v>0.31827238226079602</c:v>
                </c:pt>
                <c:pt idx="17">
                  <c:v>0.35783491486268754</c:v>
                </c:pt>
                <c:pt idx="18">
                  <c:v>0.39762422899302924</c:v>
                </c:pt>
                <c:pt idx="19">
                  <c:v>0.43733796997465713</c:v>
                </c:pt>
                <c:pt idx="20">
                  <c:v>0.47671499278395157</c:v>
                </c:pt>
                <c:pt idx="21">
                  <c:v>0.51553407971451171</c:v>
                </c:pt>
                <c:pt idx="22">
                  <c:v>0.55361100496876625</c:v>
                </c:pt>
                <c:pt idx="23">
                  <c:v>0.59079445898442184</c:v>
                </c:pt>
                <c:pt idx="24">
                  <c:v>0.62696127586601713</c:v>
                </c:pt>
                <c:pt idx="25">
                  <c:v>0.66201131181016082</c:v>
                </c:pt>
                <c:pt idx="26">
                  <c:v>0.69586222058501823</c:v>
                </c:pt>
                <c:pt idx="27">
                  <c:v>0.7284442769522671</c:v>
                </c:pt>
                <c:pt idx="28">
                  <c:v>0.75969531748535113</c:v>
                </c:pt>
                <c:pt idx="29">
                  <c:v>0.78955580340065012</c:v>
                </c:pt>
                <c:pt idx="30">
                  <c:v>0.81796396236185842</c:v>
                </c:pt>
                <c:pt idx="31">
                  <c:v>0.84485093593660088</c:v>
                </c:pt>
                <c:pt idx="32">
                  <c:v>0.87013584807232325</c:v>
                </c:pt>
                <c:pt idx="33">
                  <c:v>0.89372072242608736</c:v>
                </c:pt>
                <c:pt idx="34">
                  <c:v>0.91548522261483756</c:v>
                </c:pt>
                <c:pt idx="35">
                  <c:v>0.9352812865684349</c:v>
                </c:pt>
                <c:pt idx="36">
                  <c:v>0.95292789949315104</c:v>
                </c:pt>
                <c:pt idx="37">
                  <c:v>0.96820653069593443</c:v>
                </c:pt>
                <c:pt idx="38">
                  <c:v>0.98085817368278228</c:v>
                </c:pt>
                <c:pt idx="39">
                  <c:v>0.99058346862788316</c:v>
                </c:pt>
                <c:pt idx="40">
                  <c:v>0.99704795439970262</c:v>
                </c:pt>
                <c:pt idx="41">
                  <c:v>0.99989483086173214</c:v>
                </c:pt>
                <c:pt idx="42">
                  <c:v>0.99876723559139269</c:v>
                </c:pt>
                <c:pt idx="43">
                  <c:v>0.99334037565258992</c:v>
                </c:pt>
                <c:pt idx="44">
                  <c:v>0.98336065003493534</c:v>
                </c:pt>
                <c:pt idx="45">
                  <c:v>0.96868488973096833</c:v>
                </c:pt>
                <c:pt idx="46">
                  <c:v>0.9493100713146404</c:v>
                </c:pt>
                <c:pt idx="47">
                  <c:v>0.92538472729796539</c:v>
                </c:pt>
                <c:pt idx="48">
                  <c:v>0.89719844978032948</c:v>
                </c:pt>
                <c:pt idx="49">
                  <c:v>0.86515302073075928</c:v>
                </c:pt>
                <c:pt idx="50">
                  <c:v>0.8297239097705198</c:v>
                </c:pt>
                <c:pt idx="51">
                  <c:v>0.79142178953237408</c:v>
                </c:pt>
                <c:pt idx="52">
                  <c:v>0.75076097028781963</c:v>
                </c:pt>
                <c:pt idx="53">
                  <c:v>0.70823764448893167</c:v>
                </c:pt>
                <c:pt idx="54">
                  <c:v>0.66431760974799725</c:v>
                </c:pt>
                <c:pt idx="55">
                  <c:v>0.61943145582350601</c:v>
                </c:pt>
                <c:pt idx="56">
                  <c:v>0.5739748089449046</c:v>
                </c:pt>
                <c:pt idx="57">
                  <c:v>0.52831154880805897</c:v>
                </c:pt>
                <c:pt idx="58">
                  <c:v>0.48277847220670822</c:v>
                </c:pt>
                <c:pt idx="59">
                  <c:v>0.43769040751578547</c:v>
                </c:pt>
                <c:pt idx="60">
                  <c:v>0.39334518778798566</c:v>
                </c:pt>
                <c:pt idx="61">
                  <c:v>0.35002815881726368</c:v>
                </c:pt>
                <c:pt idx="62">
                  <c:v>0.30801605851524838</c:v>
                </c:pt>
                <c:pt idx="63">
                  <c:v>0.26758018752314383</c:v>
                </c:pt>
                <c:pt idx="64">
                  <c:v>0.22898882513629745</c:v>
                </c:pt>
                <c:pt idx="65">
                  <c:v>0.19250884899022072</c:v>
                </c:pt>
                <c:pt idx="66">
                  <c:v>0.15840650509479823</c:v>
                </c:pt>
                <c:pt idx="67">
                  <c:v>0.12694725627003878</c:v>
                </c:pt>
                <c:pt idx="68">
                  <c:v>9.8394619340830075E-2</c:v>
                </c:pt>
                <c:pt idx="69">
                  <c:v>7.30078915068888E-2</c:v>
                </c:pt>
                <c:pt idx="70">
                  <c:v>5.1038671344958327E-2</c:v>
                </c:pt>
                <c:pt idx="71">
                  <c:v>3.2726107719409196E-2</c:v>
                </c:pt>
                <c:pt idx="72">
                  <c:v>1.8290868300924835E-2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1E2-B07D-49CD2DC6A752}"/>
            </c:ext>
          </c:extLst>
        </c:ser>
        <c:ser>
          <c:idx val="1"/>
          <c:order val="1"/>
          <c:tx>
            <c:v>Velocity (ft/sec)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RM!$A$15:$A$87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RM!$J$15:$J$87</c:f>
              <c:numCache>
                <c:formatCode>General</c:formatCode>
                <c:ptCount val="73"/>
                <c:pt idx="0">
                  <c:v>-1.0450426972916065</c:v>
                </c:pt>
                <c:pt idx="1">
                  <c:v>-0.75022856282969397</c:v>
                </c:pt>
                <c:pt idx="2">
                  <c:v>-0.44375451158340984</c:v>
                </c:pt>
                <c:pt idx="3">
                  <c:v>-0.12871041804485495</c:v>
                </c:pt>
                <c:pt idx="4">
                  <c:v>0.19117795938281215</c:v>
                </c:pt>
                <c:pt idx="5">
                  <c:v>0.51160292185649714</c:v>
                </c:pt>
                <c:pt idx="6">
                  <c:v>0.82779189977222434</c:v>
                </c:pt>
                <c:pt idx="7">
                  <c:v>1.1346892848096306</c:v>
                </c:pt>
                <c:pt idx="8">
                  <c:v>1.42719471773602</c:v>
                </c:pt>
                <c:pt idx="9">
                  <c:v>1.7004384643742072</c:v>
                </c:pt>
                <c:pt idx="10">
                  <c:v>1.9500649466766573</c:v>
                </c:pt>
                <c:pt idx="11">
                  <c:v>2.172490296432902</c:v>
                </c:pt>
                <c:pt idx="12">
                  <c:v>2.365101059887242</c:v>
                </c:pt>
                <c:pt idx="13">
                  <c:v>2.5263692749774145</c:v>
                </c:pt>
                <c:pt idx="14">
                  <c:v>2.6558723654948109</c:v>
                </c:pt>
                <c:pt idx="15">
                  <c:v>2.7542213649712388</c:v>
                </c:pt>
                <c:pt idx="16">
                  <c:v>2.8229141961282296</c:v>
                </c:pt>
                <c:pt idx="17">
                  <c:v>2.8641392486381441</c:v>
                </c:pt>
                <c:pt idx="18">
                  <c:v>2.8805571529982275</c:v>
                </c:pt>
                <c:pt idx="19">
                  <c:v>2.8750860163661827</c:v>
                </c:pt>
                <c:pt idx="20">
                  <c:v>2.8507092217151868</c:v>
                </c:pt>
                <c:pt idx="21">
                  <c:v>2.810317316965635</c:v>
                </c:pt>
                <c:pt idx="22">
                  <c:v>2.7565883404278706</c:v>
                </c:pt>
                <c:pt idx="23">
                  <c:v>2.6919052710260214</c:v>
                </c:pt>
                <c:pt idx="24">
                  <c:v>2.6183055764213896</c:v>
                </c:pt>
                <c:pt idx="25">
                  <c:v>2.537455946614505</c:v>
                </c:pt>
                <c:pt idx="26">
                  <c:v>2.4506448411622341</c:v>
                </c:pt>
                <c:pt idx="27">
                  <c:v>2.3587859599846808</c:v>
                </c:pt>
                <c:pt idx="28">
                  <c:v>2.2624267422988065</c:v>
                </c:pt>
                <c:pt idx="29">
                  <c:v>2.1617571997735476</c:v>
                </c:pt>
                <c:pt idx="30">
                  <c:v>2.056615633814546</c:v>
                </c:pt>
                <c:pt idx="31">
                  <c:v>1.9464890447593459</c:v>
                </c:pt>
                <c:pt idx="32">
                  <c:v>1.8305074140482946</c:v>
                </c:pt>
                <c:pt idx="33">
                  <c:v>1.7074327619659297</c:v>
                </c:pt>
                <c:pt idx="34">
                  <c:v>1.5756463279251924</c:v>
                </c:pt>
                <c:pt idx="35">
                  <c:v>1.433140904011257</c:v>
                </c:pt>
                <c:pt idx="36">
                  <c:v>1.2775308697196042</c:v>
                </c:pt>
                <c:pt idx="37">
                  <c:v>1.1061002523197214</c:v>
                </c:pt>
                <c:pt idx="38">
                  <c:v>0.91591879627686001</c:v>
                </c:pt>
                <c:pt idx="39">
                  <c:v>0.70406511223991597</c:v>
                </c:pt>
                <c:pt idx="40">
                  <c:v>0.46799803257400807</c:v>
                </c:pt>
                <c:pt idx="41">
                  <c:v>0.20610031953649691</c:v>
                </c:pt>
                <c:pt idx="42">
                  <c:v>-8.1632536088027188E-2</c:v>
                </c:pt>
                <c:pt idx="43">
                  <c:v>-0.39287885596191507</c:v>
                </c:pt>
                <c:pt idx="44">
                  <c:v>-0.72248468316706271</c:v>
                </c:pt>
                <c:pt idx="45">
                  <c:v>-1.0624552657730597</c:v>
                </c:pt>
                <c:pt idx="46">
                  <c:v>-1.4026447300491651</c:v>
                </c:pt>
                <c:pt idx="47">
                  <c:v>-1.7320811466971793</c:v>
                </c:pt>
                <c:pt idx="48">
                  <c:v>-2.0405524723007264</c:v>
                </c:pt>
                <c:pt idx="49">
                  <c:v>-2.3199366937377266</c:v>
                </c:pt>
                <c:pt idx="50">
                  <c:v>-2.5648991753557855</c:v>
                </c:pt>
                <c:pt idx="51">
                  <c:v>-2.7728913865055702</c:v>
                </c:pt>
                <c:pt idx="52">
                  <c:v>-2.943649979438911</c:v>
                </c:pt>
                <c:pt idx="53">
                  <c:v>-3.078486598135505</c:v>
                </c:pt>
                <c:pt idx="54">
                  <c:v>-3.1796016844747355</c:v>
                </c:pt>
                <c:pt idx="55">
                  <c:v>-3.24954411966544</c:v>
                </c:pt>
                <c:pt idx="56">
                  <c:v>-3.2908450969658682</c:v>
                </c:pt>
                <c:pt idx="57">
                  <c:v>-3.3058029144590217</c:v>
                </c:pt>
                <c:pt idx="58">
                  <c:v>-3.2963782454852351</c:v>
                </c:pt>
                <c:pt idx="59">
                  <c:v>-3.2641614991107386</c:v>
                </c:pt>
                <c:pt idx="60">
                  <c:v>-3.2103830558562749</c:v>
                </c:pt>
                <c:pt idx="61">
                  <c:v>-3.1359469338802834</c:v>
                </c:pt>
                <c:pt idx="62">
                  <c:v>-3.0414763029344396</c:v>
                </c:pt>
                <c:pt idx="63">
                  <c:v>-2.9273647955444142</c:v>
                </c:pt>
                <c:pt idx="64">
                  <c:v>-2.7938311427843217</c:v>
                </c:pt>
                <c:pt idx="65">
                  <c:v>-2.6409768181616933</c:v>
                </c:pt>
                <c:pt idx="66">
                  <c:v>-2.4688475483686578</c:v>
                </c:pt>
                <c:pt idx="67">
                  <c:v>-2.2775000326283217</c:v>
                </c:pt>
                <c:pt idx="68">
                  <c:v>-2.0670751517346386</c:v>
                </c:pt>
                <c:pt idx="69">
                  <c:v>-1.8378783864865444</c:v>
                </c:pt>
                <c:pt idx="70">
                  <c:v>-1.5904670805819225</c:v>
                </c:pt>
                <c:pt idx="71">
                  <c:v>-1.3257425340007387</c:v>
                </c:pt>
                <c:pt idx="72">
                  <c:v>-1.0450426972916496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A-41E2-B07D-49CD2DC6A752}"/>
            </c:ext>
          </c:extLst>
        </c:ser>
        <c:ser>
          <c:idx val="2"/>
          <c:order val="2"/>
          <c:tx>
            <c:v>Acceleration (ft/sec^2)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RM!$A$15:$A$87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RM!$K$15:$K$87</c:f>
              <c:numCache>
                <c:formatCode>General</c:formatCode>
                <c:ptCount val="73"/>
                <c:pt idx="0">
                  <c:v>2.4320806684746605</c:v>
                </c:pt>
                <c:pt idx="1">
                  <c:v>2.5543718358514438</c:v>
                </c:pt>
                <c:pt idx="2">
                  <c:v>2.6553973958936412</c:v>
                </c:pt>
                <c:pt idx="3">
                  <c:v>2.7296512124665382</c:v>
                </c:pt>
                <c:pt idx="4">
                  <c:v>2.7716237669839869</c:v>
                </c:pt>
                <c:pt idx="5">
                  <c:v>2.7762729257890384</c:v>
                </c:pt>
                <c:pt idx="6">
                  <c:v>2.7395708874973601</c:v>
                </c:pt>
                <c:pt idx="7">
                  <c:v>2.6590653065763505</c:v>
                </c:pt>
                <c:pt idx="8">
                  <c:v>2.5343684456120621</c:v>
                </c:pt>
                <c:pt idx="9">
                  <c:v>2.3674785200140542</c:v>
                </c:pt>
                <c:pt idx="10">
                  <c:v>2.1628503566826947</c:v>
                </c:pt>
                <c:pt idx="11">
                  <c:v>1.9271703171007881</c:v>
                </c:pt>
                <c:pt idx="12">
                  <c:v>1.6688464084247379</c:v>
                </c:pt>
                <c:pt idx="13">
                  <c:v>1.3972837068895303</c:v>
                </c:pt>
                <c:pt idx="14">
                  <c:v>1.1220596586290674</c:v>
                </c:pt>
                <c:pt idx="15">
                  <c:v>0.85212981665643783</c:v>
                </c:pt>
                <c:pt idx="16">
                  <c:v>0.59517849628401931</c:v>
                </c:pt>
                <c:pt idx="17">
                  <c:v>0.35718814247159791</c:v>
                </c:pt>
                <c:pt idx="18">
                  <c:v>0.14225041339229819</c:v>
                </c:pt>
                <c:pt idx="19">
                  <c:v>-4.7403823932993402E-2</c:v>
                </c:pt>
                <c:pt idx="20">
                  <c:v>-0.21120899721611666</c:v>
                </c:pt>
                <c:pt idx="21">
                  <c:v>-0.34996946152857783</c:v>
                </c:pt>
                <c:pt idx="22">
                  <c:v>-0.46552647378214229</c:v>
                </c:pt>
                <c:pt idx="23">
                  <c:v>-0.5604365307588518</c:v>
                </c:pt>
                <c:pt idx="24">
                  <c:v>-0.63769326178500108</c:v>
                </c:pt>
                <c:pt idx="25">
                  <c:v>-0.70050921301536873</c:v>
                </c:pt>
                <c:pt idx="26">
                  <c:v>-0.7521615040986388</c:v>
                </c:pt>
                <c:pt idx="27">
                  <c:v>-0.79589718240961871</c:v>
                </c:pt>
                <c:pt idx="28">
                  <c:v>-0.83488965761671952</c:v>
                </c:pt>
                <c:pt idx="29">
                  <c:v>-0.8722358058710773</c:v>
                </c:pt>
                <c:pt idx="30">
                  <c:v>-0.91098296678746116</c:v>
                </c:pt>
                <c:pt idx="31">
                  <c:v>-0.9541749345716366</c:v>
                </c:pt>
                <c:pt idx="32">
                  <c:v>-1.0049050446823355</c:v>
                </c:pt>
                <c:pt idx="33">
                  <c:v>-1.0663614400992134</c:v>
                </c:pt>
                <c:pt idx="34">
                  <c:v>-1.1418433382624784</c:v>
                </c:pt>
                <c:pt idx="35">
                  <c:v>-1.2347163814455939</c:v>
                </c:pt>
                <c:pt idx="36">
                  <c:v>-1.3482592674735794</c:v>
                </c:pt>
                <c:pt idx="37">
                  <c:v>-1.4853342825238849</c:v>
                </c:pt>
                <c:pt idx="38">
                  <c:v>-1.6477980470772342</c:v>
                </c:pt>
                <c:pt idx="39">
                  <c:v>-1.8355737414457411</c:v>
                </c:pt>
                <c:pt idx="40">
                  <c:v>-2.0453669929051421</c:v>
                </c:pt>
                <c:pt idx="41">
                  <c:v>-2.2691725526591031</c:v>
                </c:pt>
                <c:pt idx="42">
                  <c:v>-2.4930171818181495</c:v>
                </c:pt>
                <c:pt idx="43">
                  <c:v>-2.6967459852267739</c:v>
                </c:pt>
                <c:pt idx="44">
                  <c:v>-2.8558191196701856</c:v>
                </c:pt>
                <c:pt idx="45">
                  <c:v>-2.9456229526164623</c:v>
                </c:pt>
                <c:pt idx="46">
                  <c:v>-2.9475194192649479</c:v>
                </c:pt>
                <c:pt idx="47">
                  <c:v>-2.85435128788991</c:v>
                </c:pt>
                <c:pt idx="48">
                  <c:v>-2.6727024731280578</c:v>
                </c:pt>
                <c:pt idx="49">
                  <c:v>-2.4206817217990406</c:v>
                </c:pt>
                <c:pt idx="50">
                  <c:v>-2.1224398383323955</c:v>
                </c:pt>
                <c:pt idx="51">
                  <c:v>-1.8021166020658173</c:v>
                </c:pt>
                <c:pt idx="52">
                  <c:v>-1.4795116296396504</c:v>
                </c:pt>
                <c:pt idx="53">
                  <c:v>-1.168271195235099</c:v>
                </c:pt>
                <c:pt idx="54">
                  <c:v>-0.87609615188916856</c:v>
                </c:pt>
                <c:pt idx="55">
                  <c:v>-0.60600549871221243</c:v>
                </c:pt>
                <c:pt idx="56">
                  <c:v>-0.35784598117015715</c:v>
                </c:pt>
                <c:pt idx="57">
                  <c:v>-0.1295997147492719</c:v>
                </c:pt>
                <c:pt idx="58">
                  <c:v>8.1658598332821158E-2</c:v>
                </c:pt>
                <c:pt idx="59">
                  <c:v>0.27913705607088007</c:v>
                </c:pt>
                <c:pt idx="60">
                  <c:v>0.4659550705594957</c:v>
                </c:pt>
                <c:pt idx="61">
                  <c:v>0.64494035841432662</c:v>
                </c:pt>
                <c:pt idx="62">
                  <c:v>0.81852628756629364</c:v>
                </c:pt>
                <c:pt idx="63">
                  <c:v>0.98870164809310368</c:v>
                </c:pt>
                <c:pt idx="64">
                  <c:v>1.1569818467873134</c:v>
                </c:pt>
                <c:pt idx="65">
                  <c:v>1.324382843844206</c:v>
                </c:pt>
                <c:pt idx="66">
                  <c:v>1.4913876489928186</c:v>
                </c:pt>
                <c:pt idx="67">
                  <c:v>1.6579011924219691</c:v>
                </c:pt>
                <c:pt idx="68">
                  <c:v>1.823194095826703</c:v>
                </c:pt>
                <c:pt idx="69">
                  <c:v>1.9858402077177966</c:v>
                </c:pt>
                <c:pt idx="70">
                  <c:v>2.1436573006496698</c:v>
                </c:pt>
                <c:pt idx="71">
                  <c:v>2.2936652181881039</c:v>
                </c:pt>
                <c:pt idx="72">
                  <c:v>2.4320806684742871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A-41E2-B07D-49CD2DC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86344"/>
        <c:axId val="1"/>
      </c:scatterChart>
      <c:valAx>
        <c:axId val="306886344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(degrees)</a:t>
                </a:r>
              </a:p>
            </c:rich>
          </c:tx>
          <c:layout>
            <c:manualLayout>
              <c:xMode val="edge"/>
              <c:yMode val="edge"/>
              <c:x val="0.27494908350305497"/>
              <c:y val="0.86713433548079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9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8863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74745417515277"/>
          <c:y val="0.41958115375438204"/>
          <c:w val="0.21995926680244404"/>
          <c:h val="0.36363673072334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 Box Torque</a:t>
            </a:r>
          </a:p>
        </c:rich>
      </c:tx>
      <c:layout>
        <c:manualLayout>
          <c:xMode val="edge"/>
          <c:yMode val="edge"/>
          <c:x val="0.35908141962421714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64509394572025"/>
          <c:y val="0.25193893811674128"/>
          <c:w val="0.71607515657620047"/>
          <c:h val="0.5581416475201653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RM!$A$15:$A$87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RM!$P$15:$P$87</c:f>
              <c:numCache>
                <c:formatCode>General</c:formatCode>
                <c:ptCount val="73"/>
                <c:pt idx="0">
                  <c:v>-459.17710515384533</c:v>
                </c:pt>
                <c:pt idx="1">
                  <c:v>-2048.9950530647184</c:v>
                </c:pt>
                <c:pt idx="2">
                  <c:v>-5444.2202553217103</c:v>
                </c:pt>
                <c:pt idx="3">
                  <c:v>-10765.844684575281</c:v>
                </c:pt>
                <c:pt idx="4">
                  <c:v>-16026.349111059237</c:v>
                </c:pt>
                <c:pt idx="5">
                  <c:v>-19543.153736662309</c:v>
                </c:pt>
                <c:pt idx="6">
                  <c:v>-21549.847027451731</c:v>
                </c:pt>
                <c:pt idx="7">
                  <c:v>-17628.178679234625</c:v>
                </c:pt>
                <c:pt idx="8">
                  <c:v>-10510.304164267291</c:v>
                </c:pt>
                <c:pt idx="9">
                  <c:v>-898.76034947735025</c:v>
                </c:pt>
                <c:pt idx="10">
                  <c:v>16216.621214259823</c:v>
                </c:pt>
                <c:pt idx="11">
                  <c:v>34175.129612379242</c:v>
                </c:pt>
                <c:pt idx="12">
                  <c:v>55304.899695264845</c:v>
                </c:pt>
                <c:pt idx="13">
                  <c:v>79211.729172352818</c:v>
                </c:pt>
                <c:pt idx="14">
                  <c:v>105500.81277177451</c:v>
                </c:pt>
                <c:pt idx="15">
                  <c:v>129694.73690251634</c:v>
                </c:pt>
                <c:pt idx="16">
                  <c:v>106156.11975486041</c:v>
                </c:pt>
                <c:pt idx="17">
                  <c:v>80622.834250954213</c:v>
                </c:pt>
                <c:pt idx="18">
                  <c:v>54053.298225078674</c:v>
                </c:pt>
                <c:pt idx="19">
                  <c:v>54026.141600741597</c:v>
                </c:pt>
                <c:pt idx="20">
                  <c:v>56072.157618982834</c:v>
                </c:pt>
                <c:pt idx="21">
                  <c:v>56313.222023415554</c:v>
                </c:pt>
                <c:pt idx="22">
                  <c:v>55031.111073032371</c:v>
                </c:pt>
                <c:pt idx="23">
                  <c:v>52608.844800908293</c:v>
                </c:pt>
                <c:pt idx="24">
                  <c:v>53099.112948111258</c:v>
                </c:pt>
                <c:pt idx="25">
                  <c:v>42064.543783867615</c:v>
                </c:pt>
                <c:pt idx="26">
                  <c:v>33007.712482655799</c:v>
                </c:pt>
                <c:pt idx="27">
                  <c:v>25991.177830200817</c:v>
                </c:pt>
                <c:pt idx="28">
                  <c:v>40047.218669200025</c:v>
                </c:pt>
                <c:pt idx="29">
                  <c:v>52801.827309796558</c:v>
                </c:pt>
                <c:pt idx="30">
                  <c:v>67144.932488792081</c:v>
                </c:pt>
                <c:pt idx="31">
                  <c:v>62176.95039449734</c:v>
                </c:pt>
                <c:pt idx="32">
                  <c:v>60139.530143445474</c:v>
                </c:pt>
                <c:pt idx="33">
                  <c:v>58245.630895522074</c:v>
                </c:pt>
                <c:pt idx="34">
                  <c:v>68347.64052974325</c:v>
                </c:pt>
                <c:pt idx="35">
                  <c:v>78263.339114654809</c:v>
                </c:pt>
                <c:pt idx="36">
                  <c:v>85338.683652475229</c:v>
                </c:pt>
                <c:pt idx="37">
                  <c:v>86357.739757079267</c:v>
                </c:pt>
                <c:pt idx="38">
                  <c:v>86333.330378919331</c:v>
                </c:pt>
                <c:pt idx="39">
                  <c:v>83484.941113675537</c:v>
                </c:pt>
                <c:pt idx="40">
                  <c:v>78060.401442747185</c:v>
                </c:pt>
                <c:pt idx="41">
                  <c:v>70192.912920776464</c:v>
                </c:pt>
                <c:pt idx="42">
                  <c:v>59951.068781194466</c:v>
                </c:pt>
                <c:pt idx="43">
                  <c:v>48382.049900767452</c:v>
                </c:pt>
                <c:pt idx="44">
                  <c:v>36373.302285444661</c:v>
                </c:pt>
                <c:pt idx="45">
                  <c:v>24571.915582469635</c:v>
                </c:pt>
                <c:pt idx="46">
                  <c:v>20849.669786550337</c:v>
                </c:pt>
                <c:pt idx="47">
                  <c:v>19363.124748140544</c:v>
                </c:pt>
                <c:pt idx="48">
                  <c:v>24677.845557885186</c:v>
                </c:pt>
                <c:pt idx="49">
                  <c:v>38413.68925483874</c:v>
                </c:pt>
                <c:pt idx="50">
                  <c:v>58227.358660410799</c:v>
                </c:pt>
                <c:pt idx="51">
                  <c:v>84994.050290844199</c:v>
                </c:pt>
                <c:pt idx="52">
                  <c:v>97210.18380887268</c:v>
                </c:pt>
                <c:pt idx="53">
                  <c:v>114044.87944372566</c:v>
                </c:pt>
                <c:pt idx="54">
                  <c:v>131668.50870170881</c:v>
                </c:pt>
                <c:pt idx="55">
                  <c:v>106022.87522439589</c:v>
                </c:pt>
                <c:pt idx="56">
                  <c:v>79170.624415467872</c:v>
                </c:pt>
                <c:pt idx="57">
                  <c:v>51317.077281051228</c:v>
                </c:pt>
                <c:pt idx="58">
                  <c:v>76016.376247246371</c:v>
                </c:pt>
                <c:pt idx="59">
                  <c:v>97450.812458334432</c:v>
                </c:pt>
                <c:pt idx="60">
                  <c:v>121460.38897485335</c:v>
                </c:pt>
                <c:pt idx="61">
                  <c:v>105850.95899429737</c:v>
                </c:pt>
                <c:pt idx="62">
                  <c:v>89919.655745031807</c:v>
                </c:pt>
                <c:pt idx="63">
                  <c:v>71897.552767695772</c:v>
                </c:pt>
                <c:pt idx="64">
                  <c:v>60203.594745447248</c:v>
                </c:pt>
                <c:pt idx="65">
                  <c:v>65103.426917946694</c:v>
                </c:pt>
                <c:pt idx="66">
                  <c:v>66317.399604970487</c:v>
                </c:pt>
                <c:pt idx="67">
                  <c:v>61016.721900277989</c:v>
                </c:pt>
                <c:pt idx="68">
                  <c:v>50586.972848689387</c:v>
                </c:pt>
                <c:pt idx="69">
                  <c:v>40295.021749824999</c:v>
                </c:pt>
                <c:pt idx="70">
                  <c:v>24000.464489860911</c:v>
                </c:pt>
                <c:pt idx="71">
                  <c:v>9688.0362897976447</c:v>
                </c:pt>
                <c:pt idx="72">
                  <c:v>-444.89552502718288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E-422E-AE29-978C1935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85032"/>
        <c:axId val="1"/>
      </c:scatterChart>
      <c:valAx>
        <c:axId val="306885032"/>
        <c:scaling>
          <c:orientation val="minMax"/>
          <c:max val="3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layout>
            <c:manualLayout>
              <c:xMode val="edge"/>
              <c:yMode val="edge"/>
              <c:x val="0.46346555323590816"/>
              <c:y val="0.85271643370160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(in-lbf)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267442674316873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8850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</a:t>
            </a:r>
            <a:r>
              <a:rPr lang="en-US" baseline="0"/>
              <a:t> Rod</a:t>
            </a:r>
            <a:r>
              <a:rPr lang="en-US"/>
              <a:t> Dynamometer Card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 Load</c:v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RM!$B$15:$B$87</c:f>
              <c:numCache>
                <c:formatCode>0.000</c:formatCode>
                <c:ptCount val="73"/>
                <c:pt idx="0">
                  <c:v>1.8290868300925432E-2</c:v>
                </c:pt>
                <c:pt idx="1">
                  <c:v>7.9279147574017241E-3</c:v>
                </c:pt>
                <c:pt idx="2">
                  <c:v>1.798306240601175E-3</c:v>
                </c:pt>
                <c:pt idx="3">
                  <c:v>2.0421274804249685E-5</c:v>
                </c:pt>
                <c:pt idx="4">
                  <c:v>2.6611742530129458E-3</c:v>
                </c:pt>
                <c:pt idx="5">
                  <c:v>9.7279770576582138E-3</c:v>
                </c:pt>
                <c:pt idx="6">
                  <c:v>2.1162317772025457E-2</c:v>
                </c:pt>
                <c:pt idx="7">
                  <c:v>3.6835851048957813E-2</c:v>
                </c:pt>
                <c:pt idx="8">
                  <c:v>5.6549779963736023E-2</c:v>
                </c:pt>
                <c:pt idx="9">
                  <c:v>8.003804165223545E-2</c:v>
                </c:pt>
                <c:pt idx="10">
                  <c:v>0.10697440938134797</c:v>
                </c:pt>
                <c:pt idx="11">
                  <c:v>0.13698315222469512</c:v>
                </c:pt>
                <c:pt idx="12">
                  <c:v>0.16965243945751668</c:v>
                </c:pt>
                <c:pt idx="13">
                  <c:v>0.20454933452057461</c:v>
                </c:pt>
                <c:pt idx="14">
                  <c:v>0.24123506378332321</c:v>
                </c:pt>
                <c:pt idx="15">
                  <c:v>0.27927929385918687</c:v>
                </c:pt>
                <c:pt idx="16">
                  <c:v>0.31827238226079602</c:v>
                </c:pt>
                <c:pt idx="17">
                  <c:v>0.35783491486268754</c:v>
                </c:pt>
                <c:pt idx="18">
                  <c:v>0.39762422899302924</c:v>
                </c:pt>
                <c:pt idx="19">
                  <c:v>0.43733796997465713</c:v>
                </c:pt>
                <c:pt idx="20">
                  <c:v>0.47671499278395157</c:v>
                </c:pt>
                <c:pt idx="21">
                  <c:v>0.51553407971451171</c:v>
                </c:pt>
                <c:pt idx="22">
                  <c:v>0.55361100496876625</c:v>
                </c:pt>
                <c:pt idx="23">
                  <c:v>0.59079445898442184</c:v>
                </c:pt>
                <c:pt idx="24">
                  <c:v>0.62696127586601713</c:v>
                </c:pt>
                <c:pt idx="25">
                  <c:v>0.66201131181016082</c:v>
                </c:pt>
                <c:pt idx="26">
                  <c:v>0.69586222058501823</c:v>
                </c:pt>
                <c:pt idx="27">
                  <c:v>0.7284442769522671</c:v>
                </c:pt>
                <c:pt idx="28">
                  <c:v>0.75969531748535113</c:v>
                </c:pt>
                <c:pt idx="29">
                  <c:v>0.78955580340065012</c:v>
                </c:pt>
                <c:pt idx="30">
                  <c:v>0.81796396236185842</c:v>
                </c:pt>
                <c:pt idx="31">
                  <c:v>0.84485093593660088</c:v>
                </c:pt>
                <c:pt idx="32">
                  <c:v>0.87013584807232325</c:v>
                </c:pt>
                <c:pt idx="33">
                  <c:v>0.89372072242608736</c:v>
                </c:pt>
                <c:pt idx="34">
                  <c:v>0.91548522261483756</c:v>
                </c:pt>
                <c:pt idx="35">
                  <c:v>0.9352812865684349</c:v>
                </c:pt>
                <c:pt idx="36">
                  <c:v>0.95292789949315104</c:v>
                </c:pt>
                <c:pt idx="37">
                  <c:v>0.96820653069593443</c:v>
                </c:pt>
                <c:pt idx="38">
                  <c:v>0.98085817368278228</c:v>
                </c:pt>
                <c:pt idx="39">
                  <c:v>0.99058346862788316</c:v>
                </c:pt>
                <c:pt idx="40">
                  <c:v>0.99704795439970262</c:v>
                </c:pt>
                <c:pt idx="41">
                  <c:v>0.99989483086173214</c:v>
                </c:pt>
                <c:pt idx="42">
                  <c:v>0.99876723559139269</c:v>
                </c:pt>
                <c:pt idx="43">
                  <c:v>0.99334037565258992</c:v>
                </c:pt>
                <c:pt idx="44">
                  <c:v>0.98336065003493534</c:v>
                </c:pt>
                <c:pt idx="45">
                  <c:v>0.96868488973096833</c:v>
                </c:pt>
                <c:pt idx="46">
                  <c:v>0.9493100713146404</c:v>
                </c:pt>
                <c:pt idx="47">
                  <c:v>0.92538472729796539</c:v>
                </c:pt>
                <c:pt idx="48">
                  <c:v>0.89719844978032948</c:v>
                </c:pt>
                <c:pt idx="49">
                  <c:v>0.86515302073075928</c:v>
                </c:pt>
                <c:pt idx="50">
                  <c:v>0.8297239097705198</c:v>
                </c:pt>
                <c:pt idx="51">
                  <c:v>0.79142178953237408</c:v>
                </c:pt>
                <c:pt idx="52">
                  <c:v>0.75076097028781963</c:v>
                </c:pt>
                <c:pt idx="53">
                  <c:v>0.70823764448893167</c:v>
                </c:pt>
                <c:pt idx="54">
                  <c:v>0.66431760974799725</c:v>
                </c:pt>
                <c:pt idx="55">
                  <c:v>0.61943145582350601</c:v>
                </c:pt>
                <c:pt idx="56">
                  <c:v>0.5739748089449046</c:v>
                </c:pt>
                <c:pt idx="57">
                  <c:v>0.52831154880805897</c:v>
                </c:pt>
                <c:pt idx="58">
                  <c:v>0.48277847220670822</c:v>
                </c:pt>
                <c:pt idx="59">
                  <c:v>0.43769040751578547</c:v>
                </c:pt>
                <c:pt idx="60">
                  <c:v>0.39334518778798566</c:v>
                </c:pt>
                <c:pt idx="61">
                  <c:v>0.35002815881726368</c:v>
                </c:pt>
                <c:pt idx="62">
                  <c:v>0.30801605851524838</c:v>
                </c:pt>
                <c:pt idx="63">
                  <c:v>0.26758018752314383</c:v>
                </c:pt>
                <c:pt idx="64">
                  <c:v>0.22898882513629745</c:v>
                </c:pt>
                <c:pt idx="65">
                  <c:v>0.19250884899022072</c:v>
                </c:pt>
                <c:pt idx="66">
                  <c:v>0.15840650509479823</c:v>
                </c:pt>
                <c:pt idx="67">
                  <c:v>0.12694725627003878</c:v>
                </c:pt>
                <c:pt idx="68">
                  <c:v>9.8394619340830075E-2</c:v>
                </c:pt>
                <c:pt idx="69">
                  <c:v>7.30078915068888E-2</c:v>
                </c:pt>
                <c:pt idx="70">
                  <c:v>5.1038671344958327E-2</c:v>
                </c:pt>
                <c:pt idx="71">
                  <c:v>3.2726107719409196E-2</c:v>
                </c:pt>
                <c:pt idx="72">
                  <c:v>1.8290868300924835E-2</c:v>
                </c:pt>
              </c:numCache>
            </c:numRef>
          </c:xVal>
          <c:yVal>
            <c:numRef>
              <c:f>RM!$M$15:$M$87</c:f>
              <c:numCache>
                <c:formatCode>General</c:formatCode>
                <c:ptCount val="73"/>
                <c:pt idx="0">
                  <c:v>4745</c:v>
                </c:pt>
                <c:pt idx="1">
                  <c:v>4519</c:v>
                </c:pt>
                <c:pt idx="2">
                  <c:v>4293</c:v>
                </c:pt>
                <c:pt idx="3">
                  <c:v>4067</c:v>
                </c:pt>
                <c:pt idx="4">
                  <c:v>4216</c:v>
                </c:pt>
                <c:pt idx="5">
                  <c:v>4370</c:v>
                </c:pt>
                <c:pt idx="6">
                  <c:v>4519</c:v>
                </c:pt>
                <c:pt idx="7">
                  <c:v>4894</c:v>
                </c:pt>
                <c:pt idx="8">
                  <c:v>5273</c:v>
                </c:pt>
                <c:pt idx="9">
                  <c:v>5648</c:v>
                </c:pt>
                <c:pt idx="10">
                  <c:v>6191</c:v>
                </c:pt>
                <c:pt idx="11">
                  <c:v>6688</c:v>
                </c:pt>
                <c:pt idx="12">
                  <c:v>7230</c:v>
                </c:pt>
                <c:pt idx="13">
                  <c:v>7817</c:v>
                </c:pt>
                <c:pt idx="14">
                  <c:v>8450</c:v>
                </c:pt>
                <c:pt idx="15">
                  <c:v>9038</c:v>
                </c:pt>
                <c:pt idx="16">
                  <c:v>8586</c:v>
                </c:pt>
                <c:pt idx="17">
                  <c:v>8134</c:v>
                </c:pt>
                <c:pt idx="18">
                  <c:v>7682</c:v>
                </c:pt>
                <c:pt idx="19">
                  <c:v>7817</c:v>
                </c:pt>
                <c:pt idx="20">
                  <c:v>7998</c:v>
                </c:pt>
                <c:pt idx="21">
                  <c:v>8134</c:v>
                </c:pt>
                <c:pt idx="22">
                  <c:v>8224</c:v>
                </c:pt>
                <c:pt idx="23">
                  <c:v>8269</c:v>
                </c:pt>
                <c:pt idx="24">
                  <c:v>8360</c:v>
                </c:pt>
                <c:pt idx="25">
                  <c:v>8134</c:v>
                </c:pt>
                <c:pt idx="26">
                  <c:v>7908</c:v>
                </c:pt>
                <c:pt idx="27">
                  <c:v>7682</c:v>
                </c:pt>
                <c:pt idx="28">
                  <c:v>7998</c:v>
                </c:pt>
                <c:pt idx="29">
                  <c:v>8269</c:v>
                </c:pt>
                <c:pt idx="30">
                  <c:v>8586</c:v>
                </c:pt>
                <c:pt idx="31">
                  <c:v>8270</c:v>
                </c:pt>
                <c:pt idx="32">
                  <c:v>7998</c:v>
                </c:pt>
                <c:pt idx="33">
                  <c:v>7682</c:v>
                </c:pt>
                <c:pt idx="34">
                  <c:v>7817</c:v>
                </c:pt>
                <c:pt idx="35">
                  <c:v>7998</c:v>
                </c:pt>
                <c:pt idx="36">
                  <c:v>8134</c:v>
                </c:pt>
                <c:pt idx="37">
                  <c:v>8043</c:v>
                </c:pt>
                <c:pt idx="38">
                  <c:v>7998</c:v>
                </c:pt>
                <c:pt idx="39">
                  <c:v>7908</c:v>
                </c:pt>
                <c:pt idx="40">
                  <c:v>7795</c:v>
                </c:pt>
                <c:pt idx="41">
                  <c:v>7682</c:v>
                </c:pt>
                <c:pt idx="42">
                  <c:v>7570</c:v>
                </c:pt>
                <c:pt idx="43">
                  <c:v>7380</c:v>
                </c:pt>
                <c:pt idx="44">
                  <c:v>7185</c:v>
                </c:pt>
                <c:pt idx="45">
                  <c:v>7004</c:v>
                </c:pt>
                <c:pt idx="46">
                  <c:v>6552</c:v>
                </c:pt>
                <c:pt idx="47">
                  <c:v>6191</c:v>
                </c:pt>
                <c:pt idx="48">
                  <c:v>5761</c:v>
                </c:pt>
                <c:pt idx="49">
                  <c:v>5242</c:v>
                </c:pt>
                <c:pt idx="50">
                  <c:v>4700</c:v>
                </c:pt>
                <c:pt idx="51">
                  <c:v>4100</c:v>
                </c:pt>
                <c:pt idx="52">
                  <c:v>3877</c:v>
                </c:pt>
                <c:pt idx="53">
                  <c:v>3579</c:v>
                </c:pt>
                <c:pt idx="54">
                  <c:v>3276</c:v>
                </c:pt>
                <c:pt idx="55">
                  <c:v>3804</c:v>
                </c:pt>
                <c:pt idx="56">
                  <c:v>4329</c:v>
                </c:pt>
                <c:pt idx="57">
                  <c:v>4857</c:v>
                </c:pt>
                <c:pt idx="58">
                  <c:v>4370</c:v>
                </c:pt>
                <c:pt idx="59">
                  <c:v>3922</c:v>
                </c:pt>
                <c:pt idx="60">
                  <c:v>3389</c:v>
                </c:pt>
                <c:pt idx="61">
                  <c:v>3615</c:v>
                </c:pt>
                <c:pt idx="62">
                  <c:v>3841</c:v>
                </c:pt>
                <c:pt idx="63">
                  <c:v>4112</c:v>
                </c:pt>
                <c:pt idx="64">
                  <c:v>4247</c:v>
                </c:pt>
                <c:pt idx="65">
                  <c:v>3976</c:v>
                </c:pt>
                <c:pt idx="66">
                  <c:v>3750</c:v>
                </c:pt>
                <c:pt idx="67">
                  <c:v>3660</c:v>
                </c:pt>
                <c:pt idx="68">
                  <c:v>3705</c:v>
                </c:pt>
                <c:pt idx="69">
                  <c:v>3750</c:v>
                </c:pt>
                <c:pt idx="70">
                  <c:v>4067</c:v>
                </c:pt>
                <c:pt idx="71">
                  <c:v>4428</c:v>
                </c:pt>
                <c:pt idx="72">
                  <c:v>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F-41B1-84D8-0194348769CD}"/>
            </c:ext>
          </c:extLst>
        </c:ser>
        <c:ser>
          <c:idx val="1"/>
          <c:order val="1"/>
          <c:tx>
            <c:v>Permissible Load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RM!$B$15:$B$87</c:f>
              <c:numCache>
                <c:formatCode>0.000</c:formatCode>
                <c:ptCount val="73"/>
                <c:pt idx="0">
                  <c:v>1.8290868300925432E-2</c:v>
                </c:pt>
                <c:pt idx="1">
                  <c:v>7.9279147574017241E-3</c:v>
                </c:pt>
                <c:pt idx="2">
                  <c:v>1.798306240601175E-3</c:v>
                </c:pt>
                <c:pt idx="3">
                  <c:v>2.0421274804249685E-5</c:v>
                </c:pt>
                <c:pt idx="4">
                  <c:v>2.6611742530129458E-3</c:v>
                </c:pt>
                <c:pt idx="5">
                  <c:v>9.7279770576582138E-3</c:v>
                </c:pt>
                <c:pt idx="6">
                  <c:v>2.1162317772025457E-2</c:v>
                </c:pt>
                <c:pt idx="7">
                  <c:v>3.6835851048957813E-2</c:v>
                </c:pt>
                <c:pt idx="8">
                  <c:v>5.6549779963736023E-2</c:v>
                </c:pt>
                <c:pt idx="9">
                  <c:v>8.003804165223545E-2</c:v>
                </c:pt>
                <c:pt idx="10">
                  <c:v>0.10697440938134797</c:v>
                </c:pt>
                <c:pt idx="11">
                  <c:v>0.13698315222469512</c:v>
                </c:pt>
                <c:pt idx="12">
                  <c:v>0.16965243945751668</c:v>
                </c:pt>
                <c:pt idx="13">
                  <c:v>0.20454933452057461</c:v>
                </c:pt>
                <c:pt idx="14">
                  <c:v>0.24123506378332321</c:v>
                </c:pt>
                <c:pt idx="15">
                  <c:v>0.27927929385918687</c:v>
                </c:pt>
                <c:pt idx="16">
                  <c:v>0.31827238226079602</c:v>
                </c:pt>
                <c:pt idx="17">
                  <c:v>0.35783491486268754</c:v>
                </c:pt>
                <c:pt idx="18">
                  <c:v>0.39762422899302924</c:v>
                </c:pt>
                <c:pt idx="19">
                  <c:v>0.43733796997465713</c:v>
                </c:pt>
                <c:pt idx="20">
                  <c:v>0.47671499278395157</c:v>
                </c:pt>
                <c:pt idx="21">
                  <c:v>0.51553407971451171</c:v>
                </c:pt>
                <c:pt idx="22">
                  <c:v>0.55361100496876625</c:v>
                </c:pt>
                <c:pt idx="23">
                  <c:v>0.59079445898442184</c:v>
                </c:pt>
                <c:pt idx="24">
                  <c:v>0.62696127586601713</c:v>
                </c:pt>
                <c:pt idx="25">
                  <c:v>0.66201131181016082</c:v>
                </c:pt>
                <c:pt idx="26">
                  <c:v>0.69586222058501823</c:v>
                </c:pt>
                <c:pt idx="27">
                  <c:v>0.7284442769522671</c:v>
                </c:pt>
                <c:pt idx="28">
                  <c:v>0.75969531748535113</c:v>
                </c:pt>
                <c:pt idx="29">
                  <c:v>0.78955580340065012</c:v>
                </c:pt>
                <c:pt idx="30">
                  <c:v>0.81796396236185842</c:v>
                </c:pt>
                <c:pt idx="31">
                  <c:v>0.84485093593660088</c:v>
                </c:pt>
                <c:pt idx="32">
                  <c:v>0.87013584807232325</c:v>
                </c:pt>
                <c:pt idx="33">
                  <c:v>0.89372072242608736</c:v>
                </c:pt>
                <c:pt idx="34">
                  <c:v>0.91548522261483756</c:v>
                </c:pt>
                <c:pt idx="35">
                  <c:v>0.9352812865684349</c:v>
                </c:pt>
                <c:pt idx="36">
                  <c:v>0.95292789949315104</c:v>
                </c:pt>
                <c:pt idx="37">
                  <c:v>0.96820653069593443</c:v>
                </c:pt>
                <c:pt idx="38">
                  <c:v>0.98085817368278228</c:v>
                </c:pt>
                <c:pt idx="39">
                  <c:v>0.99058346862788316</c:v>
                </c:pt>
                <c:pt idx="40">
                  <c:v>0.99704795439970262</c:v>
                </c:pt>
                <c:pt idx="41">
                  <c:v>0.99989483086173214</c:v>
                </c:pt>
                <c:pt idx="42">
                  <c:v>0.99876723559139269</c:v>
                </c:pt>
                <c:pt idx="43">
                  <c:v>0.99334037565258992</c:v>
                </c:pt>
                <c:pt idx="44">
                  <c:v>0.98336065003493534</c:v>
                </c:pt>
                <c:pt idx="45">
                  <c:v>0.96868488973096833</c:v>
                </c:pt>
                <c:pt idx="46">
                  <c:v>0.9493100713146404</c:v>
                </c:pt>
                <c:pt idx="47">
                  <c:v>0.92538472729796539</c:v>
                </c:pt>
                <c:pt idx="48">
                  <c:v>0.89719844978032948</c:v>
                </c:pt>
                <c:pt idx="49">
                  <c:v>0.86515302073075928</c:v>
                </c:pt>
                <c:pt idx="50">
                  <c:v>0.8297239097705198</c:v>
                </c:pt>
                <c:pt idx="51">
                  <c:v>0.79142178953237408</c:v>
                </c:pt>
                <c:pt idx="52">
                  <c:v>0.75076097028781963</c:v>
                </c:pt>
                <c:pt idx="53">
                  <c:v>0.70823764448893167</c:v>
                </c:pt>
                <c:pt idx="54">
                  <c:v>0.66431760974799725</c:v>
                </c:pt>
                <c:pt idx="55">
                  <c:v>0.61943145582350601</c:v>
                </c:pt>
                <c:pt idx="56">
                  <c:v>0.5739748089449046</c:v>
                </c:pt>
                <c:pt idx="57">
                  <c:v>0.52831154880805897</c:v>
                </c:pt>
                <c:pt idx="58">
                  <c:v>0.48277847220670822</c:v>
                </c:pt>
                <c:pt idx="59">
                  <c:v>0.43769040751578547</c:v>
                </c:pt>
                <c:pt idx="60">
                  <c:v>0.39334518778798566</c:v>
                </c:pt>
                <c:pt idx="61">
                  <c:v>0.35002815881726368</c:v>
                </c:pt>
                <c:pt idx="62">
                  <c:v>0.30801605851524838</c:v>
                </c:pt>
                <c:pt idx="63">
                  <c:v>0.26758018752314383</c:v>
                </c:pt>
                <c:pt idx="64">
                  <c:v>0.22898882513629745</c:v>
                </c:pt>
                <c:pt idx="65">
                  <c:v>0.19250884899022072</c:v>
                </c:pt>
                <c:pt idx="66">
                  <c:v>0.15840650509479823</c:v>
                </c:pt>
                <c:pt idx="67">
                  <c:v>0.12694725627003878</c:v>
                </c:pt>
                <c:pt idx="68">
                  <c:v>9.8394619340830075E-2</c:v>
                </c:pt>
                <c:pt idx="69">
                  <c:v>7.30078915068888E-2</c:v>
                </c:pt>
                <c:pt idx="70">
                  <c:v>5.1038671344958327E-2</c:v>
                </c:pt>
                <c:pt idx="71">
                  <c:v>3.2726107719409196E-2</c:v>
                </c:pt>
                <c:pt idx="72">
                  <c:v>1.8290868300924835E-2</c:v>
                </c:pt>
              </c:numCache>
            </c:numRef>
          </c:xVal>
          <c:yVal>
            <c:numRef>
              <c:f>RM!$Q$15:$Q$87</c:f>
              <c:numCache>
                <c:formatCode>General</c:formatCode>
                <c:ptCount val="73"/>
                <c:pt idx="0">
                  <c:v>-17693.635939701027</c:v>
                </c:pt>
                <c:pt idx="1">
                  <c:v>-29372.067353956827</c:v>
                </c:pt>
                <c:pt idx="2">
                  <c:v>-67058.861542295723</c:v>
                </c:pt>
                <c:pt idx="3">
                  <c:v>681397.99869270623</c:v>
                </c:pt>
                <c:pt idx="4">
                  <c:v>64415.134977076857</c:v>
                </c:pt>
                <c:pt idx="5">
                  <c:v>36260.509114607281</c:v>
                </c:pt>
                <c:pt idx="6">
                  <c:v>26405.50486982135</c:v>
                </c:pt>
                <c:pt idx="7">
                  <c:v>21464.170014126052</c:v>
                </c:pt>
                <c:pt idx="8">
                  <c:v>18558.371834089023</c:v>
                </c:pt>
                <c:pt idx="9">
                  <c:v>16699.050320747923</c:v>
                </c:pt>
                <c:pt idx="10">
                  <c:v>15454.86096140335</c:v>
                </c:pt>
                <c:pt idx="11">
                  <c:v>14607.446261155836</c:v>
                </c:pt>
                <c:pt idx="12">
                  <c:v>14034.073004672287</c:v>
                </c:pt>
                <c:pt idx="13">
                  <c:v>13660.002408179174</c:v>
                </c:pt>
                <c:pt idx="14">
                  <c:v>13436.611524633841</c:v>
                </c:pt>
                <c:pt idx="15">
                  <c:v>13330.374306808593</c:v>
                </c:pt>
                <c:pt idx="16">
                  <c:v>13316.909173685592</c:v>
                </c:pt>
                <c:pt idx="17">
                  <c:v>13377.58904949572</c:v>
                </c:pt>
                <c:pt idx="18">
                  <c:v>13497.537845424409</c:v>
                </c:pt>
                <c:pt idx="19">
                  <c:v>13664.422640562076</c:v>
                </c:pt>
                <c:pt idx="20">
                  <c:v>13867.727919863577</c:v>
                </c:pt>
                <c:pt idx="21">
                  <c:v>14098.337628002746</c:v>
                </c:pt>
                <c:pt idx="22">
                  <c:v>14348.324900453414</c:v>
                </c:pt>
                <c:pt idx="23">
                  <c:v>14610.891077386719</c:v>
                </c:pt>
                <c:pt idx="24">
                  <c:v>14880.421009942098</c:v>
                </c:pt>
                <c:pt idx="25">
                  <c:v>15152.639179881135</c:v>
                </c:pt>
                <c:pt idx="26">
                  <c:v>15424.865875947204</c:v>
                </c:pt>
                <c:pt idx="27">
                  <c:v>15696.388569440378</c:v>
                </c:pt>
                <c:pt idx="28">
                  <c:v>15968.985115167539</c:v>
                </c:pt>
                <c:pt idx="29">
                  <c:v>16247.669175277617</c:v>
                </c:pt>
                <c:pt idx="30">
                  <c:v>16541.786582756555</c:v>
                </c:pt>
                <c:pt idx="31">
                  <c:v>16866.699045079898</c:v>
                </c:pt>
                <c:pt idx="32">
                  <c:v>17246.502636348891</c:v>
                </c:pt>
                <c:pt idx="33">
                  <c:v>17718.668880897534</c:v>
                </c:pt>
                <c:pt idx="34">
                  <c:v>18342.483365108401</c:v>
                </c:pt>
                <c:pt idx="35">
                  <c:v>19215.568884973349</c:v>
                </c:pt>
                <c:pt idx="36">
                  <c:v>20509.34302368026</c:v>
                </c:pt>
                <c:pt idx="37">
                  <c:v>22554.791312182486</c:v>
                </c:pt>
                <c:pt idx="38">
                  <c:v>26087.705765396458</c:v>
                </c:pt>
                <c:pt idx="39">
                  <c:v>33154.397648922604</c:v>
                </c:pt>
                <c:pt idx="40">
                  <c:v>52441.637405192952</c:v>
                </c:pt>
                <c:pt idx="41">
                  <c:v>244590.77047535617</c:v>
                </c:pt>
                <c:pt idx="42">
                  <c:v>-62547.939302343162</c:v>
                </c:pt>
                <c:pt idx="43">
                  <c:v>-23443.439098204792</c:v>
                </c:pt>
                <c:pt idx="44">
                  <c:v>-12858.824698726423</c:v>
                </c:pt>
                <c:pt idx="45">
                  <c:v>-8086.7278267941219</c:v>
                </c:pt>
                <c:pt idx="46">
                  <c:v>-5452.5467112107908</c:v>
                </c:pt>
                <c:pt idx="47">
                  <c:v>-3827.9044765524741</c:v>
                </c:pt>
                <c:pt idx="48">
                  <c:v>-2752.1495053682656</c:v>
                </c:pt>
                <c:pt idx="49">
                  <c:v>-2003.8825992414568</c:v>
                </c:pt>
                <c:pt idx="50">
                  <c:v>-1465.2244092780043</c:v>
                </c:pt>
                <c:pt idx="51">
                  <c:v>-1069.1109344934134</c:v>
                </c:pt>
                <c:pt idx="52">
                  <c:v>-775.72556383498295</c:v>
                </c:pt>
                <c:pt idx="53">
                  <c:v>-560.82646582059169</c:v>
                </c:pt>
                <c:pt idx="54">
                  <c:v>-409.52382101527007</c:v>
                </c:pt>
                <c:pt idx="55">
                  <c:v>-312.79051169895865</c:v>
                </c:pt>
                <c:pt idx="56">
                  <c:v>-265.44727541176519</c:v>
                </c:pt>
                <c:pt idx="57">
                  <c:v>-264.99471191063492</c:v>
                </c:pt>
                <c:pt idx="58">
                  <c:v>-310.9641133786148</c:v>
                </c:pt>
                <c:pt idx="59">
                  <c:v>-404.61421415187988</c:v>
                </c:pt>
                <c:pt idx="60">
                  <c:v>-548.88996791204386</c:v>
                </c:pt>
                <c:pt idx="61">
                  <c:v>-748.61920856718075</c:v>
                </c:pt>
                <c:pt idx="62">
                  <c:v>-1010.9746267394814</c:v>
                </c:pt>
                <c:pt idx="63">
                  <c:v>-1346.2891940873928</c:v>
                </c:pt>
                <c:pt idx="64">
                  <c:v>-1769.4054073899115</c:v>
                </c:pt>
                <c:pt idx="65">
                  <c:v>-2301.9028729272104</c:v>
                </c:pt>
                <c:pt idx="66">
                  <c:v>-2975.8709384441045</c:v>
                </c:pt>
                <c:pt idx="67">
                  <c:v>-3840.5767521567986</c:v>
                </c:pt>
                <c:pt idx="68">
                  <c:v>-4974.9502397169454</c:v>
                </c:pt>
                <c:pt idx="69">
                  <c:v>-6512.7708332316879</c:v>
                </c:pt>
                <c:pt idx="70">
                  <c:v>-8698.6758055781665</c:v>
                </c:pt>
                <c:pt idx="71">
                  <c:v>-12030.244472494234</c:v>
                </c:pt>
                <c:pt idx="72">
                  <c:v>-17693.635939701038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F-41B1-84D8-019434876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5896"/>
        <c:axId val="1"/>
      </c:scatterChart>
      <c:valAx>
        <c:axId val="46375589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Dimensionless Polished Rod Position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Polished Rod Load (lbf)</a:t>
                </a:r>
              </a:p>
            </c:rich>
          </c:tx>
          <c:layout>
            <c:manualLayout>
              <c:xMode val="edge"/>
              <c:yMode val="edge"/>
              <c:x val="2.6143803344763999E-2"/>
              <c:y val="0.218198614318706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755896"/>
        <c:crosses val="autoZero"/>
        <c:crossBetween val="midCat"/>
        <c:maj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 Rod Position</a:t>
            </a:r>
          </a:p>
        </c:rich>
      </c:tx>
      <c:layout>
        <c:manualLayout>
          <c:xMode val="edge"/>
          <c:yMode val="edge"/>
          <c:x val="0"/>
          <c:y val="0.82945736434108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1315240083507"/>
          <c:y val="0.25193893811674128"/>
          <c:w val="0.54488517745302711"/>
          <c:h val="0.48062197425347569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compare!$B$5:$B$77</c:f>
              <c:numCache>
                <c:formatCode>General</c:formatCode>
                <c:ptCount val="73"/>
                <c:pt idx="0">
                  <c:v>4.816491542249679E-2</c:v>
                </c:pt>
                <c:pt idx="1">
                  <c:v>8.2828915365839917E-2</c:v>
                </c:pt>
                <c:pt idx="2">
                  <c:v>0.63753040344368905</c:v>
                </c:pt>
                <c:pt idx="3">
                  <c:v>1.7170235781266865</c:v>
                </c:pt>
                <c:pt idx="4">
                  <c:v>3.3164266419966859</c:v>
                </c:pt>
                <c:pt idx="5">
                  <c:v>5.4202227021133309</c:v>
                </c:pt>
                <c:pt idx="6">
                  <c:v>8.0018100037627367</c:v>
                </c:pt>
                <c:pt idx="7">
                  <c:v>11.02375949801446</c:v>
                </c:pt>
                <c:pt idx="8">
                  <c:v>14.438859698870946</c:v>
                </c:pt>
                <c:pt idx="9">
                  <c:v>18.191918092032651</c:v>
                </c:pt>
                <c:pt idx="10">
                  <c:v>22.222167947095841</c:v>
                </c:pt>
                <c:pt idx="11">
                  <c:v>26.466029548840446</c:v>
                </c:pt>
                <c:pt idx="12">
                  <c:v>30.859922506758565</c:v>
                </c:pt>
                <c:pt idx="13">
                  <c:v>35.34283391088011</c:v>
                </c:pt>
                <c:pt idx="14">
                  <c:v>39.858409950157373</c:v>
                </c:pt>
                <c:pt idx="15">
                  <c:v>44.356435124917454</c:v>
                </c:pt>
                <c:pt idx="16">
                  <c:v>48.7936661997595</c:v>
                </c:pt>
                <c:pt idx="17">
                  <c:v>53.134074285176283</c:v>
                </c:pt>
                <c:pt idx="18">
                  <c:v>57.348604736482493</c:v>
                </c:pt>
                <c:pt idx="19">
                  <c:v>61.414588751852165</c:v>
                </c:pt>
                <c:pt idx="20">
                  <c:v>65.314938436429856</c:v>
                </c:pt>
                <c:pt idx="21">
                  <c:v>69.037238032628423</c:v>
                </c:pt>
                <c:pt idx="22">
                  <c:v>72.572817221723696</c:v>
                </c:pt>
                <c:pt idx="23">
                  <c:v>75.915864896371119</c:v>
                </c:pt>
                <c:pt idx="24">
                  <c:v>79.062617836918506</c:v>
                </c:pt>
                <c:pt idx="25">
                  <c:v>82.010640162583016</c:v>
                </c:pt>
                <c:pt idx="26">
                  <c:v>84.758196511410858</c:v>
                </c:pt>
                <c:pt idx="27">
                  <c:v>87.303713987893261</c:v>
                </c:pt>
                <c:pt idx="28">
                  <c:v>89.645324038397419</c:v>
                </c:pt>
                <c:pt idx="29">
                  <c:v>91.780474627366701</c:v>
                </c:pt>
                <c:pt idx="30">
                  <c:v>93.705604634851937</c:v>
                </c:pt>
                <c:pt idx="31">
                  <c:v>95.415875753097396</c:v>
                </c:pt>
                <c:pt idx="32">
                  <c:v>96.90496199370186</c:v>
                </c:pt>
                <c:pt idx="33">
                  <c:v>98.164902986831407</c:v>
                </c:pt>
                <c:pt idx="34">
                  <c:v>99.186034255819408</c:v>
                </c:pt>
                <c:pt idx="35">
                  <c:v>99.957015001695254</c:v>
                </c:pt>
                <c:pt idx="36">
                  <c:v>100.46498051177709</c:v>
                </c:pt>
                <c:pt idx="37">
                  <c:v>100.69585020865533</c:v>
                </c:pt>
                <c:pt idx="38">
                  <c:v>100.6348208031481</c:v>
                </c:pt>
                <c:pt idx="39">
                  <c:v>100.26706368096234</c:v>
                </c:pt>
                <c:pt idx="40">
                  <c:v>99.57862368955314</c:v>
                </c:pt>
                <c:pt idx="41">
                  <c:v>98.557482374674962</c:v>
                </c:pt>
                <c:pt idx="42">
                  <c:v>97.194706474924331</c:v>
                </c:pt>
                <c:pt idx="43">
                  <c:v>95.485562033644541</c:v>
                </c:pt>
                <c:pt idx="44">
                  <c:v>93.430450253710816</c:v>
                </c:pt>
                <c:pt idx="45">
                  <c:v>91.035526996386778</c:v>
                </c:pt>
                <c:pt idx="46">
                  <c:v>88.312909364908307</c:v>
                </c:pt>
                <c:pt idx="47">
                  <c:v>85.280442459800071</c:v>
                </c:pt>
                <c:pt idx="48">
                  <c:v>81.961077285615445</c:v>
                </c:pt>
                <c:pt idx="49">
                  <c:v>78.381973265460701</c:v>
                </c:pt>
                <c:pt idx="50">
                  <c:v>74.573469207150723</c:v>
                </c:pt>
                <c:pt idx="51">
                  <c:v>70.568061622132916</c:v>
                </c:pt>
                <c:pt idx="52">
                  <c:v>66.399498048132017</c:v>
                </c:pt>
                <c:pt idx="53">
                  <c:v>62.102050187383547</c:v>
                </c:pt>
                <c:pt idx="54">
                  <c:v>57.709990603342376</c:v>
                </c:pt>
                <c:pt idx="55">
                  <c:v>53.25726544340796</c:v>
                </c:pt>
                <c:pt idx="56">
                  <c:v>48.777336511285327</c:v>
                </c:pt>
                <c:pt idx="57">
                  <c:v>44.303157451232707</c:v>
                </c:pt>
                <c:pt idx="58">
                  <c:v>39.86724759965076</c:v>
                </c:pt>
                <c:pt idx="59">
                  <c:v>35.501829907218948</c:v>
                </c:pt>
                <c:pt idx="60">
                  <c:v>31.23900365353191</c:v>
                </c:pt>
                <c:pt idx="61">
                  <c:v>27.110926777659255</c:v>
                </c:pt>
                <c:pt idx="62">
                  <c:v>23.149985607023886</c:v>
                </c:pt>
                <c:pt idx="63">
                  <c:v>19.388931201391003</c:v>
                </c:pt>
                <c:pt idx="64">
                  <c:v>15.860961411938371</c:v>
                </c:pt>
                <c:pt idx="65">
                  <c:v>12.599726304307211</c:v>
                </c:pt>
                <c:pt idx="66">
                  <c:v>9.6392322376321662</c:v>
                </c:pt>
                <c:pt idx="67">
                  <c:v>7.0136173024429027</c:v>
                </c:pt>
                <c:pt idx="68">
                  <c:v>4.7567689945616944</c:v>
                </c:pt>
                <c:pt idx="69">
                  <c:v>2.9017553421429261</c:v>
                </c:pt>
                <c:pt idx="70">
                  <c:v>1.4800450556617397</c:v>
                </c:pt>
                <c:pt idx="71">
                  <c:v>0.52050283186188762</c:v>
                </c:pt>
                <c:pt idx="72">
                  <c:v>4.816491542249679E-2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A-4697-8C48-E6A0F9A0F497}"/>
            </c:ext>
          </c:extLst>
        </c:ser>
        <c:ser>
          <c:idx val="1"/>
          <c:order val="1"/>
          <c:tx>
            <c:v>Mark II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compare!$C$5:$C$77</c:f>
              <c:numCache>
                <c:formatCode>General</c:formatCode>
                <c:ptCount val="73"/>
                <c:pt idx="0">
                  <c:v>5.0945545970377992</c:v>
                </c:pt>
                <c:pt idx="1">
                  <c:v>6.8591908743243568</c:v>
                </c:pt>
                <c:pt idx="2">
                  <c:v>8.8659331614229302</c:v>
                </c:pt>
                <c:pt idx="3">
                  <c:v>11.106500492711687</c:v>
                </c:pt>
                <c:pt idx="4">
                  <c:v>13.571945024277627</c:v>
                </c:pt>
                <c:pt idx="5">
                  <c:v>16.252521770791127</c:v>
                </c:pt>
                <c:pt idx="6">
                  <c:v>19.137558902431557</c:v>
                </c:pt>
                <c:pt idx="7">
                  <c:v>22.21533237297934</c:v>
                </c:pt>
                <c:pt idx="8">
                  <c:v>25.472948373960268</c:v>
                </c:pt>
                <c:pt idx="9">
                  <c:v>28.896236773742331</c:v>
                </c:pt>
                <c:pt idx="10">
                  <c:v>32.469658301271402</c:v>
                </c:pt>
                <c:pt idx="11">
                  <c:v>36.176227781653097</c:v>
                </c:pt>
                <c:pt idx="12">
                  <c:v>39.997455248076911</c:v>
                </c:pt>
                <c:pt idx="13">
                  <c:v>43.91330627570327</c:v>
                </c:pt>
                <c:pt idx="14">
                  <c:v>47.902182449744934</c:v>
                </c:pt>
                <c:pt idx="15">
                  <c:v>51.940922536723392</c:v>
                </c:pt>
                <c:pt idx="16">
                  <c:v>56.004824717542576</c:v>
                </c:pt>
                <c:pt idx="17">
                  <c:v>60.067690199715628</c:v>
                </c:pt>
                <c:pt idx="18">
                  <c:v>64.101888679278389</c:v>
                </c:pt>
                <c:pt idx="19">
                  <c:v>68.078446482457082</c:v>
                </c:pt>
                <c:pt idx="20">
                  <c:v>71.967158779263997</c:v>
                </c:pt>
                <c:pt idx="21">
                  <c:v>75.736728005223</c:v>
                </c:pt>
                <c:pt idx="22">
                  <c:v>79.354931514891902</c:v>
                </c:pt>
                <c:pt idx="23">
                  <c:v>82.7888224639686</c:v>
                </c:pt>
                <c:pt idx="24">
                  <c:v>86.004968896252805</c:v>
                </c:pt>
                <c:pt idx="25">
                  <c:v>88.969736893355361</c:v>
                </c:pt>
                <c:pt idx="26">
                  <c:v>91.649624295197668</c:v>
                </c:pt>
                <c:pt idx="27">
                  <c:v>94.011651750545312</c:v>
                </c:pt>
                <c:pt idx="28">
                  <c:v>96.023817504554714</c:v>
                </c:pt>
                <c:pt idx="29">
                  <c:v>97.655621134182624</c:v>
                </c:pt>
                <c:pt idx="30">
                  <c:v>98.878659135206078</c:v>
                </c:pt>
                <c:pt idx="31">
                  <c:v>99.667291574954049</c:v>
                </c:pt>
                <c:pt idx="32">
                  <c:v>99.999373717295057</c:v>
                </c:pt>
                <c:pt idx="33">
                  <c:v>99.857039465803354</c:v>
                </c:pt>
                <c:pt idx="34">
                  <c:v>99.22751471065753</c:v>
                </c:pt>
                <c:pt idx="35">
                  <c:v>98.10392855419056</c:v>
                </c:pt>
                <c:pt idx="36">
                  <c:v>96.486079684376051</c:v>
                </c:pt>
                <c:pt idx="37">
                  <c:v>94.381105106695983</c:v>
                </c:pt>
                <c:pt idx="38">
                  <c:v>91.803990765202812</c:v>
                </c:pt>
                <c:pt idx="39">
                  <c:v>88.777860379532882</c:v>
                </c:pt>
                <c:pt idx="40">
                  <c:v>85.33398225294826</c:v>
                </c:pt>
                <c:pt idx="41">
                  <c:v>81.511445597001739</c:v>
                </c:pt>
                <c:pt idx="42">
                  <c:v>77.356478764866978</c:v>
                </c:pt>
                <c:pt idx="43">
                  <c:v>72.921410764683642</c:v>
                </c:pt>
                <c:pt idx="44">
                  <c:v>68.263311666077527</c:v>
                </c:pt>
                <c:pt idx="45">
                  <c:v>63.442382344235085</c:v>
                </c:pt>
                <c:pt idx="46">
                  <c:v>58.520193691867938</c:v>
                </c:pt>
                <c:pt idx="47">
                  <c:v>53.557894424931781</c:v>
                </c:pt>
                <c:pt idx="48">
                  <c:v>48.614510992423078</c:v>
                </c:pt>
                <c:pt idx="49">
                  <c:v>43.745451718879238</c:v>
                </c:pt>
                <c:pt idx="50">
                  <c:v>39.001302181902744</c:v>
                </c:pt>
                <c:pt idx="51">
                  <c:v>34.426964649659254</c:v>
                </c:pt>
                <c:pt idx="52">
                  <c:v>30.061157287285212</c:v>
                </c:pt>
                <c:pt idx="53">
                  <c:v>25.936254766267691</c:v>
                </c:pt>
                <c:pt idx="54">
                  <c:v>22.078425399638842</c:v>
                </c:pt>
                <c:pt idx="55">
                  <c:v>18.508003319562864</c:v>
                </c:pt>
                <c:pt idx="56">
                  <c:v>15.240027647387885</c:v>
                </c:pt>
                <c:pt idx="57">
                  <c:v>12.284882523222032</c:v>
                </c:pt>
                <c:pt idx="58">
                  <c:v>9.6489797821781274</c:v>
                </c:pt>
                <c:pt idx="59">
                  <c:v>7.3354373225131475</c:v>
                </c:pt>
                <c:pt idx="60">
                  <c:v>5.3447184915892212</c:v>
                </c:pt>
                <c:pt idx="61">
                  <c:v>3.675209427684174</c:v>
                </c:pt>
                <c:pt idx="62">
                  <c:v>2.3237212226660682</c:v>
                </c:pt>
                <c:pt idx="63">
                  <c:v>1.2859115760701412</c:v>
                </c:pt>
                <c:pt idx="64">
                  <c:v>0.55662627983968038</c:v>
                </c:pt>
                <c:pt idx="65">
                  <c:v>0.13016464637084427</c:v>
                </c:pt>
                <c:pt idx="66">
                  <c:v>4.7523298100998231E-4</c:v>
                </c:pt>
                <c:pt idx="67">
                  <c:v>0.16128931124487794</c:v>
                </c:pt>
                <c:pt idx="68">
                  <c:v>0.60619983510219122</c:v>
                </c:pt>
                <c:pt idx="69">
                  <c:v>1.3286934720901193</c:v>
                </c:pt>
                <c:pt idx="70">
                  <c:v>2.322142803877723</c:v>
                </c:pt>
                <c:pt idx="71">
                  <c:v>3.5797652369059576</c:v>
                </c:pt>
                <c:pt idx="72">
                  <c:v>5.0945545970378383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A-4697-8C48-E6A0F9A0F497}"/>
            </c:ext>
          </c:extLst>
        </c:ser>
        <c:ser>
          <c:idx val="2"/>
          <c:order val="2"/>
          <c:tx>
            <c:v>Air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compare!$D$5:$D$77</c:f>
              <c:numCache>
                <c:formatCode>General</c:formatCode>
                <c:ptCount val="73"/>
                <c:pt idx="0">
                  <c:v>8.1353690636784429E-4</c:v>
                </c:pt>
                <c:pt idx="1">
                  <c:v>0.16711516646612187</c:v>
                </c:pt>
                <c:pt idx="2">
                  <c:v>0.6195258332118091</c:v>
                </c:pt>
                <c:pt idx="3">
                  <c:v>1.3525428628076881</c:v>
                </c:pt>
                <c:pt idx="4">
                  <c:v>2.3595256515878433</c:v>
                </c:pt>
                <c:pt idx="5">
                  <c:v>3.6328846926605922</c:v>
                </c:pt>
                <c:pt idx="6">
                  <c:v>5.1642339788698894</c:v>
                </c:pt>
                <c:pt idx="7">
                  <c:v>6.9444997888349516</c:v>
                </c:pt>
                <c:pt idx="8">
                  <c:v>8.9639817138446141</c:v>
                </c:pt>
                <c:pt idx="9">
                  <c:v>11.212364326078388</c:v>
                </c:pt>
                <c:pt idx="10">
                  <c:v>13.678680062462821</c:v>
                </c:pt>
                <c:pt idx="11">
                  <c:v>16.351225745062965</c:v>
                </c:pt>
                <c:pt idx="12">
                  <c:v>19.217436788942013</c:v>
                </c:pt>
                <c:pt idx="13">
                  <c:v>22.263724707475681</c:v>
                </c:pt>
                <c:pt idx="14">
                  <c:v>25.475285161690074</c:v>
                </c:pt>
                <c:pt idx="15">
                  <c:v>28.835885637108252</c:v>
                </c:pt>
                <c:pt idx="16">
                  <c:v>32.327643939498458</c:v>
                </c:pt>
                <c:pt idx="17">
                  <c:v>35.930811072922928</c:v>
                </c:pt>
                <c:pt idx="18">
                  <c:v>39.623574590806328</c:v>
                </c:pt>
                <c:pt idx="19">
                  <c:v>43.381900961971439</c:v>
                </c:pt>
                <c:pt idx="20">
                  <c:v>47.179437503473572</c:v>
                </c:pt>
                <c:pt idx="21">
                  <c:v>50.987495508916595</c:v>
                </c:pt>
                <c:pt idx="22">
                  <c:v>54.775135764078541</c:v>
                </c:pt>
                <c:pt idx="23">
                  <c:v>58.50937509876654</c:v>
                </c:pt>
                <c:pt idx="24">
                  <c:v>62.155527491913844</c:v>
                </c:pt>
                <c:pt idx="25">
                  <c:v>65.677685307796324</c:v>
                </c:pt>
                <c:pt idx="26">
                  <c:v>69.039335703271036</c:v>
                </c:pt>
                <c:pt idx="27">
                  <c:v>72.204094866057204</c:v>
                </c:pt>
                <c:pt idx="28">
                  <c:v>75.136529852027181</c:v>
                </c:pt>
                <c:pt idx="29">
                  <c:v>77.803026165546044</c:v>
                </c:pt>
                <c:pt idx="30">
                  <c:v>80.172650817186764</c:v>
                </c:pt>
                <c:pt idx="31">
                  <c:v>82.217957102231352</c:v>
                </c:pt>
                <c:pt idx="32">
                  <c:v>83.915679802687407</c:v>
                </c:pt>
                <c:pt idx="33">
                  <c:v>85.247277960780721</c:v>
                </c:pt>
                <c:pt idx="34">
                  <c:v>86.199295748961148</c:v>
                </c:pt>
                <c:pt idx="35">
                  <c:v>86.763528314293865</c:v>
                </c:pt>
                <c:pt idx="36">
                  <c:v>86.93699637155774</c:v>
                </c:pt>
                <c:pt idx="37">
                  <c:v>86.721748387071571</c:v>
                </c:pt>
                <c:pt idx="38">
                  <c:v>86.124520604733249</c:v>
                </c:pt>
                <c:pt idx="39">
                  <c:v>85.156291928062117</c:v>
                </c:pt>
                <c:pt idx="40">
                  <c:v>83.831772694929455</c:v>
                </c:pt>
                <c:pt idx="41">
                  <c:v>82.168864312737469</c:v>
                </c:pt>
                <c:pt idx="42">
                  <c:v>80.188121665446744</c:v>
                </c:pt>
                <c:pt idx="43">
                  <c:v>77.912243414004323</c:v>
                </c:pt>
                <c:pt idx="44">
                  <c:v>75.36560794048016</c:v>
                </c:pt>
                <c:pt idx="45">
                  <c:v>72.573865628589957</c:v>
                </c:pt>
                <c:pt idx="46">
                  <c:v>69.563592010247234</c:v>
                </c:pt>
                <c:pt idx="47">
                  <c:v>66.362001325096998</c:v>
                </c:pt>
                <c:pt idx="48">
                  <c:v>62.996716290880308</c:v>
                </c:pt>
                <c:pt idx="49">
                  <c:v>59.495587265965021</c:v>
                </c:pt>
                <c:pt idx="50">
                  <c:v>55.88655231977701</c:v>
                </c:pt>
                <c:pt idx="51">
                  <c:v>52.19752880851275</c:v>
                </c:pt>
                <c:pt idx="52">
                  <c:v>48.456326697530535</c:v>
                </c:pt>
                <c:pt idx="53">
                  <c:v>44.690573936481563</c:v>
                </c:pt>
                <c:pt idx="54">
                  <c:v>40.927644591052278</c:v>
                </c:pt>
                <c:pt idx="55">
                  <c:v>37.194581133869619</c:v>
                </c:pt>
                <c:pt idx="56">
                  <c:v>33.518003312372784</c:v>
                </c:pt>
                <c:pt idx="57">
                  <c:v>29.923997392403898</c:v>
                </c:pt>
                <c:pt idx="58">
                  <c:v>26.437981383614165</c:v>
                </c:pt>
                <c:pt idx="59">
                  <c:v>23.084544130023332</c:v>
                </c:pt>
                <c:pt idx="60">
                  <c:v>19.887258888597639</c:v>
                </c:pt>
                <c:pt idx="61">
                  <c:v>16.868475127746517</c:v>
                </c:pt>
                <c:pt idx="62">
                  <c:v>14.049095552084822</c:v>
                </c:pt>
                <c:pt idx="63">
                  <c:v>11.44834847737852</c:v>
                </c:pt>
                <c:pt idx="64">
                  <c:v>9.0835682230321808</c:v>
                </c:pt>
                <c:pt idx="65">
                  <c:v>6.9699977061289413</c:v>
                </c:pt>
                <c:pt idx="66">
                  <c:v>5.1206275141647941</c:v>
                </c:pt>
                <c:pt idx="67">
                  <c:v>3.5460841675096382</c:v>
                </c:pt>
                <c:pt idx="68">
                  <c:v>2.2545770714965663</c:v>
                </c:pt>
                <c:pt idx="69">
                  <c:v>1.2519091059906107</c:v>
                </c:pt>
                <c:pt idx="70">
                  <c:v>0.54155047009998813</c:v>
                </c:pt>
                <c:pt idx="71">
                  <c:v>0.12477001016724483</c:v>
                </c:pt>
                <c:pt idx="72">
                  <c:v>8.1353690636784429E-4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A-4697-8C48-E6A0F9A0F497}"/>
            </c:ext>
          </c:extLst>
        </c:ser>
        <c:ser>
          <c:idx val="3"/>
          <c:order val="3"/>
          <c:tx>
            <c:v>Reverse Mark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compare!$E$5:$E$77</c:f>
              <c:numCache>
                <c:formatCode>General</c:formatCode>
                <c:ptCount val="73"/>
                <c:pt idx="0">
                  <c:v>1.8340330964748031</c:v>
                </c:pt>
                <c:pt idx="1">
                  <c:v>0.79493536402370324</c:v>
                </c:pt>
                <c:pt idx="2">
                  <c:v>0.18031692692756771</c:v>
                </c:pt>
                <c:pt idx="3">
                  <c:v>2.0476498571314937E-3</c:v>
                </c:pt>
                <c:pt idx="4">
                  <c:v>0.26683706728484918</c:v>
                </c:pt>
                <c:pt idx="5">
                  <c:v>0.97542837179523312</c:v>
                </c:pt>
                <c:pt idx="6">
                  <c:v>2.1219545487650731</c:v>
                </c:pt>
                <c:pt idx="7">
                  <c:v>3.6935463559806281</c:v>
                </c:pt>
                <c:pt idx="8">
                  <c:v>5.6702703417645894</c:v>
                </c:pt>
                <c:pt idx="9">
                  <c:v>8.0254482702607213</c:v>
                </c:pt>
                <c:pt idx="10">
                  <c:v>10.726369249037255</c:v>
                </c:pt>
                <c:pt idx="11">
                  <c:v>13.735358579276731</c:v>
                </c:pt>
                <c:pt idx="12">
                  <c:v>17.011121820117786</c:v>
                </c:pt>
                <c:pt idx="13">
                  <c:v>20.510248239754095</c:v>
                </c:pt>
                <c:pt idx="14">
                  <c:v>24.188741820771838</c:v>
                </c:pt>
                <c:pt idx="15">
                  <c:v>28.003452852587959</c:v>
                </c:pt>
                <c:pt idx="16">
                  <c:v>31.913306309829274</c:v>
                </c:pt>
                <c:pt idx="17">
                  <c:v>35.880258177749141</c:v>
                </c:pt>
                <c:pt idx="18">
                  <c:v>39.869949525392116</c:v>
                </c:pt>
                <c:pt idx="19">
                  <c:v>43.852063121467161</c:v>
                </c:pt>
                <c:pt idx="20">
                  <c:v>47.800413844064373</c:v>
                </c:pt>
                <c:pt idx="21">
                  <c:v>51.692820100249463</c:v>
                </c:pt>
                <c:pt idx="22">
                  <c:v>55.510809491423799</c:v>
                </c:pt>
                <c:pt idx="23">
                  <c:v>59.239210143814411</c:v>
                </c:pt>
                <c:pt idx="24">
                  <c:v>62.865672161018551</c:v>
                </c:pt>
                <c:pt idx="25">
                  <c:v>66.380154081537256</c:v>
                </c:pt>
                <c:pt idx="26">
                  <c:v>69.774399013894921</c:v>
                </c:pt>
                <c:pt idx="27">
                  <c:v>73.041415578970657</c:v>
                </c:pt>
                <c:pt idx="28">
                  <c:v>76.174970623705846</c:v>
                </c:pt>
                <c:pt idx="29">
                  <c:v>79.169094169098571</c:v>
                </c:pt>
                <c:pt idx="30">
                  <c:v>82.01759227687495</c:v>
                </c:pt>
                <c:pt idx="31">
                  <c:v>84.713560482912825</c:v>
                </c:pt>
                <c:pt idx="32">
                  <c:v>87.248889311234564</c:v>
                </c:pt>
                <c:pt idx="33">
                  <c:v>89.613754632517015</c:v>
                </c:pt>
                <c:pt idx="34">
                  <c:v>91.796090266762434</c:v>
                </c:pt>
                <c:pt idx="35">
                  <c:v>93.78104996760905</c:v>
                </c:pt>
                <c:pt idx="36">
                  <c:v>95.550483305170829</c:v>
                </c:pt>
                <c:pt idx="37">
                  <c:v>97.082478114477922</c:v>
                </c:pt>
                <c:pt idx="38">
                  <c:v>98.351063704889086</c:v>
                </c:pt>
                <c:pt idx="39">
                  <c:v>99.326223140124426</c:v>
                </c:pt>
                <c:pt idx="40">
                  <c:v>99.974419861141058</c:v>
                </c:pt>
                <c:pt idx="41">
                  <c:v>100.25987736742429</c:v>
                </c:pt>
                <c:pt idx="42">
                  <c:v>100.14681291300874</c:v>
                </c:pt>
                <c:pt idx="43">
                  <c:v>99.602659372895289</c:v>
                </c:pt>
                <c:pt idx="44">
                  <c:v>98.601988066569717</c:v>
                </c:pt>
                <c:pt idx="45">
                  <c:v>97.130443377133346</c:v>
                </c:pt>
                <c:pt idx="46">
                  <c:v>95.18772214437827</c:v>
                </c:pt>
                <c:pt idx="47">
                  <c:v>92.788717786071928</c:v>
                </c:pt>
                <c:pt idx="48">
                  <c:v>89.962467824436573</c:v>
                </c:pt>
                <c:pt idx="49">
                  <c:v>86.749259107348308</c:v>
                </c:pt>
                <c:pt idx="50">
                  <c:v>83.196767174722567</c:v>
                </c:pt>
                <c:pt idx="51">
                  <c:v>79.35619738731873</c:v>
                </c:pt>
                <c:pt idx="52">
                  <c:v>75.279119853469822</c:v>
                </c:pt>
                <c:pt idx="53">
                  <c:v>71.015288000096547</c:v>
                </c:pt>
                <c:pt idx="54">
                  <c:v>66.611407550685556</c:v>
                </c:pt>
                <c:pt idx="55">
                  <c:v>62.11065392234007</c:v>
                </c:pt>
                <c:pt idx="56">
                  <c:v>57.552696724326402</c:v>
                </c:pt>
                <c:pt idx="57">
                  <c:v>52.974022327568754</c:v>
                </c:pt>
                <c:pt idx="58">
                  <c:v>48.408401488946545</c:v>
                </c:pt>
                <c:pt idx="59">
                  <c:v>43.887402182698985</c:v>
                </c:pt>
                <c:pt idx="60">
                  <c:v>39.44088825492021</c:v>
                </c:pt>
                <c:pt idx="61">
                  <c:v>35.09747144899184</c:v>
                </c:pt>
                <c:pt idx="62">
                  <c:v>30.88490039229594</c:v>
                </c:pt>
                <c:pt idx="63">
                  <c:v>26.830378514810601</c:v>
                </c:pt>
                <c:pt idx="64">
                  <c:v>22.960806294887718</c:v>
                </c:pt>
                <c:pt idx="65">
                  <c:v>19.302943665854901</c:v>
                </c:pt>
                <c:pt idx="66">
                  <c:v>15.883487227671164</c:v>
                </c:pt>
                <c:pt idx="67">
                  <c:v>12.729055049515594</c:v>
                </c:pt>
                <c:pt idx="68">
                  <c:v>9.8660700748138783</c:v>
                </c:pt>
                <c:pt idx="69">
                  <c:v>7.3205321433920716</c:v>
                </c:pt>
                <c:pt idx="70">
                  <c:v>5.1176691508963339</c:v>
                </c:pt>
                <c:pt idx="71">
                  <c:v>3.2814606550504353</c:v>
                </c:pt>
                <c:pt idx="72">
                  <c:v>1.8340330964747431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A-4697-8C48-E6A0F9A0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82512"/>
        <c:axId val="1"/>
      </c:scatterChart>
      <c:valAx>
        <c:axId val="463382512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layout>
            <c:manualLayout>
              <c:xMode val="edge"/>
              <c:yMode val="edge"/>
              <c:x val="0.29853862212943633"/>
              <c:y val="0.85271643370160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 Position (inches)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24031089137113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3825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21503131524014"/>
          <c:y val="0.32945858511872061"/>
          <c:w val="0.24008350730688932"/>
          <c:h val="0.32945858511872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 Rod Velocity</a:t>
            </a:r>
          </a:p>
        </c:rich>
      </c:tx>
      <c:layout>
        <c:manualLayout>
          <c:xMode val="edge"/>
          <c:yMode val="edge"/>
          <c:x val="0.31941544885177453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3632567849686"/>
          <c:y val="0.25193893811674128"/>
          <c:w val="0.56576200417536537"/>
          <c:h val="0.55814164752016537"/>
        </c:manualLayout>
      </c:layout>
      <c:scatterChart>
        <c:scatterStyle val="lineMarker"/>
        <c:varyColors val="0"/>
        <c:ser>
          <c:idx val="4"/>
          <c:order val="0"/>
          <c:tx>
            <c:v>Conventional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compare!$F$5:$F$77</c:f>
              <c:numCache>
                <c:formatCode>General</c:formatCode>
                <c:ptCount val="73"/>
                <c:pt idx="0">
                  <c:v>-0.28009638444855872</c:v>
                </c:pt>
                <c:pt idx="1">
                  <c:v>2.0555751966402473E-2</c:v>
                </c:pt>
                <c:pt idx="2">
                  <c:v>0.32893798243016453</c:v>
                </c:pt>
                <c:pt idx="3">
                  <c:v>0.64013945258701743</c:v>
                </c:pt>
                <c:pt idx="4">
                  <c:v>0.94844601687490959</c:v>
                </c:pt>
                <c:pt idx="5">
                  <c:v>1.2475510636491705</c:v>
                </c:pt>
                <c:pt idx="6">
                  <c:v>1.5308812698780974</c:v>
                </c:pt>
                <c:pt idx="7">
                  <c:v>1.7920160500912719</c:v>
                </c:pt>
                <c:pt idx="8">
                  <c:v>2.0251544191078961</c:v>
                </c:pt>
                <c:pt idx="9">
                  <c:v>2.2255636271448909</c:v>
                </c:pt>
                <c:pt idx="10">
                  <c:v>2.3899381640524711</c:v>
                </c:pt>
                <c:pt idx="11">
                  <c:v>2.5166099298345506</c:v>
                </c:pt>
                <c:pt idx="12">
                  <c:v>2.6055785240454443</c:v>
                </c:pt>
                <c:pt idx="13">
                  <c:v>2.6583664626440759</c:v>
                </c:pt>
                <c:pt idx="14">
                  <c:v>2.6777365912914171</c:v>
                </c:pt>
                <c:pt idx="15">
                  <c:v>2.6673289286327275</c:v>
                </c:pt>
                <c:pt idx="16">
                  <c:v>2.6312780273813332</c:v>
                </c:pt>
                <c:pt idx="17">
                  <c:v>2.5738619946521522</c:v>
                </c:pt>
                <c:pt idx="18">
                  <c:v>2.4992165576245822</c:v>
                </c:pt>
                <c:pt idx="19">
                  <c:v>2.4111285211142155</c:v>
                </c:pt>
                <c:pt idx="20">
                  <c:v>2.3129073629545704</c:v>
                </c:pt>
                <c:pt idx="21">
                  <c:v>2.2073236605457502</c:v>
                </c:pt>
                <c:pt idx="22">
                  <c:v>2.0965984591334967</c:v>
                </c:pt>
                <c:pt idx="23">
                  <c:v>1.9824272710659214</c:v>
                </c:pt>
                <c:pt idx="24">
                  <c:v>1.8660244937446004</c:v>
                </c:pt>
                <c:pt idx="25">
                  <c:v>1.7481772391190546</c:v>
                </c:pt>
                <c:pt idx="26">
                  <c:v>1.6293009148549107</c:v>
                </c:pt>
                <c:pt idx="27">
                  <c:v>1.5094918635540646</c:v>
                </c:pt>
                <c:pt idx="28">
                  <c:v>1.388574759948966</c:v>
                </c:pt>
                <c:pt idx="29">
                  <c:v>1.2661442992587841</c:v>
                </c:pt>
                <c:pt idx="30">
                  <c:v>1.1416020944387453</c:v>
                </c:pt>
                <c:pt idx="31">
                  <c:v>1.0141907731195567</c:v>
                </c:pt>
                <c:pt idx="32">
                  <c:v>0.88302814067844748</c:v>
                </c:pt>
                <c:pt idx="33">
                  <c:v>0.74714500892582125</c:v>
                </c:pt>
                <c:pt idx="34">
                  <c:v>0.6055308425098842</c:v>
                </c:pt>
                <c:pt idx="35">
                  <c:v>0.45719158230437679</c:v>
                </c:pt>
                <c:pt idx="36">
                  <c:v>0.30122354747852603</c:v>
                </c:pt>
                <c:pt idx="37">
                  <c:v>0.13690573024879882</c:v>
                </c:pt>
                <c:pt idx="38">
                  <c:v>-3.6190437465785819E-2</c:v>
                </c:pt>
                <c:pt idx="39">
                  <c:v>-0.21807997345615845</c:v>
                </c:pt>
                <c:pt idx="40">
                  <c:v>-0.40824491490565396</c:v>
                </c:pt>
                <c:pt idx="41">
                  <c:v>-0.60553679972275987</c:v>
                </c:pt>
                <c:pt idx="42">
                  <c:v>-0.80812610855212397</c:v>
                </c:pt>
                <c:pt idx="43">
                  <c:v>-1.0135226536789153</c:v>
                </c:pt>
                <c:pt idx="44">
                  <c:v>-1.2186812855006988</c:v>
                </c:pt>
                <c:pt idx="45">
                  <c:v>-1.4201894915931546</c:v>
                </c:pt>
                <c:pt idx="46">
                  <c:v>-1.6145122554667333</c:v>
                </c:pt>
                <c:pt idx="47">
                  <c:v>-1.7982528747291842</c:v>
                </c:pt>
                <c:pt idx="48">
                  <c:v>-1.9683835482914827</c:v>
                </c:pt>
                <c:pt idx="49">
                  <c:v>-2.1224086839517633</c:v>
                </c:pt>
                <c:pt idx="50">
                  <c:v>-2.2584429065778169</c:v>
                </c:pt>
                <c:pt idx="51">
                  <c:v>-2.3752066979155591</c:v>
                </c:pt>
                <c:pt idx="52">
                  <c:v>-2.471958199382533</c:v>
                </c:pt>
                <c:pt idx="53">
                  <c:v>-2.5483865814238427</c:v>
                </c:pt>
                <c:pt idx="54">
                  <c:v>-2.6044913333364144</c:v>
                </c:pt>
                <c:pt idx="55">
                  <c:v>-2.6404660198411092</c:v>
                </c:pt>
                <c:pt idx="56">
                  <c:v>-2.656597856748721</c:v>
                </c:pt>
                <c:pt idx="57">
                  <c:v>-2.6531881826112036</c:v>
                </c:pt>
                <c:pt idx="58">
                  <c:v>-2.6304945419880941</c:v>
                </c:pt>
                <c:pt idx="59">
                  <c:v>-2.5886926916120645</c:v>
                </c:pt>
                <c:pt idx="60">
                  <c:v>-2.5278559684364135</c:v>
                </c:pt>
                <c:pt idx="61">
                  <c:v>-2.4479495873924839</c:v>
                </c:pt>
                <c:pt idx="62">
                  <c:v>-2.348838114186774</c:v>
                </c:pt>
                <c:pt idx="63">
                  <c:v>-2.2303052625402997</c:v>
                </c:pt>
                <c:pt idx="64">
                  <c:v>-2.0920860851454104</c:v>
                </c:pt>
                <c:pt idx="65">
                  <c:v>-1.9339124188252779</c:v>
                </c:pt>
                <c:pt idx="66">
                  <c:v>-1.7555729815383014</c:v>
                </c:pt>
                <c:pt idx="67">
                  <c:v>-1.556989656567233</c:v>
                </c:pt>
                <c:pt idx="68">
                  <c:v>-1.3383110465735564</c:v>
                </c:pt>
                <c:pt idx="69">
                  <c:v>-1.1000230958843296</c:v>
                </c:pt>
                <c:pt idx="70">
                  <c:v>-0.84307419988334353</c:v>
                </c:pt>
                <c:pt idx="71">
                  <c:v>-0.56900853871331225</c:v>
                </c:pt>
                <c:pt idx="72">
                  <c:v>-0.28009638444855872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4-4057-AD10-FC695481B736}"/>
            </c:ext>
          </c:extLst>
        </c:ser>
        <c:ser>
          <c:idx val="5"/>
          <c:order val="1"/>
          <c:tx>
            <c:v>Mark II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compare!$G$5:$G$77</c:f>
              <c:numCache>
                <c:formatCode>General</c:formatCode>
                <c:ptCount val="73"/>
                <c:pt idx="0">
                  <c:v>1.0936779180151897</c:v>
                </c:pt>
                <c:pt idx="1">
                  <c:v>1.2740673922008945</c:v>
                </c:pt>
                <c:pt idx="2">
                  <c:v>1.44886793128517</c:v>
                </c:pt>
                <c:pt idx="3">
                  <c:v>1.6176896131904825</c:v>
                </c:pt>
                <c:pt idx="4">
                  <c:v>1.7800509517906082</c:v>
                </c:pt>
                <c:pt idx="5">
                  <c:v>1.9353764109827469</c:v>
                </c:pt>
                <c:pt idx="6">
                  <c:v>2.0829968090443907</c:v>
                </c:pt>
                <c:pt idx="7">
                  <c:v>2.2221524457354991</c:v>
                </c:pt>
                <c:pt idx="8">
                  <c:v>2.35199875270823</c:v>
                </c:pt>
                <c:pt idx="9">
                  <c:v>2.4716142246426491</c:v>
                </c:pt>
                <c:pt idx="10">
                  <c:v>2.5800103428759891</c:v>
                </c:pt>
                <c:pt idx="11">
                  <c:v>2.6761431648355836</c:v>
                </c:pt>
                <c:pt idx="12">
                  <c:v>2.7589262307579934</c:v>
                </c:pt>
                <c:pt idx="13">
                  <c:v>2.8272444419462315</c:v>
                </c:pt>
                <c:pt idx="14">
                  <c:v>2.8799685976580811</c:v>
                </c:pt>
                <c:pt idx="15">
                  <c:v>2.9159703427984462</c:v>
                </c:pt>
                <c:pt idx="16">
                  <c:v>2.934137374551451</c:v>
                </c:pt>
                <c:pt idx="17">
                  <c:v>2.9333888781289432</c:v>
                </c:pt>
                <c:pt idx="18">
                  <c:v>2.9126913022443133</c:v>
                </c:pt>
                <c:pt idx="19">
                  <c:v>2.8710747338950164</c:v>
                </c:pt>
                <c:pt idx="20">
                  <c:v>2.8076502782945925</c:v>
                </c:pt>
                <c:pt idx="21">
                  <c:v>2.7216289811424001</c:v>
                </c:pt>
                <c:pt idx="22">
                  <c:v>2.6123429339809472</c:v>
                </c:pt>
                <c:pt idx="23">
                  <c:v>2.4792692652333757</c:v>
                </c:pt>
                <c:pt idx="24">
                  <c:v>2.3220577241091958</c:v>
                </c:pt>
                <c:pt idx="25">
                  <c:v>2.1405624939080448</c:v>
                </c:pt>
                <c:pt idx="26">
                  <c:v>1.9348787041301463</c:v>
                </c:pt>
                <c:pt idx="27">
                  <c:v>1.7053838227609985</c:v>
                </c:pt>
                <c:pt idx="28">
                  <c:v>1.4527836743947882</c:v>
                </c:pt>
                <c:pt idx="29">
                  <c:v>1.1781622205913513</c:v>
                </c:pt>
                <c:pt idx="30">
                  <c:v>0.88303343673893375</c:v>
                </c:pt>
                <c:pt idx="31">
                  <c:v>0.56939262149803516</c:v>
                </c:pt>
                <c:pt idx="32">
                  <c:v>0.23976330677020782</c:v>
                </c:pt>
                <c:pt idx="33">
                  <c:v>-0.10276532957701019</c:v>
                </c:pt>
                <c:pt idx="34">
                  <c:v>-0.45451687321528428</c:v>
                </c:pt>
                <c:pt idx="35">
                  <c:v>-0.81122920496915274</c:v>
                </c:pt>
                <c:pt idx="36">
                  <c:v>-1.1680868840060754</c:v>
                </c:pt>
                <c:pt idx="37">
                  <c:v>-1.5197916450850089</c:v>
                </c:pt>
                <c:pt idx="38">
                  <c:v>-1.8606765545580697</c:v>
                </c:pt>
                <c:pt idx="39">
                  <c:v>-2.1848661384536894</c:v>
                </c:pt>
                <c:pt idx="40">
                  <c:v>-2.4864800073940971</c:v>
                </c:pt>
                <c:pt idx="41">
                  <c:v>-2.7598714655933883</c:v>
                </c:pt>
                <c:pt idx="42">
                  <c:v>-2.9998860528012972</c:v>
                </c:pt>
                <c:pt idx="43">
                  <c:v>-3.202119096132368</c:v>
                </c:pt>
                <c:pt idx="44">
                  <c:v>-3.3631475491936151</c:v>
                </c:pt>
                <c:pt idx="45">
                  <c:v>-3.480710970370243</c:v>
                </c:pt>
                <c:pt idx="46">
                  <c:v>-3.5538202070090801</c:v>
                </c:pt>
                <c:pt idx="47">
                  <c:v>-3.5827800707279049</c:v>
                </c:pt>
                <c:pt idx="48">
                  <c:v>-3.5691228382712836</c:v>
                </c:pt>
                <c:pt idx="49">
                  <c:v>-3.5154607954986523</c:v>
                </c:pt>
                <c:pt idx="50">
                  <c:v>-3.4252759656970282</c:v>
                </c:pt>
                <c:pt idx="51">
                  <c:v>-3.3026716982797995</c:v>
                </c:pt>
                <c:pt idx="52">
                  <c:v>-3.1521129156340586</c:v>
                </c:pt>
                <c:pt idx="53">
                  <c:v>-2.9781796201746502</c:v>
                </c:pt>
                <c:pt idx="54">
                  <c:v>-2.7853528027060288</c:v>
                </c:pt>
                <c:pt idx="55">
                  <c:v>-2.5778447418148565</c:v>
                </c:pt>
                <c:pt idx="56">
                  <c:v>-2.3594784353103346</c:v>
                </c:pt>
                <c:pt idx="57">
                  <c:v>-2.1336147796477456</c:v>
                </c:pt>
                <c:pt idx="58">
                  <c:v>-1.9031217790336994</c:v>
                </c:pt>
                <c:pt idx="59">
                  <c:v>-1.6703776558781154</c:v>
                </c:pt>
                <c:pt idx="60">
                  <c:v>-1.4372989959270748</c:v>
                </c:pt>
                <c:pt idx="61">
                  <c:v>-1.2053855441394441</c:v>
                </c:pt>
                <c:pt idx="62">
                  <c:v>-0.97577448402307243</c:v>
                </c:pt>
                <c:pt idx="63">
                  <c:v>-0.74929856484225932</c:v>
                </c:pt>
                <c:pt idx="64">
                  <c:v>-0.52654398387839263</c:v>
                </c:pt>
                <c:pt idx="65">
                  <c:v>-0.30790529936449967</c:v>
                </c:pt>
                <c:pt idx="66">
                  <c:v>-9.3635756467460349E-2</c:v>
                </c:pt>
                <c:pt idx="67">
                  <c:v>0.11610776450651265</c:v>
                </c:pt>
                <c:pt idx="68">
                  <c:v>0.32122539822498014</c:v>
                </c:pt>
                <c:pt idx="69">
                  <c:v>0.52164040590528404</c:v>
                </c:pt>
                <c:pt idx="70">
                  <c:v>0.7172704175506498</c:v>
                </c:pt>
                <c:pt idx="71">
                  <c:v>0.9080033966463853</c:v>
                </c:pt>
                <c:pt idx="72">
                  <c:v>1.0936779180152179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4-4057-AD10-FC695481B736}"/>
            </c:ext>
          </c:extLst>
        </c:ser>
        <c:ser>
          <c:idx val="6"/>
          <c:order val="2"/>
          <c:tx>
            <c:v>Air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compare!$H$5:$H$77</c:f>
              <c:numCache>
                <c:formatCode>General</c:formatCode>
                <c:ptCount val="73"/>
                <c:pt idx="0">
                  <c:v>-8.9496573694353168E-2</c:v>
                </c:pt>
                <c:pt idx="1">
                  <c:v>0.1200697765421424</c:v>
                </c:pt>
                <c:pt idx="2">
                  <c:v>0.32664050139038614</c:v>
                </c:pt>
                <c:pt idx="3">
                  <c:v>0.52923829536822464</c:v>
                </c:pt>
                <c:pt idx="4">
                  <c:v>0.72704157349927201</c:v>
                </c:pt>
                <c:pt idx="5">
                  <c:v>0.91936522765452466</c:v>
                </c:pt>
                <c:pt idx="6">
                  <c:v>1.1056341846431126</c:v>
                </c:pt>
                <c:pt idx="7">
                  <c:v>1.2853519147947747</c:v>
                </c:pt>
                <c:pt idx="8">
                  <c:v>1.4580659498569761</c:v>
                </c:pt>
                <c:pt idx="9">
                  <c:v>1.6233322460327848</c:v>
                </c:pt>
                <c:pt idx="10">
                  <c:v>1.7806799616695601</c:v>
                </c:pt>
                <c:pt idx="11">
                  <c:v>1.9295779828373045</c:v>
                </c:pt>
                <c:pt idx="12">
                  <c:v>2.0694043736806726</c:v>
                </c:pt>
                <c:pt idx="13">
                  <c:v>2.1994198771813083</c:v>
                </c:pt>
                <c:pt idx="14">
                  <c:v>2.3187466479427914</c:v>
                </c:pt>
                <c:pt idx="15">
                  <c:v>2.4263535432519241</c:v>
                </c:pt>
                <c:pt idx="16">
                  <c:v>2.5210494943257284</c:v>
                </c:pt>
                <c:pt idx="17">
                  <c:v>2.6014866703324677</c:v>
                </c:pt>
                <c:pt idx="18">
                  <c:v>2.6661752599118143</c:v>
                </c:pt>
                <c:pt idx="19">
                  <c:v>2.7135116399812103</c:v>
                </c:pt>
                <c:pt idx="20">
                  <c:v>2.7418213829645399</c:v>
                </c:pt>
                <c:pt idx="21">
                  <c:v>2.7494178799298625</c:v>
                </c:pt>
                <c:pt idx="22">
                  <c:v>2.7346762642269251</c:v>
                </c:pt>
                <c:pt idx="23">
                  <c:v>2.6961207996447349</c:v>
                </c:pt>
                <c:pt idx="24">
                  <c:v>2.6325220278523531</c:v>
                </c:pt>
                <c:pt idx="25">
                  <c:v>2.5429979430671503</c:v>
                </c:pt>
                <c:pt idx="26">
                  <c:v>2.4271115855327419</c:v>
                </c:pt>
                <c:pt idx="27">
                  <c:v>2.2849561155316138</c:v>
                </c:pt>
                <c:pt idx="28">
                  <c:v>2.1172180598703232</c:v>
                </c:pt>
                <c:pt idx="29">
                  <c:v>1.9252103383606189</c:v>
                </c:pt>
                <c:pt idx="30">
                  <c:v>1.7108689984845997</c:v>
                </c:pt>
                <c:pt idx="31">
                  <c:v>1.4767111378021931</c:v>
                </c:pt>
                <c:pt idx="32">
                  <c:v>1.2257557897292715</c:v>
                </c:pt>
                <c:pt idx="33">
                  <c:v>0.96141387014337265</c:v>
                </c:pt>
                <c:pt idx="34">
                  <c:v>0.68735684306626854</c:v>
                </c:pt>
                <c:pt idx="35">
                  <c:v>0.40737591217022112</c:v>
                </c:pt>
                <c:pt idx="36">
                  <c:v>0.12524393734451786</c:v>
                </c:pt>
                <c:pt idx="37">
                  <c:v>-0.15540904479901385</c:v>
                </c:pt>
                <c:pt idx="38">
                  <c:v>-0.43119845884826868</c:v>
                </c:pt>
                <c:pt idx="39">
                  <c:v>-0.6990611045565569</c:v>
                </c:pt>
                <c:pt idx="40">
                  <c:v>-0.95630288632178206</c:v>
                </c:pt>
                <c:pt idx="41">
                  <c:v>-1.2006198519426141</c:v>
                </c:pt>
                <c:pt idx="42">
                  <c:v>-1.4300961913439036</c:v>
                </c:pt>
                <c:pt idx="43">
                  <c:v>-1.643184097541428</c:v>
                </c:pt>
                <c:pt idx="44">
                  <c:v>-1.8386708118844453</c:v>
                </c:pt>
                <c:pt idx="45">
                  <c:v>-2.0156379491847267</c:v>
                </c:pt>
                <c:pt idx="46">
                  <c:v>-2.1734175524434458</c:v>
                </c:pt>
                <c:pt idx="47">
                  <c:v>-2.3115484746784705</c:v>
                </c:pt>
                <c:pt idx="48">
                  <c:v>-2.4297357947044502</c:v>
                </c:pt>
                <c:pt idx="49">
                  <c:v>-2.5278151559888369</c:v>
                </c:pt>
                <c:pt idx="50">
                  <c:v>-2.6057232311477438</c:v>
                </c:pt>
                <c:pt idx="51">
                  <c:v>-2.6634749751327957</c:v>
                </c:pt>
                <c:pt idx="52">
                  <c:v>-2.7011479241291587</c:v>
                </c:pt>
                <c:pt idx="53">
                  <c:v>-2.718873493477358</c:v>
                </c:pt>
                <c:pt idx="54">
                  <c:v>-2.7168349873999436</c:v>
                </c:pt>
                <c:pt idx="55">
                  <c:v>-2.6952718160858797</c:v>
                </c:pt>
                <c:pt idx="56">
                  <c:v>-2.6544891871207148</c:v>
                </c:pt>
                <c:pt idx="57">
                  <c:v>-2.5948722742175359</c:v>
                </c:pt>
                <c:pt idx="58">
                  <c:v>-2.5169035583461872</c:v>
                </c:pt>
                <c:pt idx="59">
                  <c:v>-2.4211816970925812</c:v>
                </c:pt>
                <c:pt idx="60">
                  <c:v>-2.3084399443093497</c:v>
                </c:pt>
                <c:pt idx="61">
                  <c:v>-2.1795618753345094</c:v>
                </c:pt>
                <c:pt idx="62">
                  <c:v>-2.0355920536277443</c:v>
                </c:pt>
                <c:pt idx="63">
                  <c:v>-1.8777393879379498</c:v>
                </c:pt>
                <c:pt idx="64">
                  <c:v>-1.7073713436380569</c:v>
                </c:pt>
                <c:pt idx="65">
                  <c:v>-1.5259979132041388</c:v>
                </c:pt>
                <c:pt idx="66">
                  <c:v>-1.3352452785981144</c:v>
                </c:pt>
                <c:pt idx="67">
                  <c:v>-1.1368202962850225</c:v>
                </c:pt>
                <c:pt idx="68">
                  <c:v>-0.93246812332143791</c:v>
                </c:pt>
                <c:pt idx="69">
                  <c:v>-0.72392627109529994</c:v>
                </c:pt>
                <c:pt idx="70">
                  <c:v>-0.5128789351130294</c:v>
                </c:pt>
                <c:pt idx="71">
                  <c:v>-0.30091549207144069</c:v>
                </c:pt>
                <c:pt idx="72">
                  <c:v>-8.9496573694353168E-2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4-4057-AD10-FC695481B736}"/>
            </c:ext>
          </c:extLst>
        </c:ser>
        <c:ser>
          <c:idx val="7"/>
          <c:order val="3"/>
          <c:tx>
            <c:v>Reverse Mark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compare!$I$5:$I$77</c:f>
              <c:numCache>
                <c:formatCode>General</c:formatCode>
                <c:ptCount val="73"/>
                <c:pt idx="0">
                  <c:v>-1.0450426972916065</c:v>
                </c:pt>
                <c:pt idx="1">
                  <c:v>-0.75022856282969397</c:v>
                </c:pt>
                <c:pt idx="2">
                  <c:v>-0.44375451158340984</c:v>
                </c:pt>
                <c:pt idx="3">
                  <c:v>-0.12871041804485495</c:v>
                </c:pt>
                <c:pt idx="4">
                  <c:v>0.19117795938281215</c:v>
                </c:pt>
                <c:pt idx="5">
                  <c:v>0.51160292185649714</c:v>
                </c:pt>
                <c:pt idx="6">
                  <c:v>0.82779189977222434</c:v>
                </c:pt>
                <c:pt idx="7">
                  <c:v>1.1346892848096306</c:v>
                </c:pt>
                <c:pt idx="8">
                  <c:v>1.42719471773602</c:v>
                </c:pt>
                <c:pt idx="9">
                  <c:v>1.7004384643742072</c:v>
                </c:pt>
                <c:pt idx="10">
                  <c:v>1.9500649466766573</c:v>
                </c:pt>
                <c:pt idx="11">
                  <c:v>2.172490296432902</c:v>
                </c:pt>
                <c:pt idx="12">
                  <c:v>2.365101059887242</c:v>
                </c:pt>
                <c:pt idx="13">
                  <c:v>2.5263692749774145</c:v>
                </c:pt>
                <c:pt idx="14">
                  <c:v>2.6558723654948109</c:v>
                </c:pt>
                <c:pt idx="15">
                  <c:v>2.7542213649712388</c:v>
                </c:pt>
                <c:pt idx="16">
                  <c:v>2.8229141961282296</c:v>
                </c:pt>
                <c:pt idx="17">
                  <c:v>2.8641392486381441</c:v>
                </c:pt>
                <c:pt idx="18">
                  <c:v>2.8805571529982275</c:v>
                </c:pt>
                <c:pt idx="19">
                  <c:v>2.8750860163661827</c:v>
                </c:pt>
                <c:pt idx="20">
                  <c:v>2.8507092217151868</c:v>
                </c:pt>
                <c:pt idx="21">
                  <c:v>2.810317316965635</c:v>
                </c:pt>
                <c:pt idx="22">
                  <c:v>2.7565883404278706</c:v>
                </c:pt>
                <c:pt idx="23">
                  <c:v>2.6919052710260214</c:v>
                </c:pt>
                <c:pt idx="24">
                  <c:v>2.6183055764213896</c:v>
                </c:pt>
                <c:pt idx="25">
                  <c:v>2.537455946614505</c:v>
                </c:pt>
                <c:pt idx="26">
                  <c:v>2.4506448411622341</c:v>
                </c:pt>
                <c:pt idx="27">
                  <c:v>2.3587859599846808</c:v>
                </c:pt>
                <c:pt idx="28">
                  <c:v>2.2624267422988065</c:v>
                </c:pt>
                <c:pt idx="29">
                  <c:v>2.1617571997735476</c:v>
                </c:pt>
                <c:pt idx="30">
                  <c:v>2.056615633814546</c:v>
                </c:pt>
                <c:pt idx="31">
                  <c:v>1.9464890447593459</c:v>
                </c:pt>
                <c:pt idx="32">
                  <c:v>1.8305074140482946</c:v>
                </c:pt>
                <c:pt idx="33">
                  <c:v>1.7074327619659297</c:v>
                </c:pt>
                <c:pt idx="34">
                  <c:v>1.5756463279251924</c:v>
                </c:pt>
                <c:pt idx="35">
                  <c:v>1.433140904011257</c:v>
                </c:pt>
                <c:pt idx="36">
                  <c:v>1.2775308697196042</c:v>
                </c:pt>
                <c:pt idx="37">
                  <c:v>1.1061002523197214</c:v>
                </c:pt>
                <c:pt idx="38">
                  <c:v>0.91591879627686001</c:v>
                </c:pt>
                <c:pt idx="39">
                  <c:v>0.70406511223991597</c:v>
                </c:pt>
                <c:pt idx="40">
                  <c:v>0.46799803257400807</c:v>
                </c:pt>
                <c:pt idx="41">
                  <c:v>0.20610031953649691</c:v>
                </c:pt>
                <c:pt idx="42">
                  <c:v>-8.1632536088027188E-2</c:v>
                </c:pt>
                <c:pt idx="43">
                  <c:v>-0.39287885596191507</c:v>
                </c:pt>
                <c:pt idx="44">
                  <c:v>-0.72248468316706271</c:v>
                </c:pt>
                <c:pt idx="45">
                  <c:v>-1.0624552657730597</c:v>
                </c:pt>
                <c:pt idx="46">
                  <c:v>-1.4026447300491651</c:v>
                </c:pt>
                <c:pt idx="47">
                  <c:v>-1.7320811466971793</c:v>
                </c:pt>
                <c:pt idx="48">
                  <c:v>-2.0405524723007264</c:v>
                </c:pt>
                <c:pt idx="49">
                  <c:v>-2.3199366937377266</c:v>
                </c:pt>
                <c:pt idx="50">
                  <c:v>-2.5648991753557855</c:v>
                </c:pt>
                <c:pt idx="51">
                  <c:v>-2.7728913865055702</c:v>
                </c:pt>
                <c:pt idx="52">
                  <c:v>-2.943649979438911</c:v>
                </c:pt>
                <c:pt idx="53">
                  <c:v>-3.078486598135505</c:v>
                </c:pt>
                <c:pt idx="54">
                  <c:v>-3.1796016844747355</c:v>
                </c:pt>
                <c:pt idx="55">
                  <c:v>-3.24954411966544</c:v>
                </c:pt>
                <c:pt idx="56">
                  <c:v>-3.2908450969658682</c:v>
                </c:pt>
                <c:pt idx="57">
                  <c:v>-3.3058029144590217</c:v>
                </c:pt>
                <c:pt idx="58">
                  <c:v>-3.2963782454852351</c:v>
                </c:pt>
                <c:pt idx="59">
                  <c:v>-3.2641614991107386</c:v>
                </c:pt>
                <c:pt idx="60">
                  <c:v>-3.2103830558562749</c:v>
                </c:pt>
                <c:pt idx="61">
                  <c:v>-3.1359469338802834</c:v>
                </c:pt>
                <c:pt idx="62">
                  <c:v>-3.0414763029344396</c:v>
                </c:pt>
                <c:pt idx="63">
                  <c:v>-2.9273647955444142</c:v>
                </c:pt>
                <c:pt idx="64">
                  <c:v>-2.7938311427843217</c:v>
                </c:pt>
                <c:pt idx="65">
                  <c:v>-2.6409768181616933</c:v>
                </c:pt>
                <c:pt idx="66">
                  <c:v>-2.4688475483686578</c:v>
                </c:pt>
                <c:pt idx="67">
                  <c:v>-2.2775000326283217</c:v>
                </c:pt>
                <c:pt idx="68">
                  <c:v>-2.0670751517346386</c:v>
                </c:pt>
                <c:pt idx="69">
                  <c:v>-1.8378783864865444</c:v>
                </c:pt>
                <c:pt idx="70">
                  <c:v>-1.5904670805819225</c:v>
                </c:pt>
                <c:pt idx="71">
                  <c:v>-1.3257425340007387</c:v>
                </c:pt>
                <c:pt idx="72">
                  <c:v>-1.0450426972916496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4-4057-AD10-FC695481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82840"/>
        <c:axId val="1"/>
      </c:scatterChart>
      <c:valAx>
        <c:axId val="463382840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layout>
            <c:manualLayout>
              <c:xMode val="edge"/>
              <c:yMode val="edge"/>
              <c:x val="0.2881002087682672"/>
              <c:y val="0.85271643370160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 Velocity (ft/sec)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2945748641884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3828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21503131524014"/>
          <c:y val="0.36821827504120125"/>
          <c:w val="0.24008350730688932"/>
          <c:h val="0.329458585118720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 Rod Acceleration</a:t>
            </a:r>
          </a:p>
        </c:rich>
      </c:tx>
      <c:layout>
        <c:manualLayout>
          <c:xMode val="edge"/>
          <c:yMode val="edge"/>
          <c:x val="0.28392484342379959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9269311064718"/>
          <c:y val="0.25193893811674128"/>
          <c:w val="0.53027139874739038"/>
          <c:h val="0.55814164752016537"/>
        </c:manualLayout>
      </c:layout>
      <c:scatterChart>
        <c:scatterStyle val="lineMarker"/>
        <c:varyColors val="0"/>
        <c:ser>
          <c:idx val="8"/>
          <c:order val="0"/>
          <c:tx>
            <c:v>Conventional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compare!$J$5:$J$77</c:f>
              <c:numCache>
                <c:formatCode>General</c:formatCode>
                <c:ptCount val="73"/>
                <c:pt idx="0">
                  <c:v>2.0558382560397401</c:v>
                </c:pt>
                <c:pt idx="1">
                  <c:v>2.1393775051621677</c:v>
                </c:pt>
                <c:pt idx="2">
                  <c:v>2.1943832321062375</c:v>
                </c:pt>
                <c:pt idx="3">
                  <c:v>2.2144443500912243</c:v>
                </c:pt>
                <c:pt idx="4">
                  <c:v>2.1938448074787322</c:v>
                </c:pt>
                <c:pt idx="5">
                  <c:v>2.1283687399651172</c:v>
                </c:pt>
                <c:pt idx="6">
                  <c:v>2.016118285294715</c:v>
                </c:pt>
                <c:pt idx="7">
                  <c:v>1.8581802918987396</c:v>
                </c:pt>
                <c:pt idx="8">
                  <c:v>1.6589637054032331</c:v>
                </c:pt>
                <c:pt idx="9">
                  <c:v>1.4260698647088546</c:v>
                </c:pt>
                <c:pt idx="10">
                  <c:v>1.1696547075127521</c:v>
                </c:pt>
                <c:pt idx="11">
                  <c:v>0.90136970082699908</c:v>
                </c:pt>
                <c:pt idx="12">
                  <c:v>0.6330818446537928</c:v>
                </c:pt>
                <c:pt idx="13">
                  <c:v>0.37562789251536549</c:v>
                </c:pt>
                <c:pt idx="14">
                  <c:v>0.13783377026472629</c:v>
                </c:pt>
                <c:pt idx="15">
                  <c:v>-7.4058743233359661E-2</c:v>
                </c:pt>
                <c:pt idx="16">
                  <c:v>-0.25653064733791037</c:v>
                </c:pt>
                <c:pt idx="17">
                  <c:v>-0.40856043905481459</c:v>
                </c:pt>
                <c:pt idx="18">
                  <c:v>-0.53116126412410136</c:v>
                </c:pt>
                <c:pt idx="19">
                  <c:v>-0.62681598085861479</c:v>
                </c:pt>
                <c:pt idx="20">
                  <c:v>-0.69892114788665671</c:v>
                </c:pt>
                <c:pt idx="21">
                  <c:v>-0.75131146759390088</c:v>
                </c:pt>
                <c:pt idx="22">
                  <c:v>-0.7878972954610205</c:v>
                </c:pt>
                <c:pt idx="23">
                  <c:v>-0.81241821329447739</c:v>
                </c:pt>
                <c:pt idx="24">
                  <c:v>-0.82829773408270058</c:v>
                </c:pt>
                <c:pt idx="25">
                  <c:v>-0.83857633142854016</c:v>
                </c:pt>
                <c:pt idx="26">
                  <c:v>-0.84589897500697253</c:v>
                </c:pt>
                <c:pt idx="27">
                  <c:v>-0.85253606484964783</c:v>
                </c:pt>
                <c:pt idx="28">
                  <c:v>-0.86042073250086737</c:v>
                </c:pt>
                <c:pt idx="29">
                  <c:v>-0.87118946391156371</c:v>
                </c:pt>
                <c:pt idx="30">
                  <c:v>-0.88621619194996848</c:v>
                </c:pt>
                <c:pt idx="31">
                  <c:v>-0.90663222281927835</c:v>
                </c:pt>
                <c:pt idx="32">
                  <c:v>-0.93332576547890911</c:v>
                </c:pt>
                <c:pt idx="33">
                  <c:v>-0.96691584789313934</c:v>
                </c:pt>
                <c:pt idx="34">
                  <c:v>-1.0076966877906739</c:v>
                </c:pt>
                <c:pt idx="35">
                  <c:v>-1.055551043808481</c:v>
                </c:pt>
                <c:pt idx="36">
                  <c:v>-1.1098358029634441</c:v>
                </c:pt>
                <c:pt idx="37">
                  <c:v>-1.1692511021888548</c:v>
                </c:pt>
                <c:pt idx="38">
                  <c:v>-1.2317160019353544</c:v>
                </c:pt>
                <c:pt idx="39">
                  <c:v>-1.2942877651303664</c:v>
                </c:pt>
                <c:pt idx="40">
                  <c:v>-1.3531738136263072</c:v>
                </c:pt>
                <c:pt idx="41">
                  <c:v>-1.4038876469056698</c:v>
                </c:pt>
                <c:pt idx="42">
                  <c:v>-1.4415830044117504</c:v>
                </c:pt>
                <c:pt idx="43">
                  <c:v>-1.4615587087523501</c:v>
                </c:pt>
                <c:pt idx="44">
                  <c:v>-1.4598657676045301</c:v>
                </c:pt>
                <c:pt idx="45">
                  <c:v>-1.4338901042258809</c:v>
                </c:pt>
                <c:pt idx="46">
                  <c:v>-1.3827600053980078</c:v>
                </c:pt>
                <c:pt idx="47">
                  <c:v>-1.307459685209452</c:v>
                </c:pt>
                <c:pt idx="48">
                  <c:v>-1.2106141679130189</c:v>
                </c:pt>
                <c:pt idx="49">
                  <c:v>-1.0960105402555802</c:v>
                </c:pt>
                <c:pt idx="50">
                  <c:v>-0.96799097883915597</c:v>
                </c:pt>
                <c:pt idx="51">
                  <c:v>-0.83086663405789052</c:v>
                </c:pt>
                <c:pt idx="52">
                  <c:v>-0.68846337929700674</c:v>
                </c:pt>
                <c:pt idx="53">
                  <c:v>-0.54384832665696503</c:v>
                </c:pt>
                <c:pt idx="54">
                  <c:v>-0.39922963996103228</c:v>
                </c:pt>
                <c:pt idx="55">
                  <c:v>-0.25598831919551029</c:v>
                </c:pt>
                <c:pt idx="56">
                  <c:v>-0.1147907658618989</c:v>
                </c:pt>
                <c:pt idx="57">
                  <c:v>2.4262525577632296E-2</c:v>
                </c:pt>
                <c:pt idx="58">
                  <c:v>0.16148318398212266</c:v>
                </c:pt>
                <c:pt idx="59">
                  <c:v>0.29745319436280349</c:v>
                </c:pt>
                <c:pt idx="60">
                  <c:v>0.43290135437497312</c:v>
                </c:pt>
                <c:pt idx="61">
                  <c:v>0.56859703763539549</c:v>
                </c:pt>
                <c:pt idx="62">
                  <c:v>0.70525644290491529</c:v>
                </c:pt>
                <c:pt idx="63">
                  <c:v>0.84345489594389833</c:v>
                </c:pt>
                <c:pt idx="64">
                  <c:v>0.98353865841989352</c:v>
                </c:pt>
                <c:pt idx="65">
                  <c:v>1.1255306137830572</c:v>
                </c:pt>
                <c:pt idx="66">
                  <c:v>1.2690260078126983</c:v>
                </c:pt>
                <c:pt idx="67">
                  <c:v>1.4130772640079987</c:v>
                </c:pt>
                <c:pt idx="68">
                  <c:v>1.5560710948512577</c:v>
                </c:pt>
                <c:pt idx="69">
                  <c:v>1.6956070478478593</c:v>
                </c:pt>
                <c:pt idx="70">
                  <c:v>1.8283944183322092</c:v>
                </c:pt>
                <c:pt idx="71">
                  <c:v>1.9501937269965095</c:v>
                </c:pt>
                <c:pt idx="72">
                  <c:v>2.0558382560397424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C-430D-8E52-246D331785E3}"/>
            </c:ext>
          </c:extLst>
        </c:ser>
        <c:ser>
          <c:idx val="9"/>
          <c:order val="1"/>
          <c:tx>
            <c:v>Mark II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compare!$K$5:$K$77</c:f>
              <c:numCache>
                <c:formatCode>General</c:formatCode>
                <c:ptCount val="73"/>
                <c:pt idx="0">
                  <c:v>1.608748403075444</c:v>
                </c:pt>
                <c:pt idx="1">
                  <c:v>1.5629569226218514</c:v>
                </c:pt>
                <c:pt idx="2">
                  <c:v>1.5145324519242398</c:v>
                </c:pt>
                <c:pt idx="3">
                  <c:v>1.4627295612100761</c:v>
                </c:pt>
                <c:pt idx="4">
                  <c:v>1.4067549078278021</c:v>
                </c:pt>
                <c:pt idx="5">
                  <c:v>1.3457936101850969</c:v>
                </c:pt>
                <c:pt idx="6">
                  <c:v>1.2790342901776883</c:v>
                </c:pt>
                <c:pt idx="7">
                  <c:v>1.2056926639983232</c:v>
                </c:pt>
                <c:pt idx="8">
                  <c:v>1.1250334049479387</c:v>
                </c:pt>
                <c:pt idx="9">
                  <c:v>1.0363899044359848</c:v>
                </c:pt>
                <c:pt idx="10">
                  <c:v>0.93918153563508255</c:v>
                </c:pt>
                <c:pt idx="11">
                  <c:v>0.83292808658138984</c:v>
                </c:pt>
                <c:pt idx="12">
                  <c:v>0.71726117359870245</c:v>
                </c:pt>
                <c:pt idx="13">
                  <c:v>0.59193265904125658</c:v>
                </c:pt>
                <c:pt idx="14">
                  <c:v>0.45682035790178116</c:v>
                </c:pt>
                <c:pt idx="15">
                  <c:v>0.3119315971600099</c:v>
                </c:pt>
                <c:pt idx="16">
                  <c:v>0.15740545932640587</c:v>
                </c:pt>
                <c:pt idx="17">
                  <c:v>-6.4852324139036011E-3</c:v>
                </c:pt>
                <c:pt idx="18">
                  <c:v>-0.17933097070326198</c:v>
                </c:pt>
                <c:pt idx="19">
                  <c:v>-0.36058037139316346</c:v>
                </c:pt>
                <c:pt idx="20">
                  <c:v>-0.54953146458065649</c:v>
                </c:pt>
                <c:pt idx="21">
                  <c:v>-0.74531833125984448</c:v>
                </c:pt>
                <c:pt idx="22">
                  <c:v>-0.94689218829436006</c:v>
                </c:pt>
                <c:pt idx="23">
                  <c:v>-1.152996385884395</c:v>
                </c:pt>
                <c:pt idx="24">
                  <c:v>-1.362135277711003</c:v>
                </c:pt>
                <c:pt idx="25">
                  <c:v>-1.5725375759658107</c:v>
                </c:pt>
                <c:pt idx="26">
                  <c:v>-1.7821156392612827</c:v>
                </c:pt>
                <c:pt idx="27">
                  <c:v>-1.9884231891098605</c:v>
                </c:pt>
                <c:pt idx="28">
                  <c:v>-2.1886152300540487</c:v>
                </c:pt>
                <c:pt idx="29">
                  <c:v>-2.3794154523710715</c:v>
                </c:pt>
                <c:pt idx="30">
                  <c:v>-2.5570980672200347</c:v>
                </c:pt>
                <c:pt idx="31">
                  <c:v>-2.7174927229560635</c:v>
                </c:pt>
                <c:pt idx="32">
                  <c:v>-2.8560226237068438</c:v>
                </c:pt>
                <c:pt idx="33">
                  <c:v>-2.9677868167849684</c:v>
                </c:pt>
                <c:pt idx="34">
                  <c:v>-3.0476972819732855</c:v>
                </c:pt>
                <c:pt idx="35">
                  <c:v>-3.0906792694862957</c:v>
                </c:pt>
                <c:pt idx="36">
                  <c:v>-3.0919386087202465</c:v>
                </c:pt>
                <c:pt idx="37">
                  <c:v>-3.0472919416655455</c:v>
                </c:pt>
                <c:pt idx="38">
                  <c:v>-2.9535449974744981</c:v>
                </c:pt>
                <c:pt idx="39">
                  <c:v>-2.8088909105080693</c:v>
                </c:pt>
                <c:pt idx="40">
                  <c:v>-2.6132870919833717</c:v>
                </c:pt>
                <c:pt idx="41">
                  <c:v>-2.3687583441724249</c:v>
                </c:pt>
                <c:pt idx="42">
                  <c:v>-2.0795695663519767</c:v>
                </c:pt>
                <c:pt idx="43">
                  <c:v>-1.7522171761074419</c:v>
                </c:pt>
                <c:pt idx="44">
                  <c:v>-1.3952063255756681</c:v>
                </c:pt>
                <c:pt idx="45">
                  <c:v>-1.0186102254833234</c:v>
                </c:pt>
                <c:pt idx="46">
                  <c:v>-0.6334437639894438</c:v>
                </c:pt>
                <c:pt idx="47">
                  <c:v>-0.25091829599173826</c:v>
                </c:pt>
                <c:pt idx="48">
                  <c:v>0.11833099524397683</c:v>
                </c:pt>
                <c:pt idx="49">
                  <c:v>0.4649465364435354</c:v>
                </c:pt>
                <c:pt idx="50">
                  <c:v>0.78139262110611551</c:v>
                </c:pt>
                <c:pt idx="51">
                  <c:v>1.0622858643374433</c:v>
                </c:pt>
                <c:pt idx="52">
                  <c:v>1.304493472581602</c:v>
                </c:pt>
                <c:pt idx="53">
                  <c:v>1.5070183525944179</c:v>
                </c:pt>
                <c:pt idx="54">
                  <c:v>1.6707183752831469</c:v>
                </c:pt>
                <c:pt idx="55">
                  <c:v>1.7979217564313743</c:v>
                </c:pt>
                <c:pt idx="56">
                  <c:v>1.8920013596095613</c:v>
                </c:pt>
                <c:pt idx="57">
                  <c:v>1.9569609911003152</c:v>
                </c:pt>
                <c:pt idx="58">
                  <c:v>1.9970712401697031</c:v>
                </c:pt>
                <c:pt idx="59">
                  <c:v>2.0165757460498215</c:v>
                </c:pt>
                <c:pt idx="60">
                  <c:v>2.0194742887873671</c:v>
                </c:pt>
                <c:pt idx="61">
                  <c:v>2.0093785214288893</c:v>
                </c:pt>
                <c:pt idx="62">
                  <c:v>1.9894298020403256</c:v>
                </c:pt>
                <c:pt idx="63">
                  <c:v>1.9622658544167415</c:v>
                </c:pt>
                <c:pt idx="64">
                  <c:v>1.9300228903865562</c:v>
                </c:pt>
                <c:pt idx="65">
                  <c:v>1.8943613370818517</c:v>
                </c:pt>
                <c:pt idx="66">
                  <c:v>1.856505579883144</c:v>
                </c:pt>
                <c:pt idx="67">
                  <c:v>1.8172905573407958</c:v>
                </c:pt>
                <c:pt idx="68">
                  <c:v>1.7772102669474799</c:v>
                </c:pt>
                <c:pt idx="69">
                  <c:v>1.7364650851455588</c:v>
                </c:pt>
                <c:pt idx="70">
                  <c:v>1.6950062211442944</c:v>
                </c:pt>
                <c:pt idx="71">
                  <c:v>1.6525766339508103</c:v>
                </c:pt>
                <c:pt idx="72">
                  <c:v>1.6087484030756882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C-430D-8E52-246D331785E3}"/>
            </c:ext>
          </c:extLst>
        </c:ser>
        <c:ser>
          <c:idx val="10"/>
          <c:order val="2"/>
          <c:tx>
            <c:v>Air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compare!$L$5:$L$77</c:f>
              <c:numCache>
                <c:formatCode>General</c:formatCode>
                <c:ptCount val="73"/>
                <c:pt idx="0">
                  <c:v>1.83180678109033</c:v>
                </c:pt>
                <c:pt idx="1">
                  <c:v>1.8157554886685443</c:v>
                </c:pt>
                <c:pt idx="2">
                  <c:v>1.7898003520992676</c:v>
                </c:pt>
                <c:pt idx="3">
                  <c:v>1.7553775021240776</c:v>
                </c:pt>
                <c:pt idx="4">
                  <c:v>1.7138361551736012</c:v>
                </c:pt>
                <c:pt idx="5">
                  <c:v>1.6663587939528668</c:v>
                </c:pt>
                <c:pt idx="6">
                  <c:v>1.6138987993010976</c:v>
                </c:pt>
                <c:pt idx="7">
                  <c:v>1.5571366995019809</c:v>
                </c:pt>
                <c:pt idx="8">
                  <c:v>1.4964542579492308</c:v>
                </c:pt>
                <c:pt idx="9">
                  <c:v>1.4319244670458882</c:v>
                </c:pt>
                <c:pt idx="10">
                  <c:v>1.3633151408826565</c:v>
                </c:pt>
                <c:pt idx="11">
                  <c:v>1.29010405955972</c:v>
                </c:pt>
                <c:pt idx="12">
                  <c:v>1.211504310439359</c:v>
                </c:pt>
                <c:pt idx="13">
                  <c:v>1.1264993823047991</c:v>
                </c:pt>
                <c:pt idx="14">
                  <c:v>1.0338884974173863</c:v>
                </c:pt>
                <c:pt idx="15">
                  <c:v>0.93234343469571346</c:v>
                </c:pt>
                <c:pt idx="16">
                  <c:v>0.82047853924501069</c:v>
                </c:pt>
                <c:pt idx="17">
                  <c:v>0.69693557034520282</c:v>
                </c:pt>
                <c:pt idx="18">
                  <c:v>0.56048435948983788</c:v>
                </c:pt>
                <c:pt idx="19">
                  <c:v>0.41013880247334583</c:v>
                </c:pt>
                <c:pt idx="20">
                  <c:v>0.24528542462455319</c:v>
                </c:pt>
                <c:pt idx="21">
                  <c:v>6.5818682454853256E-2</c:v>
                </c:pt>
                <c:pt idx="22">
                  <c:v>-0.12772646750895014</c:v>
                </c:pt>
                <c:pt idx="23">
                  <c:v>-0.33405790745639385</c:v>
                </c:pt>
                <c:pt idx="24">
                  <c:v>-0.55104180048121532</c:v>
                </c:pt>
                <c:pt idx="25">
                  <c:v>-0.77566769728688845</c:v>
                </c:pt>
                <c:pt idx="26">
                  <c:v>-1.004079564860709</c:v>
                </c:pt>
                <c:pt idx="27">
                  <c:v>-1.2316842594601516</c:v>
                </c:pt>
                <c:pt idx="28">
                  <c:v>-1.453340647875337</c:v>
                </c:pt>
                <c:pt idx="29">
                  <c:v>-1.6636214440178383</c:v>
                </c:pt>
                <c:pt idx="30">
                  <c:v>-1.8571276537919821</c:v>
                </c:pt>
                <c:pt idx="31">
                  <c:v>-2.0288248579466885</c:v>
                </c:pt>
                <c:pt idx="32">
                  <c:v>-2.1743641102682036</c:v>
                </c:pt>
                <c:pt idx="33">
                  <c:v>-2.2903500052924386</c:v>
                </c:pt>
                <c:pt idx="34">
                  <c:v>-2.3745250635985737</c:v>
                </c:pt>
                <c:pt idx="35">
                  <c:v>-2.4258518193561289</c:v>
                </c:pt>
                <c:pt idx="36">
                  <c:v>-2.4444892094582715</c:v>
                </c:pt>
                <c:pt idx="37">
                  <c:v>-2.4316747042797298</c:v>
                </c:pt>
                <c:pt idx="38">
                  <c:v>-2.3895350647253326</c:v>
                </c:pt>
                <c:pt idx="39">
                  <c:v>-2.3208547966084736</c:v>
                </c:pt>
                <c:pt idx="40">
                  <c:v>-2.2288319504919305</c:v>
                </c:pt>
                <c:pt idx="41">
                  <c:v>-2.116846864013449</c:v>
                </c:pt>
                <c:pt idx="42">
                  <c:v>-1.9882625350741754</c:v>
                </c:pt>
                <c:pt idx="43">
                  <c:v>-1.846267469994151</c:v>
                </c:pt>
                <c:pt idx="44">
                  <c:v>-1.6937646436536473</c:v>
                </c:pt>
                <c:pt idx="45">
                  <c:v>-1.5333046097540286</c:v>
                </c:pt>
                <c:pt idx="46">
                  <c:v>-1.3670571649201388</c:v>
                </c:pt>
                <c:pt idx="47">
                  <c:v>-1.1968141828115659</c:v>
                </c:pt>
                <c:pt idx="48">
                  <c:v>-1.0240159013411423</c:v>
                </c:pt>
                <c:pt idx="49">
                  <c:v>-0.84979357791104237</c:v>
                </c:pt>
                <c:pt idx="50">
                  <c:v>-0.67502256407933303</c:v>
                </c:pt>
                <c:pt idx="51">
                  <c:v>-0.50038112513149491</c:v>
                </c:pt>
                <c:pt idx="52">
                  <c:v>-0.32641148656395136</c:v>
                </c:pt>
                <c:pt idx="53">
                  <c:v>-0.15358047605184033</c:v>
                </c:pt>
                <c:pt idx="54">
                  <c:v>1.76623231476443E-2</c:v>
                </c:pt>
                <c:pt idx="55">
                  <c:v>0.18683078949662879</c:v>
                </c:pt>
                <c:pt idx="56">
                  <c:v>0.35335483154745084</c:v>
                </c:pt>
                <c:pt idx="57">
                  <c:v>0.51654159505694452</c:v>
                </c:pt>
                <c:pt idx="58">
                  <c:v>0.67554797622841412</c:v>
                </c:pt>
                <c:pt idx="59">
                  <c:v>0.82936738059646553</c:v>
                </c:pt>
                <c:pt idx="60">
                  <c:v>0.97683361945869596</c:v>
                </c:pt>
                <c:pt idx="61">
                  <c:v>1.1166442553682312</c:v>
                </c:pt>
                <c:pt idx="62">
                  <c:v>1.2474044314446704</c:v>
                </c:pt>
                <c:pt idx="63">
                  <c:v>1.3676902031445053</c:v>
                </c:pt>
                <c:pt idx="64">
                  <c:v>1.4761277809255093</c:v>
                </c:pt>
                <c:pt idx="65">
                  <c:v>1.5714822605698888</c:v>
                </c:pt>
                <c:pt idx="66">
                  <c:v>1.6527469361040397</c:v>
                </c:pt>
                <c:pt idx="67">
                  <c:v>1.7192228156732552</c:v>
                </c:pt>
                <c:pt idx="68">
                  <c:v>1.7705780496784835</c:v>
                </c:pt>
                <c:pt idx="69">
                  <c:v>1.806878882842573</c:v>
                </c:pt>
                <c:pt idx="70">
                  <c:v>1.8285872624408896</c:v>
                </c:pt>
                <c:pt idx="71">
                  <c:v>1.8365247315015845</c:v>
                </c:pt>
                <c:pt idx="72">
                  <c:v>1.83180678109033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C-430D-8E52-246D331785E3}"/>
            </c:ext>
          </c:extLst>
        </c:ser>
        <c:ser>
          <c:idx val="11"/>
          <c:order val="3"/>
          <c:tx>
            <c:v>Reverse Mark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compare!$M$5:$M$77</c:f>
              <c:numCache>
                <c:formatCode>General</c:formatCode>
                <c:ptCount val="73"/>
                <c:pt idx="0">
                  <c:v>2.4320806684746605</c:v>
                </c:pt>
                <c:pt idx="1">
                  <c:v>2.5543718358514438</c:v>
                </c:pt>
                <c:pt idx="2">
                  <c:v>2.6553973958936412</c:v>
                </c:pt>
                <c:pt idx="3">
                  <c:v>2.7296512124665382</c:v>
                </c:pt>
                <c:pt idx="4">
                  <c:v>2.7716237669839869</c:v>
                </c:pt>
                <c:pt idx="5">
                  <c:v>2.7762729257890384</c:v>
                </c:pt>
                <c:pt idx="6">
                  <c:v>2.7395708874973601</c:v>
                </c:pt>
                <c:pt idx="7">
                  <c:v>2.6590653065763505</c:v>
                </c:pt>
                <c:pt idx="8">
                  <c:v>2.5343684456120621</c:v>
                </c:pt>
                <c:pt idx="9">
                  <c:v>2.3674785200140542</c:v>
                </c:pt>
                <c:pt idx="10">
                  <c:v>2.1628503566826947</c:v>
                </c:pt>
                <c:pt idx="11">
                  <c:v>1.9271703171007881</c:v>
                </c:pt>
                <c:pt idx="12">
                  <c:v>1.6688464084247379</c:v>
                </c:pt>
                <c:pt idx="13">
                  <c:v>1.3972837068895303</c:v>
                </c:pt>
                <c:pt idx="14">
                  <c:v>1.1220596586290674</c:v>
                </c:pt>
                <c:pt idx="15">
                  <c:v>0.85212981665643783</c:v>
                </c:pt>
                <c:pt idx="16">
                  <c:v>0.59517849628401931</c:v>
                </c:pt>
                <c:pt idx="17">
                  <c:v>0.35718814247159791</c:v>
                </c:pt>
                <c:pt idx="18">
                  <c:v>0.14225041339229819</c:v>
                </c:pt>
                <c:pt idx="19">
                  <c:v>-4.7403823932993402E-2</c:v>
                </c:pt>
                <c:pt idx="20">
                  <c:v>-0.21120899721611666</c:v>
                </c:pt>
                <c:pt idx="21">
                  <c:v>-0.34996946152857783</c:v>
                </c:pt>
                <c:pt idx="22">
                  <c:v>-0.46552647378214229</c:v>
                </c:pt>
                <c:pt idx="23">
                  <c:v>-0.5604365307588518</c:v>
                </c:pt>
                <c:pt idx="24">
                  <c:v>-0.63769326178500108</c:v>
                </c:pt>
                <c:pt idx="25">
                  <c:v>-0.70050921301536873</c:v>
                </c:pt>
                <c:pt idx="26">
                  <c:v>-0.7521615040986388</c:v>
                </c:pt>
                <c:pt idx="27">
                  <c:v>-0.79589718240961871</c:v>
                </c:pt>
                <c:pt idx="28">
                  <c:v>-0.83488965761671952</c:v>
                </c:pt>
                <c:pt idx="29">
                  <c:v>-0.8722358058710773</c:v>
                </c:pt>
                <c:pt idx="30">
                  <c:v>-0.91098296678746116</c:v>
                </c:pt>
                <c:pt idx="31">
                  <c:v>-0.9541749345716366</c:v>
                </c:pt>
                <c:pt idx="32">
                  <c:v>-1.0049050446823355</c:v>
                </c:pt>
                <c:pt idx="33">
                  <c:v>-1.0663614400992134</c:v>
                </c:pt>
                <c:pt idx="34">
                  <c:v>-1.1418433382624784</c:v>
                </c:pt>
                <c:pt idx="35">
                  <c:v>-1.2347163814455939</c:v>
                </c:pt>
                <c:pt idx="36">
                  <c:v>-1.3482592674735794</c:v>
                </c:pt>
                <c:pt idx="37">
                  <c:v>-1.4853342825238849</c:v>
                </c:pt>
                <c:pt idx="38">
                  <c:v>-1.6477980470772342</c:v>
                </c:pt>
                <c:pt idx="39">
                  <c:v>-1.8355737414457411</c:v>
                </c:pt>
                <c:pt idx="40">
                  <c:v>-2.0453669929051421</c:v>
                </c:pt>
                <c:pt idx="41">
                  <c:v>-2.2691725526591031</c:v>
                </c:pt>
                <c:pt idx="42">
                  <c:v>-2.4930171818181495</c:v>
                </c:pt>
                <c:pt idx="43">
                  <c:v>-2.6967459852267739</c:v>
                </c:pt>
                <c:pt idx="44">
                  <c:v>-2.8558191196701856</c:v>
                </c:pt>
                <c:pt idx="45">
                  <c:v>-2.9456229526164623</c:v>
                </c:pt>
                <c:pt idx="46">
                  <c:v>-2.9475194192649479</c:v>
                </c:pt>
                <c:pt idx="47">
                  <c:v>-2.85435128788991</c:v>
                </c:pt>
                <c:pt idx="48">
                  <c:v>-2.6727024731280578</c:v>
                </c:pt>
                <c:pt idx="49">
                  <c:v>-2.4206817217990406</c:v>
                </c:pt>
                <c:pt idx="50">
                  <c:v>-2.1224398383323955</c:v>
                </c:pt>
                <c:pt idx="51">
                  <c:v>-1.8021166020658173</c:v>
                </c:pt>
                <c:pt idx="52">
                  <c:v>-1.4795116296396504</c:v>
                </c:pt>
                <c:pt idx="53">
                  <c:v>-1.168271195235099</c:v>
                </c:pt>
                <c:pt idx="54">
                  <c:v>-0.87609615188916856</c:v>
                </c:pt>
                <c:pt idx="55">
                  <c:v>-0.60600549871221243</c:v>
                </c:pt>
                <c:pt idx="56">
                  <c:v>-0.35784598117015715</c:v>
                </c:pt>
                <c:pt idx="57">
                  <c:v>-0.1295997147492719</c:v>
                </c:pt>
                <c:pt idx="58">
                  <c:v>8.1658598332821158E-2</c:v>
                </c:pt>
                <c:pt idx="59">
                  <c:v>0.27913705607088007</c:v>
                </c:pt>
                <c:pt idx="60">
                  <c:v>0.4659550705594957</c:v>
                </c:pt>
                <c:pt idx="61">
                  <c:v>0.64494035841432662</c:v>
                </c:pt>
                <c:pt idx="62">
                  <c:v>0.81852628756629364</c:v>
                </c:pt>
                <c:pt idx="63">
                  <c:v>0.98870164809310368</c:v>
                </c:pt>
                <c:pt idx="64">
                  <c:v>1.1569818467873134</c:v>
                </c:pt>
                <c:pt idx="65">
                  <c:v>1.324382843844206</c:v>
                </c:pt>
                <c:pt idx="66">
                  <c:v>1.4913876489928186</c:v>
                </c:pt>
                <c:pt idx="67">
                  <c:v>1.6579011924219691</c:v>
                </c:pt>
                <c:pt idx="68">
                  <c:v>1.823194095826703</c:v>
                </c:pt>
                <c:pt idx="69">
                  <c:v>1.9858402077177966</c:v>
                </c:pt>
                <c:pt idx="70">
                  <c:v>2.1436573006496698</c:v>
                </c:pt>
                <c:pt idx="71">
                  <c:v>2.2936652181881039</c:v>
                </c:pt>
                <c:pt idx="72">
                  <c:v>2.4320806684742871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6C-430D-8E52-246D3317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64848"/>
        <c:axId val="1"/>
      </c:scatterChart>
      <c:valAx>
        <c:axId val="463064848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layout>
            <c:manualLayout>
              <c:xMode val="edge"/>
              <c:yMode val="edge"/>
              <c:x val="0.3068893528183716"/>
              <c:y val="0.85271643370160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 Acceleration (ft/sec^2)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32558261612647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064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21503131524014"/>
          <c:y val="0.36821827504120125"/>
          <c:w val="0.24008350730688932"/>
          <c:h val="0.329458585118720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 Rod Position</a:t>
            </a:r>
          </a:p>
        </c:rich>
      </c:tx>
      <c:layout>
        <c:manualLayout>
          <c:xMode val="edge"/>
          <c:yMode val="edge"/>
          <c:x val="0.31732776617954073"/>
          <c:y val="3.2520325203252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1315240083507"/>
          <c:y val="0.18699236479601963"/>
          <c:w val="0.55741127348643005"/>
          <c:h val="0.62601791692580488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compare!$B$5:$B$77</c:f>
              <c:numCache>
                <c:formatCode>General</c:formatCode>
                <c:ptCount val="73"/>
                <c:pt idx="0">
                  <c:v>4.816491542249679E-2</c:v>
                </c:pt>
                <c:pt idx="1">
                  <c:v>8.2828915365839917E-2</c:v>
                </c:pt>
                <c:pt idx="2">
                  <c:v>0.63753040344368905</c:v>
                </c:pt>
                <c:pt idx="3">
                  <c:v>1.7170235781266865</c:v>
                </c:pt>
                <c:pt idx="4">
                  <c:v>3.3164266419966859</c:v>
                </c:pt>
                <c:pt idx="5">
                  <c:v>5.4202227021133309</c:v>
                </c:pt>
                <c:pt idx="6">
                  <c:v>8.0018100037627367</c:v>
                </c:pt>
                <c:pt idx="7">
                  <c:v>11.02375949801446</c:v>
                </c:pt>
                <c:pt idx="8">
                  <c:v>14.438859698870946</c:v>
                </c:pt>
                <c:pt idx="9">
                  <c:v>18.191918092032651</c:v>
                </c:pt>
                <c:pt idx="10">
                  <c:v>22.222167947095841</c:v>
                </c:pt>
                <c:pt idx="11">
                  <c:v>26.466029548840446</c:v>
                </c:pt>
                <c:pt idx="12">
                  <c:v>30.859922506758565</c:v>
                </c:pt>
                <c:pt idx="13">
                  <c:v>35.34283391088011</c:v>
                </c:pt>
                <c:pt idx="14">
                  <c:v>39.858409950157373</c:v>
                </c:pt>
                <c:pt idx="15">
                  <c:v>44.356435124917454</c:v>
                </c:pt>
                <c:pt idx="16">
                  <c:v>48.7936661997595</c:v>
                </c:pt>
                <c:pt idx="17">
                  <c:v>53.134074285176283</c:v>
                </c:pt>
                <c:pt idx="18">
                  <c:v>57.348604736482493</c:v>
                </c:pt>
                <c:pt idx="19">
                  <c:v>61.414588751852165</c:v>
                </c:pt>
                <c:pt idx="20">
                  <c:v>65.314938436429856</c:v>
                </c:pt>
                <c:pt idx="21">
                  <c:v>69.037238032628423</c:v>
                </c:pt>
                <c:pt idx="22">
                  <c:v>72.572817221723696</c:v>
                </c:pt>
                <c:pt idx="23">
                  <c:v>75.915864896371119</c:v>
                </c:pt>
                <c:pt idx="24">
                  <c:v>79.062617836918506</c:v>
                </c:pt>
                <c:pt idx="25">
                  <c:v>82.010640162583016</c:v>
                </c:pt>
                <c:pt idx="26">
                  <c:v>84.758196511410858</c:v>
                </c:pt>
                <c:pt idx="27">
                  <c:v>87.303713987893261</c:v>
                </c:pt>
                <c:pt idx="28">
                  <c:v>89.645324038397419</c:v>
                </c:pt>
                <c:pt idx="29">
                  <c:v>91.780474627366701</c:v>
                </c:pt>
                <c:pt idx="30">
                  <c:v>93.705604634851937</c:v>
                </c:pt>
                <c:pt idx="31">
                  <c:v>95.415875753097396</c:v>
                </c:pt>
                <c:pt idx="32">
                  <c:v>96.90496199370186</c:v>
                </c:pt>
                <c:pt idx="33">
                  <c:v>98.164902986831407</c:v>
                </c:pt>
                <c:pt idx="34">
                  <c:v>99.186034255819408</c:v>
                </c:pt>
                <c:pt idx="35">
                  <c:v>99.957015001695254</c:v>
                </c:pt>
                <c:pt idx="36">
                  <c:v>100.46498051177709</c:v>
                </c:pt>
                <c:pt idx="37">
                  <c:v>100.69585020865533</c:v>
                </c:pt>
                <c:pt idx="38">
                  <c:v>100.6348208031481</c:v>
                </c:pt>
                <c:pt idx="39">
                  <c:v>100.26706368096234</c:v>
                </c:pt>
                <c:pt idx="40">
                  <c:v>99.57862368955314</c:v>
                </c:pt>
                <c:pt idx="41">
                  <c:v>98.557482374674962</c:v>
                </c:pt>
                <c:pt idx="42">
                  <c:v>97.194706474924331</c:v>
                </c:pt>
                <c:pt idx="43">
                  <c:v>95.485562033644541</c:v>
                </c:pt>
                <c:pt idx="44">
                  <c:v>93.430450253710816</c:v>
                </c:pt>
                <c:pt idx="45">
                  <c:v>91.035526996386778</c:v>
                </c:pt>
                <c:pt idx="46">
                  <c:v>88.312909364908307</c:v>
                </c:pt>
                <c:pt idx="47">
                  <c:v>85.280442459800071</c:v>
                </c:pt>
                <c:pt idx="48">
                  <c:v>81.961077285615445</c:v>
                </c:pt>
                <c:pt idx="49">
                  <c:v>78.381973265460701</c:v>
                </c:pt>
                <c:pt idx="50">
                  <c:v>74.573469207150723</c:v>
                </c:pt>
                <c:pt idx="51">
                  <c:v>70.568061622132916</c:v>
                </c:pt>
                <c:pt idx="52">
                  <c:v>66.399498048132017</c:v>
                </c:pt>
                <c:pt idx="53">
                  <c:v>62.102050187383547</c:v>
                </c:pt>
                <c:pt idx="54">
                  <c:v>57.709990603342376</c:v>
                </c:pt>
                <c:pt idx="55">
                  <c:v>53.25726544340796</c:v>
                </c:pt>
                <c:pt idx="56">
                  <c:v>48.777336511285327</c:v>
                </c:pt>
                <c:pt idx="57">
                  <c:v>44.303157451232707</c:v>
                </c:pt>
                <c:pt idx="58">
                  <c:v>39.86724759965076</c:v>
                </c:pt>
                <c:pt idx="59">
                  <c:v>35.501829907218948</c:v>
                </c:pt>
                <c:pt idx="60">
                  <c:v>31.23900365353191</c:v>
                </c:pt>
                <c:pt idx="61">
                  <c:v>27.110926777659255</c:v>
                </c:pt>
                <c:pt idx="62">
                  <c:v>23.149985607023886</c:v>
                </c:pt>
                <c:pt idx="63">
                  <c:v>19.388931201391003</c:v>
                </c:pt>
                <c:pt idx="64">
                  <c:v>15.860961411938371</c:v>
                </c:pt>
                <c:pt idx="65">
                  <c:v>12.599726304307211</c:v>
                </c:pt>
                <c:pt idx="66">
                  <c:v>9.6392322376321662</c:v>
                </c:pt>
                <c:pt idx="67">
                  <c:v>7.0136173024429027</c:v>
                </c:pt>
                <c:pt idx="68">
                  <c:v>4.7567689945616944</c:v>
                </c:pt>
                <c:pt idx="69">
                  <c:v>2.9017553421429261</c:v>
                </c:pt>
                <c:pt idx="70">
                  <c:v>1.4800450556617397</c:v>
                </c:pt>
                <c:pt idx="71">
                  <c:v>0.52050283186188762</c:v>
                </c:pt>
                <c:pt idx="72">
                  <c:v>4.816491542249679E-2</c:v>
                </c:pt>
              </c:numCache>
            </c:numRef>
          </c:xVal>
          <c:y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D-4C7F-878F-9E5B72FA3ACE}"/>
            </c:ext>
          </c:extLst>
        </c:ser>
        <c:ser>
          <c:idx val="1"/>
          <c:order val="1"/>
          <c:tx>
            <c:v>Mark II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compare!$C$5:$C$77</c:f>
              <c:numCache>
                <c:formatCode>General</c:formatCode>
                <c:ptCount val="73"/>
                <c:pt idx="0">
                  <c:v>5.0945545970377992</c:v>
                </c:pt>
                <c:pt idx="1">
                  <c:v>6.8591908743243568</c:v>
                </c:pt>
                <c:pt idx="2">
                  <c:v>8.8659331614229302</c:v>
                </c:pt>
                <c:pt idx="3">
                  <c:v>11.106500492711687</c:v>
                </c:pt>
                <c:pt idx="4">
                  <c:v>13.571945024277627</c:v>
                </c:pt>
                <c:pt idx="5">
                  <c:v>16.252521770791127</c:v>
                </c:pt>
                <c:pt idx="6">
                  <c:v>19.137558902431557</c:v>
                </c:pt>
                <c:pt idx="7">
                  <c:v>22.21533237297934</c:v>
                </c:pt>
                <c:pt idx="8">
                  <c:v>25.472948373960268</c:v>
                </c:pt>
                <c:pt idx="9">
                  <c:v>28.896236773742331</c:v>
                </c:pt>
                <c:pt idx="10">
                  <c:v>32.469658301271402</c:v>
                </c:pt>
                <c:pt idx="11">
                  <c:v>36.176227781653097</c:v>
                </c:pt>
                <c:pt idx="12">
                  <c:v>39.997455248076911</c:v>
                </c:pt>
                <c:pt idx="13">
                  <c:v>43.91330627570327</c:v>
                </c:pt>
                <c:pt idx="14">
                  <c:v>47.902182449744934</c:v>
                </c:pt>
                <c:pt idx="15">
                  <c:v>51.940922536723392</c:v>
                </c:pt>
                <c:pt idx="16">
                  <c:v>56.004824717542576</c:v>
                </c:pt>
                <c:pt idx="17">
                  <c:v>60.067690199715628</c:v>
                </c:pt>
                <c:pt idx="18">
                  <c:v>64.101888679278389</c:v>
                </c:pt>
                <c:pt idx="19">
                  <c:v>68.078446482457082</c:v>
                </c:pt>
                <c:pt idx="20">
                  <c:v>71.967158779263997</c:v>
                </c:pt>
                <c:pt idx="21">
                  <c:v>75.736728005223</c:v>
                </c:pt>
                <c:pt idx="22">
                  <c:v>79.354931514891902</c:v>
                </c:pt>
                <c:pt idx="23">
                  <c:v>82.7888224639686</c:v>
                </c:pt>
                <c:pt idx="24">
                  <c:v>86.004968896252805</c:v>
                </c:pt>
                <c:pt idx="25">
                  <c:v>88.969736893355361</c:v>
                </c:pt>
                <c:pt idx="26">
                  <c:v>91.649624295197668</c:v>
                </c:pt>
                <c:pt idx="27">
                  <c:v>94.011651750545312</c:v>
                </c:pt>
                <c:pt idx="28">
                  <c:v>96.023817504554714</c:v>
                </c:pt>
                <c:pt idx="29">
                  <c:v>97.655621134182624</c:v>
                </c:pt>
                <c:pt idx="30">
                  <c:v>98.878659135206078</c:v>
                </c:pt>
                <c:pt idx="31">
                  <c:v>99.667291574954049</c:v>
                </c:pt>
                <c:pt idx="32">
                  <c:v>99.999373717295057</c:v>
                </c:pt>
                <c:pt idx="33">
                  <c:v>99.857039465803354</c:v>
                </c:pt>
                <c:pt idx="34">
                  <c:v>99.22751471065753</c:v>
                </c:pt>
                <c:pt idx="35">
                  <c:v>98.10392855419056</c:v>
                </c:pt>
                <c:pt idx="36">
                  <c:v>96.486079684376051</c:v>
                </c:pt>
                <c:pt idx="37">
                  <c:v>94.381105106695983</c:v>
                </c:pt>
                <c:pt idx="38">
                  <c:v>91.803990765202812</c:v>
                </c:pt>
                <c:pt idx="39">
                  <c:v>88.777860379532882</c:v>
                </c:pt>
                <c:pt idx="40">
                  <c:v>85.33398225294826</c:v>
                </c:pt>
                <c:pt idx="41">
                  <c:v>81.511445597001739</c:v>
                </c:pt>
                <c:pt idx="42">
                  <c:v>77.356478764866978</c:v>
                </c:pt>
                <c:pt idx="43">
                  <c:v>72.921410764683642</c:v>
                </c:pt>
                <c:pt idx="44">
                  <c:v>68.263311666077527</c:v>
                </c:pt>
                <c:pt idx="45">
                  <c:v>63.442382344235085</c:v>
                </c:pt>
                <c:pt idx="46">
                  <c:v>58.520193691867938</c:v>
                </c:pt>
                <c:pt idx="47">
                  <c:v>53.557894424931781</c:v>
                </c:pt>
                <c:pt idx="48">
                  <c:v>48.614510992423078</c:v>
                </c:pt>
                <c:pt idx="49">
                  <c:v>43.745451718879238</c:v>
                </c:pt>
                <c:pt idx="50">
                  <c:v>39.001302181902744</c:v>
                </c:pt>
                <c:pt idx="51">
                  <c:v>34.426964649659254</c:v>
                </c:pt>
                <c:pt idx="52">
                  <c:v>30.061157287285212</c:v>
                </c:pt>
                <c:pt idx="53">
                  <c:v>25.936254766267691</c:v>
                </c:pt>
                <c:pt idx="54">
                  <c:v>22.078425399638842</c:v>
                </c:pt>
                <c:pt idx="55">
                  <c:v>18.508003319562864</c:v>
                </c:pt>
                <c:pt idx="56">
                  <c:v>15.240027647387885</c:v>
                </c:pt>
                <c:pt idx="57">
                  <c:v>12.284882523222032</c:v>
                </c:pt>
                <c:pt idx="58">
                  <c:v>9.6489797821781274</c:v>
                </c:pt>
                <c:pt idx="59">
                  <c:v>7.3354373225131475</c:v>
                </c:pt>
                <c:pt idx="60">
                  <c:v>5.3447184915892212</c:v>
                </c:pt>
                <c:pt idx="61">
                  <c:v>3.675209427684174</c:v>
                </c:pt>
                <c:pt idx="62">
                  <c:v>2.3237212226660682</c:v>
                </c:pt>
                <c:pt idx="63">
                  <c:v>1.2859115760701412</c:v>
                </c:pt>
                <c:pt idx="64">
                  <c:v>0.55662627983968038</c:v>
                </c:pt>
                <c:pt idx="65">
                  <c:v>0.13016464637084427</c:v>
                </c:pt>
                <c:pt idx="66">
                  <c:v>4.7523298100998231E-4</c:v>
                </c:pt>
                <c:pt idx="67">
                  <c:v>0.16128931124487794</c:v>
                </c:pt>
                <c:pt idx="68">
                  <c:v>0.60619983510219122</c:v>
                </c:pt>
                <c:pt idx="69">
                  <c:v>1.3286934720901193</c:v>
                </c:pt>
                <c:pt idx="70">
                  <c:v>2.322142803877723</c:v>
                </c:pt>
                <c:pt idx="71">
                  <c:v>3.5797652369059576</c:v>
                </c:pt>
                <c:pt idx="72">
                  <c:v>5.0945545970378383</c:v>
                </c:pt>
              </c:numCache>
            </c:numRef>
          </c:xVal>
          <c:yVal>
            <c:numRef>
              <c:f>compare!$A$5:$A$77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D-4C7F-878F-9E5B72FA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70096"/>
        <c:axId val="1"/>
      </c:scatterChart>
      <c:valAx>
        <c:axId val="4630700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Polished Rod Position (%)</a:t>
                </a:r>
              </a:p>
            </c:rich>
          </c:tx>
          <c:layout>
            <c:manualLayout>
              <c:xMode val="edge"/>
              <c:yMode val="edge"/>
              <c:x val="0.25678496868475992"/>
              <c:y val="0.897021246327948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"/>
      </c:valAx>
      <c:valAx>
        <c:axId val="1"/>
        <c:scaling>
          <c:orientation val="minMax"/>
          <c:max val="3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layout>
            <c:manualLayout>
              <c:xMode val="edge"/>
              <c:yMode val="edge"/>
              <c:x val="3.3402922755741124E-2"/>
              <c:y val="0.33875424108571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070096"/>
        <c:crosses val="autoZero"/>
        <c:crossBetween val="midCat"/>
        <c:majorUnit val="3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574112734864296"/>
          <c:y val="0.4417355554132969"/>
          <c:w val="0.22755741127348639"/>
          <c:h val="0.11653144982893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Gear Box Torque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Conventional!$A$15:$A$87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Conventional!$Q$15:$Q$87</c:f>
              <c:numCache>
                <c:formatCode>General</c:formatCode>
                <c:ptCount val="73"/>
                <c:pt idx="0">
                  <c:v>-31618.428506886481</c:v>
                </c:pt>
                <c:pt idx="1">
                  <c:v>-22392.580268487865</c:v>
                </c:pt>
                <c:pt idx="2">
                  <c:v>-13509.93953943302</c:v>
                </c:pt>
                <c:pt idx="3">
                  <c:v>5545.1034261538589</c:v>
                </c:pt>
                <c:pt idx="4">
                  <c:v>31713.823204703396</c:v>
                </c:pt>
                <c:pt idx="5">
                  <c:v>63545.242209804826</c:v>
                </c:pt>
                <c:pt idx="6">
                  <c:v>87988.364596521424</c:v>
                </c:pt>
                <c:pt idx="7">
                  <c:v>110954.64448903309</c:v>
                </c:pt>
                <c:pt idx="8">
                  <c:v>120713.70409269125</c:v>
                </c:pt>
                <c:pt idx="9">
                  <c:v>163713.10232269042</c:v>
                </c:pt>
                <c:pt idx="10">
                  <c:v>205422.77453586727</c:v>
                </c:pt>
                <c:pt idx="11">
                  <c:v>277498.13447405573</c:v>
                </c:pt>
                <c:pt idx="12">
                  <c:v>278106.05125166709</c:v>
                </c:pt>
                <c:pt idx="13">
                  <c:v>287480.14227615867</c:v>
                </c:pt>
                <c:pt idx="14">
                  <c:v>331042.38394107949</c:v>
                </c:pt>
                <c:pt idx="15">
                  <c:v>264048.9167509696</c:v>
                </c:pt>
                <c:pt idx="16">
                  <c:v>183450.2476012347</c:v>
                </c:pt>
                <c:pt idx="17">
                  <c:v>140654.9032069128</c:v>
                </c:pt>
                <c:pt idx="18">
                  <c:v>98856.446514206589</c:v>
                </c:pt>
                <c:pt idx="19">
                  <c:v>43461.48949035909</c:v>
                </c:pt>
                <c:pt idx="20">
                  <c:v>-2674.2116525785532</c:v>
                </c:pt>
                <c:pt idx="21">
                  <c:v>-39209.448172595934</c:v>
                </c:pt>
                <c:pt idx="22">
                  <c:v>-30681.726683284622</c:v>
                </c:pt>
                <c:pt idx="23">
                  <c:v>-20607.365535746561</c:v>
                </c:pt>
                <c:pt idx="24">
                  <c:v>-5438.9265816446859</c:v>
                </c:pt>
                <c:pt idx="25">
                  <c:v>-10413.788992454647</c:v>
                </c:pt>
                <c:pt idx="26">
                  <c:v>-11530.590142372763</c:v>
                </c:pt>
                <c:pt idx="27">
                  <c:v>-10493.489599164575</c:v>
                </c:pt>
                <c:pt idx="28">
                  <c:v>-6087.4194763652631</c:v>
                </c:pt>
                <c:pt idx="29">
                  <c:v>-14351.314856219629</c:v>
                </c:pt>
                <c:pt idx="30">
                  <c:v>-17100.571635942324</c:v>
                </c:pt>
                <c:pt idx="31">
                  <c:v>-14925.778128565347</c:v>
                </c:pt>
                <c:pt idx="32">
                  <c:v>2158.48741809887</c:v>
                </c:pt>
                <c:pt idx="33">
                  <c:v>19520.913759461488</c:v>
                </c:pt>
                <c:pt idx="34">
                  <c:v>36411.997246999963</c:v>
                </c:pt>
                <c:pt idx="35">
                  <c:v>52086.721645791236</c:v>
                </c:pt>
                <c:pt idx="36">
                  <c:v>65832.79687010913</c:v>
                </c:pt>
                <c:pt idx="37">
                  <c:v>78006.230164664623</c:v>
                </c:pt>
                <c:pt idx="38">
                  <c:v>85061.23937008786</c:v>
                </c:pt>
                <c:pt idx="39">
                  <c:v>89607.717607812578</c:v>
                </c:pt>
                <c:pt idx="40">
                  <c:v>90431.164527852525</c:v>
                </c:pt>
                <c:pt idx="41">
                  <c:v>87528.148625725997</c:v>
                </c:pt>
                <c:pt idx="42">
                  <c:v>81113.543448456854</c:v>
                </c:pt>
                <c:pt idx="43">
                  <c:v>71605.339546321367</c:v>
                </c:pt>
                <c:pt idx="44">
                  <c:v>85097.602568720875</c:v>
                </c:pt>
                <c:pt idx="45">
                  <c:v>104426.06966026645</c:v>
                </c:pt>
                <c:pt idx="46">
                  <c:v>96761.565963699599</c:v>
                </c:pt>
                <c:pt idx="47">
                  <c:v>88145.385415119817</c:v>
                </c:pt>
                <c:pt idx="48">
                  <c:v>138386.20903428196</c:v>
                </c:pt>
                <c:pt idx="49">
                  <c:v>154466.70432942436</c:v>
                </c:pt>
                <c:pt idx="50">
                  <c:v>172448.21701872308</c:v>
                </c:pt>
                <c:pt idx="51">
                  <c:v>205879.09210100677</c:v>
                </c:pt>
                <c:pt idx="52">
                  <c:v>226507.06209271011</c:v>
                </c:pt>
                <c:pt idx="53">
                  <c:v>274288.02753925492</c:v>
                </c:pt>
                <c:pt idx="54">
                  <c:v>231523.66501450317</c:v>
                </c:pt>
                <c:pt idx="55">
                  <c:v>208766.1469468947</c:v>
                </c:pt>
                <c:pt idx="56">
                  <c:v>179003.96872639016</c:v>
                </c:pt>
                <c:pt idx="57">
                  <c:v>147770.97609061305</c:v>
                </c:pt>
                <c:pt idx="58">
                  <c:v>105474.23954164644</c:v>
                </c:pt>
                <c:pt idx="59">
                  <c:v>73065.982601851458</c:v>
                </c:pt>
                <c:pt idx="60">
                  <c:v>60195.633866644814</c:v>
                </c:pt>
                <c:pt idx="61">
                  <c:v>60825.904140476312</c:v>
                </c:pt>
                <c:pt idx="62">
                  <c:v>55633.928524881427</c:v>
                </c:pt>
                <c:pt idx="63">
                  <c:v>53729.043567551766</c:v>
                </c:pt>
                <c:pt idx="64">
                  <c:v>46605.700267982087</c:v>
                </c:pt>
                <c:pt idx="65">
                  <c:v>35288.7069318305</c:v>
                </c:pt>
                <c:pt idx="66">
                  <c:v>24247.684053758334</c:v>
                </c:pt>
                <c:pt idx="67">
                  <c:v>-3066.1197134582326</c:v>
                </c:pt>
                <c:pt idx="68">
                  <c:v>-24287.800779741636</c:v>
                </c:pt>
                <c:pt idx="69">
                  <c:v>-34798.39298034503</c:v>
                </c:pt>
                <c:pt idx="70">
                  <c:v>-39704.533769205882</c:v>
                </c:pt>
                <c:pt idx="71">
                  <c:v>-38678.513327378903</c:v>
                </c:pt>
                <c:pt idx="72">
                  <c:v>-31618.428506886183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3-4578-9E04-622A86A0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64520"/>
        <c:axId val="1"/>
      </c:scatterChart>
      <c:valAx>
        <c:axId val="463064520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"/>
        <c:crossBetween val="midCat"/>
        <c:majorUnit val="4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(in-lbf)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0645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</a:t>
            </a:r>
            <a:r>
              <a:rPr lang="en-US" baseline="0"/>
              <a:t> Rod</a:t>
            </a:r>
            <a:r>
              <a:rPr lang="en-US"/>
              <a:t> Dynamometer Card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 Load</c:v>
          </c:tx>
          <c:spPr>
            <a:ln w="28575">
              <a:solidFill>
                <a:srgbClr val="1F913A"/>
              </a:solidFill>
              <a:prstDash val="solid"/>
            </a:ln>
          </c:spPr>
          <c:marker>
            <c:symbol val="none"/>
          </c:marker>
          <c:xVal>
            <c:numRef>
              <c:f>Conventional!$C$15:$C$87</c:f>
              <c:numCache>
                <c:formatCode>0.000</c:formatCode>
                <c:ptCount val="73"/>
                <c:pt idx="0">
                  <c:v>4.7825890414021009E-4</c:v>
                </c:pt>
                <c:pt idx="1">
                  <c:v>8.2245896097818373E-4</c:v>
                </c:pt>
                <c:pt idx="2">
                  <c:v>6.3304293059057342E-3</c:v>
                </c:pt>
                <c:pt idx="3">
                  <c:v>1.7049377283328837E-2</c:v>
                </c:pt>
                <c:pt idx="4">
                  <c:v>3.2930828540848923E-2</c:v>
                </c:pt>
                <c:pt idx="5">
                  <c:v>5.3820706357927434E-2</c:v>
                </c:pt>
                <c:pt idx="6">
                  <c:v>7.9454865641687758E-2</c:v>
                </c:pt>
                <c:pt idx="7">
                  <c:v>0.1094616504727234</c:v>
                </c:pt>
                <c:pt idx="8">
                  <c:v>0.14337226913079654</c:v>
                </c:pt>
                <c:pt idx="9">
                  <c:v>0.18063868138425521</c:v>
                </c:pt>
                <c:pt idx="10">
                  <c:v>0.22065749720041392</c:v>
                </c:pt>
                <c:pt idx="11">
                  <c:v>0.26279739469985147</c:v>
                </c:pt>
                <c:pt idx="12">
                  <c:v>0.30642704529780057</c:v>
                </c:pt>
                <c:pt idx="13">
                  <c:v>0.3509406144940917</c:v>
                </c:pt>
                <c:pt idx="14">
                  <c:v>0.39577853083138115</c:v>
                </c:pt>
                <c:pt idx="15">
                  <c:v>0.44044217390031604</c:v>
                </c:pt>
                <c:pt idx="16">
                  <c:v>0.484502155167918</c:v>
                </c:pt>
                <c:pt idx="17">
                  <c:v>0.52760072175406758</c:v>
                </c:pt>
                <c:pt idx="18">
                  <c:v>0.5694493723211107</c:v>
                </c:pt>
                <c:pt idx="19">
                  <c:v>0.60982301447089071</c:v>
                </c:pt>
                <c:pt idx="20">
                  <c:v>0.64855197204398884</c:v>
                </c:pt>
                <c:pt idx="21">
                  <c:v>0.68551296138952345</c:v>
                </c:pt>
                <c:pt idx="22">
                  <c:v>0.72061988960989032</c:v>
                </c:pt>
                <c:pt idx="23">
                  <c:v>0.75381505466604171</c:v>
                </c:pt>
                <c:pt idx="24">
                  <c:v>0.78506108924836859</c:v>
                </c:pt>
                <c:pt idx="25">
                  <c:v>0.81433380600672989</c:v>
                </c:pt>
                <c:pt idx="26">
                  <c:v>0.84161597347089456</c:v>
                </c:pt>
                <c:pt idx="27">
                  <c:v>0.86689197339933188</c:v>
                </c:pt>
                <c:pt idx="28">
                  <c:v>0.8901432517801664</c:v>
                </c:pt>
                <c:pt idx="29">
                  <c:v>0.91134446789146517</c:v>
                </c:pt>
                <c:pt idx="30">
                  <c:v>0.93046026119517922</c:v>
                </c:pt>
                <c:pt idx="31">
                  <c:v>0.94744258917436797</c:v>
                </c:pt>
                <c:pt idx="32">
                  <c:v>0.96222863722105711</c:v>
                </c:pt>
                <c:pt idx="33">
                  <c:v>0.97473936195439714</c:v>
                </c:pt>
                <c:pt idx="34">
                  <c:v>0.9848787988745209</c:v>
                </c:pt>
                <c:pt idx="35">
                  <c:v>0.99253433825212278</c:v>
                </c:pt>
                <c:pt idx="36">
                  <c:v>0.99757823848659277</c:v>
                </c:pt>
                <c:pt idx="37">
                  <c:v>0.99987068491278541</c:v>
                </c:pt>
                <c:pt idx="38">
                  <c:v>0.99926468661833834</c:v>
                </c:pt>
                <c:pt idx="39">
                  <c:v>0.99561300122237129</c:v>
                </c:pt>
                <c:pt idx="40">
                  <c:v>0.988777059479933</c:v>
                </c:pt>
                <c:pt idx="41">
                  <c:v>0.9786375228080213</c:v>
                </c:pt>
                <c:pt idx="42">
                  <c:v>0.96510568739034708</c:v>
                </c:pt>
                <c:pt idx="43">
                  <c:v>0.94813454687585541</c:v>
                </c:pt>
                <c:pt idx="44">
                  <c:v>0.92772808505328019</c:v>
                </c:pt>
                <c:pt idx="45">
                  <c:v>0.90394742723419252</c:v>
                </c:pt>
                <c:pt idx="46">
                  <c:v>0.87691289154775554</c:v>
                </c:pt>
                <c:pt idx="47">
                  <c:v>0.84680167291160469</c:v>
                </c:pt>
                <c:pt idx="48">
                  <c:v>0.81384166588737916</c:v>
                </c:pt>
                <c:pt idx="49">
                  <c:v>0.77830255299850826</c:v>
                </c:pt>
                <c:pt idx="50">
                  <c:v>0.74048558682378707</c:v>
                </c:pt>
                <c:pt idx="51">
                  <c:v>0.70071344510108502</c:v>
                </c:pt>
                <c:pt idx="52">
                  <c:v>0.65932122777333946</c:v>
                </c:pt>
                <c:pt idx="53">
                  <c:v>0.61664923953350814</c:v>
                </c:pt>
                <c:pt idx="54">
                  <c:v>0.57303779362612217</c:v>
                </c:pt>
                <c:pt idx="55">
                  <c:v>0.52882396211105409</c:v>
                </c:pt>
                <c:pt idx="56">
                  <c:v>0.48434000770339741</c:v>
                </c:pt>
                <c:pt idx="57">
                  <c:v>0.43991314729229447</c:v>
                </c:pt>
                <c:pt idx="58">
                  <c:v>0.3958662852585364</c:v>
                </c:pt>
                <c:pt idx="59">
                  <c:v>0.35251938298781099</c:v>
                </c:pt>
                <c:pt idx="60">
                  <c:v>0.31019117385996459</c:v>
                </c:pt>
                <c:pt idx="61">
                  <c:v>0.269200973720648</c:v>
                </c:pt>
                <c:pt idx="62">
                  <c:v>0.22987036622316034</c:v>
                </c:pt>
                <c:pt idx="63">
                  <c:v>0.19252455667130694</c:v>
                </c:pt>
                <c:pt idx="64">
                  <c:v>0.1574931868340978</c:v>
                </c:pt>
                <c:pt idx="65">
                  <c:v>0.12511038879453659</c:v>
                </c:pt>
                <c:pt idx="66">
                  <c:v>9.5713832491641643E-2</c:v>
                </c:pt>
                <c:pt idx="67">
                  <c:v>6.9642495906022631E-2</c:v>
                </c:pt>
                <c:pt idx="68">
                  <c:v>4.7232868710169414E-2</c:v>
                </c:pt>
                <c:pt idx="69">
                  <c:v>2.8813303580889696E-2</c:v>
                </c:pt>
                <c:pt idx="70">
                  <c:v>1.4696272591569857E-2</c:v>
                </c:pt>
                <c:pt idx="71">
                  <c:v>5.1683909705750293E-3</c:v>
                </c:pt>
                <c:pt idx="72">
                  <c:v>4.7825890414021009E-4</c:v>
                </c:pt>
              </c:numCache>
            </c:numRef>
          </c:xVal>
          <c:yVal>
            <c:numRef>
              <c:f>Conventional!$N$15:$N$87</c:f>
              <c:numCache>
                <c:formatCode>General</c:formatCode>
                <c:ptCount val="73"/>
                <c:pt idx="0">
                  <c:v>13000</c:v>
                </c:pt>
                <c:pt idx="1">
                  <c:v>12200</c:v>
                </c:pt>
                <c:pt idx="2">
                  <c:v>12200</c:v>
                </c:pt>
                <c:pt idx="3">
                  <c:v>12800</c:v>
                </c:pt>
                <c:pt idx="4">
                  <c:v>13400</c:v>
                </c:pt>
                <c:pt idx="5">
                  <c:v>14000</c:v>
                </c:pt>
                <c:pt idx="6">
                  <c:v>14250</c:v>
                </c:pt>
                <c:pt idx="7">
                  <c:v>14500</c:v>
                </c:pt>
                <c:pt idx="8">
                  <c:v>14500</c:v>
                </c:pt>
                <c:pt idx="9">
                  <c:v>15375</c:v>
                </c:pt>
                <c:pt idx="10">
                  <c:v>16250</c:v>
                </c:pt>
                <c:pt idx="11">
                  <c:v>17800</c:v>
                </c:pt>
                <c:pt idx="12">
                  <c:v>18000</c:v>
                </c:pt>
                <c:pt idx="13">
                  <c:v>18500</c:v>
                </c:pt>
                <c:pt idx="14">
                  <c:v>19772</c:v>
                </c:pt>
                <c:pt idx="15">
                  <c:v>19000</c:v>
                </c:pt>
                <c:pt idx="16">
                  <c:v>18000</c:v>
                </c:pt>
                <c:pt idx="17">
                  <c:v>17750</c:v>
                </c:pt>
                <c:pt idx="18">
                  <c:v>17500</c:v>
                </c:pt>
                <c:pt idx="19">
                  <c:v>16900</c:v>
                </c:pt>
                <c:pt idx="20">
                  <c:v>16400</c:v>
                </c:pt>
                <c:pt idx="21">
                  <c:v>16000</c:v>
                </c:pt>
                <c:pt idx="22">
                  <c:v>16600</c:v>
                </c:pt>
                <c:pt idx="23">
                  <c:v>17200</c:v>
                </c:pt>
                <c:pt idx="24">
                  <c:v>17900</c:v>
                </c:pt>
                <c:pt idx="25">
                  <c:v>17950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17333</c:v>
                </c:pt>
                <c:pt idx="30">
                  <c:v>16667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17000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16000</c:v>
                </c:pt>
                <c:pt idx="43">
                  <c:v>16000</c:v>
                </c:pt>
                <c:pt idx="44">
                  <c:v>15000</c:v>
                </c:pt>
                <c:pt idx="45">
                  <c:v>14000</c:v>
                </c:pt>
                <c:pt idx="46">
                  <c:v>14000</c:v>
                </c:pt>
                <c:pt idx="47">
                  <c:v>14000</c:v>
                </c:pt>
                <c:pt idx="48">
                  <c:v>12500</c:v>
                </c:pt>
                <c:pt idx="49">
                  <c:v>12000</c:v>
                </c:pt>
                <c:pt idx="50">
                  <c:v>11500</c:v>
                </c:pt>
                <c:pt idx="51">
                  <c:v>10700</c:v>
                </c:pt>
                <c:pt idx="52">
                  <c:v>10200</c:v>
                </c:pt>
                <c:pt idx="53">
                  <c:v>9155</c:v>
                </c:pt>
                <c:pt idx="54">
                  <c:v>9900</c:v>
                </c:pt>
                <c:pt idx="55">
                  <c:v>10200</c:v>
                </c:pt>
                <c:pt idx="56">
                  <c:v>10600</c:v>
                </c:pt>
                <c:pt idx="57">
                  <c:v>11000</c:v>
                </c:pt>
                <c:pt idx="58">
                  <c:v>11600</c:v>
                </c:pt>
                <c:pt idx="59">
                  <c:v>12000</c:v>
                </c:pt>
                <c:pt idx="60">
                  <c:v>12000</c:v>
                </c:pt>
                <c:pt idx="61">
                  <c:v>11700</c:v>
                </c:pt>
                <c:pt idx="62">
                  <c:v>11500</c:v>
                </c:pt>
                <c:pt idx="63">
                  <c:v>11200</c:v>
                </c:pt>
                <c:pt idx="64">
                  <c:v>11000</c:v>
                </c:pt>
                <c:pt idx="65">
                  <c:v>10900</c:v>
                </c:pt>
                <c:pt idx="66">
                  <c:v>10800</c:v>
                </c:pt>
                <c:pt idx="67">
                  <c:v>11300</c:v>
                </c:pt>
                <c:pt idx="68">
                  <c:v>11800</c:v>
                </c:pt>
                <c:pt idx="69">
                  <c:v>12100</c:v>
                </c:pt>
                <c:pt idx="70">
                  <c:v>12400</c:v>
                </c:pt>
                <c:pt idx="71">
                  <c:v>12700</c:v>
                </c:pt>
                <c:pt idx="72">
                  <c:v>13000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8-436B-852E-15D3DA3E09AE}"/>
            </c:ext>
          </c:extLst>
        </c:ser>
        <c:ser>
          <c:idx val="1"/>
          <c:order val="1"/>
          <c:tx>
            <c:v>Permissible Load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Conventional!$C$15:$C$87</c:f>
              <c:numCache>
                <c:formatCode>0.000</c:formatCode>
                <c:ptCount val="73"/>
                <c:pt idx="0">
                  <c:v>4.7825890414021009E-4</c:v>
                </c:pt>
                <c:pt idx="1">
                  <c:v>8.2245896097818373E-4</c:v>
                </c:pt>
                <c:pt idx="2">
                  <c:v>6.3304293059057342E-3</c:v>
                </c:pt>
                <c:pt idx="3">
                  <c:v>1.7049377283328837E-2</c:v>
                </c:pt>
                <c:pt idx="4">
                  <c:v>3.2930828540848923E-2</c:v>
                </c:pt>
                <c:pt idx="5">
                  <c:v>5.3820706357927434E-2</c:v>
                </c:pt>
                <c:pt idx="6">
                  <c:v>7.9454865641687758E-2</c:v>
                </c:pt>
                <c:pt idx="7">
                  <c:v>0.1094616504727234</c:v>
                </c:pt>
                <c:pt idx="8">
                  <c:v>0.14337226913079654</c:v>
                </c:pt>
                <c:pt idx="9">
                  <c:v>0.18063868138425521</c:v>
                </c:pt>
                <c:pt idx="10">
                  <c:v>0.22065749720041392</c:v>
                </c:pt>
                <c:pt idx="11">
                  <c:v>0.26279739469985147</c:v>
                </c:pt>
                <c:pt idx="12">
                  <c:v>0.30642704529780057</c:v>
                </c:pt>
                <c:pt idx="13">
                  <c:v>0.3509406144940917</c:v>
                </c:pt>
                <c:pt idx="14">
                  <c:v>0.39577853083138115</c:v>
                </c:pt>
                <c:pt idx="15">
                  <c:v>0.44044217390031604</c:v>
                </c:pt>
                <c:pt idx="16">
                  <c:v>0.484502155167918</c:v>
                </c:pt>
                <c:pt idx="17">
                  <c:v>0.52760072175406758</c:v>
                </c:pt>
                <c:pt idx="18">
                  <c:v>0.5694493723211107</c:v>
                </c:pt>
                <c:pt idx="19">
                  <c:v>0.60982301447089071</c:v>
                </c:pt>
                <c:pt idx="20">
                  <c:v>0.64855197204398884</c:v>
                </c:pt>
                <c:pt idx="21">
                  <c:v>0.68551296138952345</c:v>
                </c:pt>
                <c:pt idx="22">
                  <c:v>0.72061988960989032</c:v>
                </c:pt>
                <c:pt idx="23">
                  <c:v>0.75381505466604171</c:v>
                </c:pt>
                <c:pt idx="24">
                  <c:v>0.78506108924836859</c:v>
                </c:pt>
                <c:pt idx="25">
                  <c:v>0.81433380600672989</c:v>
                </c:pt>
                <c:pt idx="26">
                  <c:v>0.84161597347089456</c:v>
                </c:pt>
                <c:pt idx="27">
                  <c:v>0.86689197339933188</c:v>
                </c:pt>
                <c:pt idx="28">
                  <c:v>0.8901432517801664</c:v>
                </c:pt>
                <c:pt idx="29">
                  <c:v>0.91134446789146517</c:v>
                </c:pt>
                <c:pt idx="30">
                  <c:v>0.93046026119517922</c:v>
                </c:pt>
                <c:pt idx="31">
                  <c:v>0.94744258917436797</c:v>
                </c:pt>
                <c:pt idx="32">
                  <c:v>0.96222863722105711</c:v>
                </c:pt>
                <c:pt idx="33">
                  <c:v>0.97473936195439714</c:v>
                </c:pt>
                <c:pt idx="34">
                  <c:v>0.9848787988745209</c:v>
                </c:pt>
                <c:pt idx="35">
                  <c:v>0.99253433825212278</c:v>
                </c:pt>
                <c:pt idx="36">
                  <c:v>0.99757823848659277</c:v>
                </c:pt>
                <c:pt idx="37">
                  <c:v>0.99987068491278541</c:v>
                </c:pt>
                <c:pt idx="38">
                  <c:v>0.99926468661833834</c:v>
                </c:pt>
                <c:pt idx="39">
                  <c:v>0.99561300122237129</c:v>
                </c:pt>
                <c:pt idx="40">
                  <c:v>0.988777059479933</c:v>
                </c:pt>
                <c:pt idx="41">
                  <c:v>0.9786375228080213</c:v>
                </c:pt>
                <c:pt idx="42">
                  <c:v>0.96510568739034708</c:v>
                </c:pt>
                <c:pt idx="43">
                  <c:v>0.94813454687585541</c:v>
                </c:pt>
                <c:pt idx="44">
                  <c:v>0.92772808505328019</c:v>
                </c:pt>
                <c:pt idx="45">
                  <c:v>0.90394742723419252</c:v>
                </c:pt>
                <c:pt idx="46">
                  <c:v>0.87691289154775554</c:v>
                </c:pt>
                <c:pt idx="47">
                  <c:v>0.84680167291160469</c:v>
                </c:pt>
                <c:pt idx="48">
                  <c:v>0.81384166588737916</c:v>
                </c:pt>
                <c:pt idx="49">
                  <c:v>0.77830255299850826</c:v>
                </c:pt>
                <c:pt idx="50">
                  <c:v>0.74048558682378707</c:v>
                </c:pt>
                <c:pt idx="51">
                  <c:v>0.70071344510108502</c:v>
                </c:pt>
                <c:pt idx="52">
                  <c:v>0.65932122777333946</c:v>
                </c:pt>
                <c:pt idx="53">
                  <c:v>0.61664923953350814</c:v>
                </c:pt>
                <c:pt idx="54">
                  <c:v>0.57303779362612217</c:v>
                </c:pt>
                <c:pt idx="55">
                  <c:v>0.52882396211105409</c:v>
                </c:pt>
                <c:pt idx="56">
                  <c:v>0.48434000770339741</c:v>
                </c:pt>
                <c:pt idx="57">
                  <c:v>0.43991314729229447</c:v>
                </c:pt>
                <c:pt idx="58">
                  <c:v>0.3958662852585364</c:v>
                </c:pt>
                <c:pt idx="59">
                  <c:v>0.35251938298781099</c:v>
                </c:pt>
                <c:pt idx="60">
                  <c:v>0.31019117385996459</c:v>
                </c:pt>
                <c:pt idx="61">
                  <c:v>0.269200973720648</c:v>
                </c:pt>
                <c:pt idx="62">
                  <c:v>0.22987036622316034</c:v>
                </c:pt>
                <c:pt idx="63">
                  <c:v>0.19252455667130694</c:v>
                </c:pt>
                <c:pt idx="64">
                  <c:v>0.1574931868340978</c:v>
                </c:pt>
                <c:pt idx="65">
                  <c:v>0.12511038879453659</c:v>
                </c:pt>
                <c:pt idx="66">
                  <c:v>9.5713832491641643E-2</c:v>
                </c:pt>
                <c:pt idx="67">
                  <c:v>6.9642495906022631E-2</c:v>
                </c:pt>
                <c:pt idx="68">
                  <c:v>4.7232868710169414E-2</c:v>
                </c:pt>
                <c:pt idx="69">
                  <c:v>2.8813303580889696E-2</c:v>
                </c:pt>
                <c:pt idx="70">
                  <c:v>1.4696272591569857E-2</c:v>
                </c:pt>
                <c:pt idx="71">
                  <c:v>5.1683909705750293E-3</c:v>
                </c:pt>
                <c:pt idx="72">
                  <c:v>4.7825890414021009E-4</c:v>
                </c:pt>
              </c:numCache>
            </c:numRef>
          </c:xVal>
          <c:yVal>
            <c:numRef>
              <c:f>Conventional!$R$15:$R$87</c:f>
              <c:numCache>
                <c:formatCode>0.000</c:formatCode>
                <c:ptCount val="73"/>
                <c:pt idx="0">
                  <c:v>-125452.46717297434</c:v>
                </c:pt>
                <c:pt idx="1">
                  <c:v>29800</c:v>
                </c:pt>
                <c:pt idx="2">
                  <c:v>29800</c:v>
                </c:pt>
                <c:pt idx="3">
                  <c:v>29800</c:v>
                </c:pt>
                <c:pt idx="4">
                  <c:v>26961.340393312359</c:v>
                </c:pt>
                <c:pt idx="5">
                  <c:v>23531.274184780894</c:v>
                </c:pt>
                <c:pt idx="6">
                  <c:v>21458.178247602951</c:v>
                </c:pt>
                <c:pt idx="7">
                  <c:v>20152.901457170876</c:v>
                </c:pt>
                <c:pt idx="8">
                  <c:v>19339.128825168878</c:v>
                </c:pt>
                <c:pt idx="9">
                  <c:v>18870.185840750484</c:v>
                </c:pt>
                <c:pt idx="10">
                  <c:v>18660.647588571283</c:v>
                </c:pt>
                <c:pt idx="11">
                  <c:v>18656.709858617498</c:v>
                </c:pt>
                <c:pt idx="12">
                  <c:v>18821.883345365251</c:v>
                </c:pt>
                <c:pt idx="13">
                  <c:v>19129.500971522662</c:v>
                </c:pt>
                <c:pt idx="14">
                  <c:v>19558.552856062804</c:v>
                </c:pt>
                <c:pt idx="15">
                  <c:v>20091.282649132383</c:v>
                </c:pt>
                <c:pt idx="16">
                  <c:v>20711.787538687295</c:v>
                </c:pt>
                <c:pt idx="17">
                  <c:v>21405.232625222692</c:v>
                </c:pt>
                <c:pt idx="18">
                  <c:v>22157.469437678556</c:v>
                </c:pt>
                <c:pt idx="19">
                  <c:v>22954.940683192632</c:v>
                </c:pt>
                <c:pt idx="20">
                  <c:v>23784.804188993101</c:v>
                </c:pt>
                <c:pt idx="21">
                  <c:v>24635.240048354361</c:v>
                </c:pt>
                <c:pt idx="22">
                  <c:v>25495.927727127928</c:v>
                </c:pt>
                <c:pt idx="23">
                  <c:v>26358.701758650219</c:v>
                </c:pt>
                <c:pt idx="24">
                  <c:v>27218.422405821591</c:v>
                </c:pt>
                <c:pt idx="25">
                  <c:v>28074.140313801956</c:v>
                </c:pt>
                <c:pt idx="26">
                  <c:v>28930.707334866416</c:v>
                </c:pt>
                <c:pt idx="27">
                  <c:v>29800</c:v>
                </c:pt>
                <c:pt idx="28">
                  <c:v>29800</c:v>
                </c:pt>
                <c:pt idx="29">
                  <c:v>29800</c:v>
                </c:pt>
                <c:pt idx="30">
                  <c:v>29800</c:v>
                </c:pt>
                <c:pt idx="31">
                  <c:v>29800</c:v>
                </c:pt>
                <c:pt idx="32">
                  <c:v>29800</c:v>
                </c:pt>
                <c:pt idx="33">
                  <c:v>29800</c:v>
                </c:pt>
                <c:pt idx="34">
                  <c:v>29800</c:v>
                </c:pt>
                <c:pt idx="35">
                  <c:v>29800</c:v>
                </c:pt>
                <c:pt idx="36">
                  <c:v>29800</c:v>
                </c:pt>
                <c:pt idx="37">
                  <c:v>29800</c:v>
                </c:pt>
                <c:pt idx="38">
                  <c:v>-80726.404243771598</c:v>
                </c:pt>
                <c:pt idx="39">
                  <c:v>-22230.943431257961</c:v>
                </c:pt>
                <c:pt idx="40">
                  <c:v>-7485.954952780633</c:v>
                </c:pt>
                <c:pt idx="41">
                  <c:v>-1036.6654059335151</c:v>
                </c:pt>
                <c:pt idx="42">
                  <c:v>2424.0998959286753</c:v>
                </c:pt>
                <c:pt idx="43">
                  <c:v>4486.2269386742837</c:v>
                </c:pt>
                <c:pt idx="44">
                  <c:v>5793.2963732501676</c:v>
                </c:pt>
                <c:pt idx="45">
                  <c:v>6655.0949836016744</c:v>
                </c:pt>
                <c:pt idx="46">
                  <c:v>7237.9579435004935</c:v>
                </c:pt>
                <c:pt idx="47">
                  <c:v>7637.6301099763259</c:v>
                </c:pt>
                <c:pt idx="48">
                  <c:v>7911.5482758928647</c:v>
                </c:pt>
                <c:pt idx="49">
                  <c:v>8094.8310958852398</c:v>
                </c:pt>
                <c:pt idx="50">
                  <c:v>8208.930349298842</c:v>
                </c:pt>
                <c:pt idx="51">
                  <c:v>8266.6456261527874</c:v>
                </c:pt>
                <c:pt idx="52">
                  <c:v>8275.1794633568934</c:v>
                </c:pt>
                <c:pt idx="53">
                  <c:v>8238.0545402229673</c:v>
                </c:pt>
                <c:pt idx="54">
                  <c:v>8156.324516186809</c:v>
                </c:pt>
                <c:pt idx="55">
                  <c:v>8029.3185338050835</c:v>
                </c:pt>
                <c:pt idx="56">
                  <c:v>7855.056880415621</c:v>
                </c:pt>
                <c:pt idx="57">
                  <c:v>7630.4138243731886</c:v>
                </c:pt>
                <c:pt idx="58">
                  <c:v>7351.0603022021714</c:v>
                </c:pt>
                <c:pt idx="59">
                  <c:v>7011.1808650152198</c:v>
                </c:pt>
                <c:pt idx="60">
                  <c:v>6602.9153872448496</c:v>
                </c:pt>
                <c:pt idx="61">
                  <c:v>6115.4126476125803</c:v>
                </c:pt>
                <c:pt idx="62">
                  <c:v>5533.2755241176046</c:v>
                </c:pt>
                <c:pt idx="63">
                  <c:v>4833.9755593419713</c:v>
                </c:pt>
                <c:pt idx="64">
                  <c:v>3983.4029399054912</c:v>
                </c:pt>
                <c:pt idx="65">
                  <c:v>2927.8121831042549</c:v>
                </c:pt>
                <c:pt idx="66">
                  <c:v>1578.2544807228294</c:v>
                </c:pt>
                <c:pt idx="67">
                  <c:v>-222.17204217961444</c:v>
                </c:pt>
                <c:pt idx="68">
                  <c:v>-2775.3717903655302</c:v>
                </c:pt>
                <c:pt idx="69">
                  <c:v>-6739.8998845649085</c:v>
                </c:pt>
                <c:pt idx="70">
                  <c:v>-13864.334847604987</c:v>
                </c:pt>
                <c:pt idx="71">
                  <c:v>-30789.625492725125</c:v>
                </c:pt>
                <c:pt idx="72">
                  <c:v>-125452.46717297478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8-436B-852E-15D3DA3E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67144"/>
        <c:axId val="1"/>
      </c:scatterChart>
      <c:valAx>
        <c:axId val="46306714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Dimensionless Polished Rod Position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0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Polished Rod Load (lbf)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067144"/>
        <c:crosses val="autoZero"/>
        <c:crossBetween val="midCat"/>
        <c:maj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Polished Rod Motion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 II Unit</a:t>
            </a:r>
          </a:p>
        </c:rich>
      </c:tx>
      <c:layout>
        <c:manualLayout>
          <c:xMode val="edge"/>
          <c:yMode val="edge"/>
          <c:x val="0.42644628099173554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3223140495868"/>
          <c:y val="0.230769624756926"/>
          <c:w val="0.66611570247933882"/>
          <c:h val="0.59790311868839918"/>
        </c:manualLayout>
      </c:layout>
      <c:scatterChart>
        <c:scatterStyle val="lineMarker"/>
        <c:varyColors val="0"/>
        <c:ser>
          <c:idx val="0"/>
          <c:order val="0"/>
          <c:tx>
            <c:v>Position (unitless)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'Mark II'!$A$15:$A$87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'Mark II'!$B$15:$B$87</c:f>
              <c:numCache>
                <c:formatCode>0.000</c:formatCode>
                <c:ptCount val="73"/>
                <c:pt idx="0">
                  <c:v>5.0940781755596409E-2</c:v>
                </c:pt>
                <c:pt idx="1">
                  <c:v>6.8585494314282069E-2</c:v>
                </c:pt>
                <c:pt idx="2">
                  <c:v>8.8651040563654485E-2</c:v>
                </c:pt>
                <c:pt idx="3">
                  <c:v>0.11105461859150867</c:v>
                </c:pt>
                <c:pt idx="4">
                  <c:v>0.13570675832636475</c:v>
                </c:pt>
                <c:pt idx="5">
                  <c:v>0.16251001902802992</c:v>
                </c:pt>
                <c:pt idx="6">
                  <c:v>0.19135769237814765</c:v>
                </c:pt>
                <c:pt idx="7">
                  <c:v>0.22213254887836073</c:v>
                </c:pt>
                <c:pt idx="8">
                  <c:v>0.25470566250167848</c:v>
                </c:pt>
                <c:pt idx="9">
                  <c:v>0.28893534518309638</c:v>
                </c:pt>
                <c:pt idx="10">
                  <c:v>0.32466621874375085</c:v>
                </c:pt>
                <c:pt idx="11">
                  <c:v>0.36172844731852444</c:v>
                </c:pt>
                <c:pt idx="12">
                  <c:v>0.39993714853035711</c:v>
                </c:pt>
                <c:pt idx="13">
                  <c:v>0.43909199686621098</c:v>
                </c:pt>
                <c:pt idx="14">
                  <c:v>0.47897702837614958</c:v>
                </c:pt>
                <c:pt idx="15">
                  <c:v>0.51936065238480622</c:v>
                </c:pt>
                <c:pt idx="16">
                  <c:v>0.55999587380133042</c:v>
                </c:pt>
                <c:pt idx="17">
                  <c:v>0.60062072920087073</c:v>
                </c:pt>
                <c:pt idx="18">
                  <c:v>0.6409589413824921</c:v>
                </c:pt>
                <c:pt idx="19">
                  <c:v>0.68072080070342711</c:v>
                </c:pt>
                <c:pt idx="20">
                  <c:v>0.71960428711009461</c:v>
                </c:pt>
                <c:pt idx="21">
                  <c:v>0.75729645422590919</c:v>
                </c:pt>
                <c:pt idx="22">
                  <c:v>0.7934751057297218</c:v>
                </c:pt>
                <c:pt idx="23">
                  <c:v>0.82781080398902451</c:v>
                </c:pt>
                <c:pt idx="24">
                  <c:v>0.85996926070598445</c:v>
                </c:pt>
                <c:pt idx="25">
                  <c:v>0.8896141681497467</c:v>
                </c:pt>
                <c:pt idx="26">
                  <c:v>0.91641053604934619</c:v>
                </c:pt>
                <c:pt idx="27">
                  <c:v>0.94002860173335145</c:v>
                </c:pt>
                <c:pt idx="28">
                  <c:v>0.96014837758003246</c:v>
                </c:pt>
                <c:pt idx="29">
                  <c:v>0.97646488788167873</c:v>
                </c:pt>
                <c:pt idx="30">
                  <c:v>0.98869412415783142</c:v>
                </c:pt>
                <c:pt idx="31">
                  <c:v>0.99657971105917587</c:v>
                </c:pt>
                <c:pt idx="32">
                  <c:v>0.99990022193322969</c:v>
                </c:pt>
                <c:pt idx="33">
                  <c:v>0.99847701252336263</c:v>
                </c:pt>
                <c:pt idx="34">
                  <c:v>0.99218235367717533</c:v>
                </c:pt>
                <c:pt idx="35">
                  <c:v>0.98094754284337371</c:v>
                </c:pt>
                <c:pt idx="36">
                  <c:v>0.96477056708995312</c:v>
                </c:pt>
                <c:pt idx="37">
                  <c:v>0.94372278979750313</c:v>
                </c:pt>
                <c:pt idx="38">
                  <c:v>0.91795405639231897</c:v>
                </c:pt>
                <c:pt idx="39">
                  <c:v>0.88769558244642743</c:v>
                </c:pt>
                <c:pt idx="40">
                  <c:v>0.85326002175163684</c:v>
                </c:pt>
                <c:pt idx="41">
                  <c:v>0.81503822986887642</c:v>
                </c:pt>
                <c:pt idx="42">
                  <c:v>0.77349244709905685</c:v>
                </c:pt>
                <c:pt idx="43">
                  <c:v>0.72914591458767064</c:v>
                </c:pt>
                <c:pt idx="44">
                  <c:v>0.68256927966142922</c:v>
                </c:pt>
                <c:pt idx="45">
                  <c:v>0.63436449477485179</c:v>
                </c:pt>
                <c:pt idx="46">
                  <c:v>0.58514721127652614</c:v>
                </c:pt>
                <c:pt idx="47">
                  <c:v>0.53552885914228254</c:v>
                </c:pt>
                <c:pt idx="48">
                  <c:v>0.48609964766301472</c:v>
                </c:pt>
                <c:pt idx="49">
                  <c:v>0.43741360826854492</c:v>
                </c:pt>
                <c:pt idx="50">
                  <c:v>0.38997654942937748</c:v>
                </c:pt>
                <c:pt idx="51">
                  <c:v>0.34423745183644217</c:v>
                </c:pt>
                <c:pt idx="52">
                  <c:v>0.30058346093349181</c:v>
                </c:pt>
                <c:pt idx="53">
                  <c:v>0.25933829315995582</c:v>
                </c:pt>
                <c:pt idx="54">
                  <c:v>0.22076360717464188</c:v>
                </c:pt>
                <c:pt idx="55">
                  <c:v>0.18506272528356033</c:v>
                </c:pt>
                <c:pt idx="56">
                  <c:v>0.15238602463623407</c:v>
                </c:pt>
                <c:pt idx="57">
                  <c:v>0.12283733692293</c:v>
                </c:pt>
                <c:pt idx="58">
                  <c:v>9.648077449869584E-2</c:v>
                </c:pt>
                <c:pt idx="59">
                  <c:v>7.3347513430373032E-2</c:v>
                </c:pt>
                <c:pt idx="60">
                  <c:v>5.3442186758279789E-2</c:v>
                </c:pt>
                <c:pt idx="61">
                  <c:v>3.6748657374410472E-2</c:v>
                </c:pt>
                <c:pt idx="62">
                  <c:v>2.3235039179579444E-2</c:v>
                </c:pt>
                <c:pt idx="63">
                  <c:v>1.285791322987721E-2</c:v>
                </c:pt>
                <c:pt idx="64">
                  <c:v>5.565742264736849E-3</c:v>
                </c:pt>
                <c:pt idx="65">
                  <c:v>1.3015247391650175E-3</c:v>
                </c:pt>
                <c:pt idx="66">
                  <c:v>4.7518853920550857E-6</c:v>
                </c:pt>
                <c:pt idx="67">
                  <c:v>1.6127422814180958E-3</c:v>
                </c:pt>
                <c:pt idx="68">
                  <c:v>6.0614314582425775E-3</c:v>
                </c:pt>
                <c:pt idx="69">
                  <c:v>1.3285692182233808E-2</c:v>
                </c:pt>
                <c:pt idx="70">
                  <c:v>2.3219256467767346E-2</c:v>
                </c:pt>
                <c:pt idx="71">
                  <c:v>3.5794304722051105E-2</c:v>
                </c:pt>
                <c:pt idx="72">
                  <c:v>5.0940781755596798E-2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8-4E16-98E3-D4108D5E85FB}"/>
            </c:ext>
          </c:extLst>
        </c:ser>
        <c:ser>
          <c:idx val="1"/>
          <c:order val="1"/>
          <c:tx>
            <c:v>Velocity (ft/sec)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'Mark II'!$A$15:$A$87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'Mark II'!$J$15:$J$87</c:f>
              <c:numCache>
                <c:formatCode>General</c:formatCode>
                <c:ptCount val="73"/>
                <c:pt idx="0">
                  <c:v>1.0936779180151897</c:v>
                </c:pt>
                <c:pt idx="1">
                  <c:v>1.2740673922008945</c:v>
                </c:pt>
                <c:pt idx="2">
                  <c:v>1.44886793128517</c:v>
                </c:pt>
                <c:pt idx="3">
                  <c:v>1.6176896131904825</c:v>
                </c:pt>
                <c:pt idx="4">
                  <c:v>1.7800509517906082</c:v>
                </c:pt>
                <c:pt idx="5">
                  <c:v>1.9353764109827469</c:v>
                </c:pt>
                <c:pt idx="6">
                  <c:v>2.0829968090443907</c:v>
                </c:pt>
                <c:pt idx="7">
                  <c:v>2.2221524457354991</c:v>
                </c:pt>
                <c:pt idx="8">
                  <c:v>2.35199875270823</c:v>
                </c:pt>
                <c:pt idx="9">
                  <c:v>2.4716142246426491</c:v>
                </c:pt>
                <c:pt idx="10">
                  <c:v>2.5800103428759891</c:v>
                </c:pt>
                <c:pt idx="11">
                  <c:v>2.6761431648355836</c:v>
                </c:pt>
                <c:pt idx="12">
                  <c:v>2.7589262307579934</c:v>
                </c:pt>
                <c:pt idx="13">
                  <c:v>2.8272444419462315</c:v>
                </c:pt>
                <c:pt idx="14">
                  <c:v>2.8799685976580811</c:v>
                </c:pt>
                <c:pt idx="15">
                  <c:v>2.9159703427984462</c:v>
                </c:pt>
                <c:pt idx="16">
                  <c:v>2.934137374551451</c:v>
                </c:pt>
                <c:pt idx="17">
                  <c:v>2.9333888781289432</c:v>
                </c:pt>
                <c:pt idx="18">
                  <c:v>2.9126913022443133</c:v>
                </c:pt>
                <c:pt idx="19">
                  <c:v>2.8710747338950164</c:v>
                </c:pt>
                <c:pt idx="20">
                  <c:v>2.8076502782945925</c:v>
                </c:pt>
                <c:pt idx="21">
                  <c:v>2.7216289811424001</c:v>
                </c:pt>
                <c:pt idx="22">
                  <c:v>2.6123429339809472</c:v>
                </c:pt>
                <c:pt idx="23">
                  <c:v>2.4792692652333757</c:v>
                </c:pt>
                <c:pt idx="24">
                  <c:v>2.3220577241091958</c:v>
                </c:pt>
                <c:pt idx="25">
                  <c:v>2.1405624939080448</c:v>
                </c:pt>
                <c:pt idx="26">
                  <c:v>1.9348787041301463</c:v>
                </c:pt>
                <c:pt idx="27">
                  <c:v>1.7053838227609985</c:v>
                </c:pt>
                <c:pt idx="28">
                  <c:v>1.4527836743947882</c:v>
                </c:pt>
                <c:pt idx="29">
                  <c:v>1.1781622205913513</c:v>
                </c:pt>
                <c:pt idx="30">
                  <c:v>0.88303343673893375</c:v>
                </c:pt>
                <c:pt idx="31">
                  <c:v>0.56939262149803516</c:v>
                </c:pt>
                <c:pt idx="32">
                  <c:v>0.23976330677020782</c:v>
                </c:pt>
                <c:pt idx="33">
                  <c:v>-0.10276532957701019</c:v>
                </c:pt>
                <c:pt idx="34">
                  <c:v>-0.45451687321528428</c:v>
                </c:pt>
                <c:pt idx="35">
                  <c:v>-0.81122920496915274</c:v>
                </c:pt>
                <c:pt idx="36">
                  <c:v>-1.1680868840060754</c:v>
                </c:pt>
                <c:pt idx="37">
                  <c:v>-1.5197916450850089</c:v>
                </c:pt>
                <c:pt idx="38">
                  <c:v>-1.8606765545580697</c:v>
                </c:pt>
                <c:pt idx="39">
                  <c:v>-2.1848661384536894</c:v>
                </c:pt>
                <c:pt idx="40">
                  <c:v>-2.4864800073940971</c:v>
                </c:pt>
                <c:pt idx="41">
                  <c:v>-2.7598714655933883</c:v>
                </c:pt>
                <c:pt idx="42">
                  <c:v>-2.9998860528012972</c:v>
                </c:pt>
                <c:pt idx="43">
                  <c:v>-3.202119096132368</c:v>
                </c:pt>
                <c:pt idx="44">
                  <c:v>-3.3631475491936151</c:v>
                </c:pt>
                <c:pt idx="45">
                  <c:v>-3.480710970370243</c:v>
                </c:pt>
                <c:pt idx="46">
                  <c:v>-3.5538202070090801</c:v>
                </c:pt>
                <c:pt idx="47">
                  <c:v>-3.5827800707279049</c:v>
                </c:pt>
                <c:pt idx="48">
                  <c:v>-3.5691228382712836</c:v>
                </c:pt>
                <c:pt idx="49">
                  <c:v>-3.5154607954986523</c:v>
                </c:pt>
                <c:pt idx="50">
                  <c:v>-3.4252759656970282</c:v>
                </c:pt>
                <c:pt idx="51">
                  <c:v>-3.3026716982797995</c:v>
                </c:pt>
                <c:pt idx="52">
                  <c:v>-3.1521129156340586</c:v>
                </c:pt>
                <c:pt idx="53">
                  <c:v>-2.9781796201746502</c:v>
                </c:pt>
                <c:pt idx="54">
                  <c:v>-2.7853528027060288</c:v>
                </c:pt>
                <c:pt idx="55">
                  <c:v>-2.5778447418148565</c:v>
                </c:pt>
                <c:pt idx="56">
                  <c:v>-2.3594784353103346</c:v>
                </c:pt>
                <c:pt idx="57">
                  <c:v>-2.1336147796477456</c:v>
                </c:pt>
                <c:pt idx="58">
                  <c:v>-1.9031217790336994</c:v>
                </c:pt>
                <c:pt idx="59">
                  <c:v>-1.6703776558781154</c:v>
                </c:pt>
                <c:pt idx="60">
                  <c:v>-1.4372989959270748</c:v>
                </c:pt>
                <c:pt idx="61">
                  <c:v>-1.2053855441394441</c:v>
                </c:pt>
                <c:pt idx="62">
                  <c:v>-0.97577448402307243</c:v>
                </c:pt>
                <c:pt idx="63">
                  <c:v>-0.74929856484225932</c:v>
                </c:pt>
                <c:pt idx="64">
                  <c:v>-0.52654398387839263</c:v>
                </c:pt>
                <c:pt idx="65">
                  <c:v>-0.30790529936449967</c:v>
                </c:pt>
                <c:pt idx="66">
                  <c:v>-9.3635756467460349E-2</c:v>
                </c:pt>
                <c:pt idx="67">
                  <c:v>0.11610776450651265</c:v>
                </c:pt>
                <c:pt idx="68">
                  <c:v>0.32122539822498014</c:v>
                </c:pt>
                <c:pt idx="69">
                  <c:v>0.52164040590528404</c:v>
                </c:pt>
                <c:pt idx="70">
                  <c:v>0.7172704175506498</c:v>
                </c:pt>
                <c:pt idx="71">
                  <c:v>0.9080033966463853</c:v>
                </c:pt>
                <c:pt idx="72">
                  <c:v>1.0936779180152179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8-4E16-98E3-D4108D5E85FB}"/>
            </c:ext>
          </c:extLst>
        </c:ser>
        <c:ser>
          <c:idx val="2"/>
          <c:order val="2"/>
          <c:tx>
            <c:v>Acceleration (ft/sec^2)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'Mark II'!$A$15:$A$87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'Mark II'!$K$15:$K$87</c:f>
              <c:numCache>
                <c:formatCode>General</c:formatCode>
                <c:ptCount val="73"/>
                <c:pt idx="0">
                  <c:v>1.608748403075444</c:v>
                </c:pt>
                <c:pt idx="1">
                  <c:v>1.5629569226218514</c:v>
                </c:pt>
                <c:pt idx="2">
                  <c:v>1.5145324519242398</c:v>
                </c:pt>
                <c:pt idx="3">
                  <c:v>1.4627295612100761</c:v>
                </c:pt>
                <c:pt idx="4">
                  <c:v>1.4067549078278021</c:v>
                </c:pt>
                <c:pt idx="5">
                  <c:v>1.3457936101850969</c:v>
                </c:pt>
                <c:pt idx="6">
                  <c:v>1.2790342901776883</c:v>
                </c:pt>
                <c:pt idx="7">
                  <c:v>1.2056926639983232</c:v>
                </c:pt>
                <c:pt idx="8">
                  <c:v>1.1250334049479387</c:v>
                </c:pt>
                <c:pt idx="9">
                  <c:v>1.0363899044359848</c:v>
                </c:pt>
                <c:pt idx="10">
                  <c:v>0.93918153563508255</c:v>
                </c:pt>
                <c:pt idx="11">
                  <c:v>0.83292808658138984</c:v>
                </c:pt>
                <c:pt idx="12">
                  <c:v>0.71726117359870245</c:v>
                </c:pt>
                <c:pt idx="13">
                  <c:v>0.59193265904125658</c:v>
                </c:pt>
                <c:pt idx="14">
                  <c:v>0.45682035790178116</c:v>
                </c:pt>
                <c:pt idx="15">
                  <c:v>0.3119315971600099</c:v>
                </c:pt>
                <c:pt idx="16">
                  <c:v>0.15740545932640587</c:v>
                </c:pt>
                <c:pt idx="17">
                  <c:v>-6.4852324139036011E-3</c:v>
                </c:pt>
                <c:pt idx="18">
                  <c:v>-0.17933097070326198</c:v>
                </c:pt>
                <c:pt idx="19">
                  <c:v>-0.36058037139316346</c:v>
                </c:pt>
                <c:pt idx="20">
                  <c:v>-0.54953146458065649</c:v>
                </c:pt>
                <c:pt idx="21">
                  <c:v>-0.74531833125984448</c:v>
                </c:pt>
                <c:pt idx="22">
                  <c:v>-0.94689218829436006</c:v>
                </c:pt>
                <c:pt idx="23">
                  <c:v>-1.152996385884395</c:v>
                </c:pt>
                <c:pt idx="24">
                  <c:v>-1.362135277711003</c:v>
                </c:pt>
                <c:pt idx="25">
                  <c:v>-1.5725375759658107</c:v>
                </c:pt>
                <c:pt idx="26">
                  <c:v>-1.7821156392612827</c:v>
                </c:pt>
                <c:pt idx="27">
                  <c:v>-1.9884231891098605</c:v>
                </c:pt>
                <c:pt idx="28">
                  <c:v>-2.1886152300540487</c:v>
                </c:pt>
                <c:pt idx="29">
                  <c:v>-2.3794154523710715</c:v>
                </c:pt>
                <c:pt idx="30">
                  <c:v>-2.5570980672200347</c:v>
                </c:pt>
                <c:pt idx="31">
                  <c:v>-2.7174927229560635</c:v>
                </c:pt>
                <c:pt idx="32">
                  <c:v>-2.8560226237068438</c:v>
                </c:pt>
                <c:pt idx="33">
                  <c:v>-2.9677868167849684</c:v>
                </c:pt>
                <c:pt idx="34">
                  <c:v>-3.0476972819732855</c:v>
                </c:pt>
                <c:pt idx="35">
                  <c:v>-3.0906792694862957</c:v>
                </c:pt>
                <c:pt idx="36">
                  <c:v>-3.0919386087202465</c:v>
                </c:pt>
                <c:pt idx="37">
                  <c:v>-3.0472919416655455</c:v>
                </c:pt>
                <c:pt idx="38">
                  <c:v>-2.9535449974744981</c:v>
                </c:pt>
                <c:pt idx="39">
                  <c:v>-2.8088909105080693</c:v>
                </c:pt>
                <c:pt idx="40">
                  <c:v>-2.6132870919833717</c:v>
                </c:pt>
                <c:pt idx="41">
                  <c:v>-2.3687583441724249</c:v>
                </c:pt>
                <c:pt idx="42">
                  <c:v>-2.0795695663519767</c:v>
                </c:pt>
                <c:pt idx="43">
                  <c:v>-1.7522171761074419</c:v>
                </c:pt>
                <c:pt idx="44">
                  <c:v>-1.3952063255756681</c:v>
                </c:pt>
                <c:pt idx="45">
                  <c:v>-1.0186102254833234</c:v>
                </c:pt>
                <c:pt idx="46">
                  <c:v>-0.6334437639894438</c:v>
                </c:pt>
                <c:pt idx="47">
                  <c:v>-0.25091829599173826</c:v>
                </c:pt>
                <c:pt idx="48">
                  <c:v>0.11833099524397683</c:v>
                </c:pt>
                <c:pt idx="49">
                  <c:v>0.4649465364435354</c:v>
                </c:pt>
                <c:pt idx="50">
                  <c:v>0.78139262110611551</c:v>
                </c:pt>
                <c:pt idx="51">
                  <c:v>1.0622858643374433</c:v>
                </c:pt>
                <c:pt idx="52">
                  <c:v>1.304493472581602</c:v>
                </c:pt>
                <c:pt idx="53">
                  <c:v>1.5070183525944179</c:v>
                </c:pt>
                <c:pt idx="54">
                  <c:v>1.6707183752831469</c:v>
                </c:pt>
                <c:pt idx="55">
                  <c:v>1.7979217564313743</c:v>
                </c:pt>
                <c:pt idx="56">
                  <c:v>1.8920013596095613</c:v>
                </c:pt>
                <c:pt idx="57">
                  <c:v>1.9569609911003152</c:v>
                </c:pt>
                <c:pt idx="58">
                  <c:v>1.9970712401697031</c:v>
                </c:pt>
                <c:pt idx="59">
                  <c:v>2.0165757460498215</c:v>
                </c:pt>
                <c:pt idx="60">
                  <c:v>2.0194742887873671</c:v>
                </c:pt>
                <c:pt idx="61">
                  <c:v>2.0093785214288893</c:v>
                </c:pt>
                <c:pt idx="62">
                  <c:v>1.9894298020403256</c:v>
                </c:pt>
                <c:pt idx="63">
                  <c:v>1.9622658544167415</c:v>
                </c:pt>
                <c:pt idx="64">
                  <c:v>1.9300228903865562</c:v>
                </c:pt>
                <c:pt idx="65">
                  <c:v>1.8943613370818517</c:v>
                </c:pt>
                <c:pt idx="66">
                  <c:v>1.856505579883144</c:v>
                </c:pt>
                <c:pt idx="67">
                  <c:v>1.8172905573407958</c:v>
                </c:pt>
                <c:pt idx="68">
                  <c:v>1.7772102669474799</c:v>
                </c:pt>
                <c:pt idx="69">
                  <c:v>1.7364650851455588</c:v>
                </c:pt>
                <c:pt idx="70">
                  <c:v>1.6950062211442944</c:v>
                </c:pt>
                <c:pt idx="71">
                  <c:v>1.6525766339508103</c:v>
                </c:pt>
                <c:pt idx="72">
                  <c:v>1.6087484030756882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18-4E16-98E3-D4108D5E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80440"/>
        <c:axId val="1"/>
      </c:scatterChart>
      <c:valAx>
        <c:axId val="306880440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(degrees)</a:t>
                </a:r>
              </a:p>
            </c:rich>
          </c:tx>
          <c:layout>
            <c:manualLayout>
              <c:xMode val="edge"/>
              <c:yMode val="edge"/>
              <c:x val="0.31735537190082647"/>
              <c:y val="0.86713433548079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9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8804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26446280991737"/>
          <c:y val="0.41958115375438204"/>
          <c:w val="0.17851239669421493"/>
          <c:h val="0.34032670741332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Gear Box Torque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'Mark II'!$A$15:$A$87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'Mark II'!$P$15:$P$87</c:f>
              <c:numCache>
                <c:formatCode>General</c:formatCode>
                <c:ptCount val="73"/>
                <c:pt idx="0">
                  <c:v>2759.6588416352752</c:v>
                </c:pt>
                <c:pt idx="1">
                  <c:v>6467.3677682821872</c:v>
                </c:pt>
                <c:pt idx="2">
                  <c:v>13032.33780658964</c:v>
                </c:pt>
                <c:pt idx="3">
                  <c:v>22470.681643931195</c:v>
                </c:pt>
                <c:pt idx="4">
                  <c:v>35352.477625020285</c:v>
                </c:pt>
                <c:pt idx="5">
                  <c:v>51761.298711827636</c:v>
                </c:pt>
                <c:pt idx="6">
                  <c:v>70352.880170354387</c:v>
                </c:pt>
                <c:pt idx="7">
                  <c:v>61766.905068365333</c:v>
                </c:pt>
                <c:pt idx="8">
                  <c:v>53090.41304628225</c:v>
                </c:pt>
                <c:pt idx="9">
                  <c:v>42975.523888666998</c:v>
                </c:pt>
                <c:pt idx="10">
                  <c:v>48157.357064122392</c:v>
                </c:pt>
                <c:pt idx="11">
                  <c:v>53998.443081313511</c:v>
                </c:pt>
                <c:pt idx="12">
                  <c:v>60394.500156886119</c:v>
                </c:pt>
                <c:pt idx="13">
                  <c:v>78099.293520762527</c:v>
                </c:pt>
                <c:pt idx="14">
                  <c:v>97345.645927758422</c:v>
                </c:pt>
                <c:pt idx="15">
                  <c:v>115937.54921619396</c:v>
                </c:pt>
                <c:pt idx="16">
                  <c:v>112009.84995997691</c:v>
                </c:pt>
                <c:pt idx="17">
                  <c:v>107672.87510353694</c:v>
                </c:pt>
                <c:pt idx="18">
                  <c:v>102022.69052426674</c:v>
                </c:pt>
                <c:pt idx="19">
                  <c:v>99643.597201228957</c:v>
                </c:pt>
                <c:pt idx="20">
                  <c:v>96787.700513030286</c:v>
                </c:pt>
                <c:pt idx="21">
                  <c:v>92582.278399840812</c:v>
                </c:pt>
                <c:pt idx="22">
                  <c:v>101696.47747921202</c:v>
                </c:pt>
                <c:pt idx="23">
                  <c:v>108060.25264877459</c:v>
                </c:pt>
                <c:pt idx="24">
                  <c:v>112185.84569317655</c:v>
                </c:pt>
                <c:pt idx="25">
                  <c:v>108569.19307039326</c:v>
                </c:pt>
                <c:pt idx="26">
                  <c:v>102049.26675936591</c:v>
                </c:pt>
                <c:pt idx="27">
                  <c:v>94514.252412229354</c:v>
                </c:pt>
                <c:pt idx="28">
                  <c:v>79853.761848185124</c:v>
                </c:pt>
                <c:pt idx="29">
                  <c:v>66217.688160191348</c:v>
                </c:pt>
                <c:pt idx="30">
                  <c:v>53170.96455062765</c:v>
                </c:pt>
                <c:pt idx="31">
                  <c:v>42891.764727461894</c:v>
                </c:pt>
                <c:pt idx="32">
                  <c:v>31959.520764339948</c:v>
                </c:pt>
                <c:pt idx="33">
                  <c:v>20613.273675855744</c:v>
                </c:pt>
                <c:pt idx="34">
                  <c:v>11950.616985023327</c:v>
                </c:pt>
                <c:pt idx="35">
                  <c:v>6984.1295165000483</c:v>
                </c:pt>
                <c:pt idx="36">
                  <c:v>5957.4656080892019</c:v>
                </c:pt>
                <c:pt idx="37">
                  <c:v>15566.897366745397</c:v>
                </c:pt>
                <c:pt idx="38">
                  <c:v>30762.321244473074</c:v>
                </c:pt>
                <c:pt idx="39">
                  <c:v>52220.50317401599</c:v>
                </c:pt>
                <c:pt idx="40">
                  <c:v>70365.654676313803</c:v>
                </c:pt>
                <c:pt idx="41">
                  <c:v>91952.145461361913</c:v>
                </c:pt>
                <c:pt idx="42">
                  <c:v>115523.97618669394</c:v>
                </c:pt>
                <c:pt idx="43">
                  <c:v>100614.94591834472</c:v>
                </c:pt>
                <c:pt idx="44">
                  <c:v>82717.070996569935</c:v>
                </c:pt>
                <c:pt idx="45">
                  <c:v>63717.989937093691</c:v>
                </c:pt>
                <c:pt idx="46">
                  <c:v>67180.553417335585</c:v>
                </c:pt>
                <c:pt idx="47">
                  <c:v>70140.743428180926</c:v>
                </c:pt>
                <c:pt idx="48">
                  <c:v>74759.872230989276</c:v>
                </c:pt>
                <c:pt idx="49">
                  <c:v>85235.951303261536</c:v>
                </c:pt>
                <c:pt idx="50">
                  <c:v>94413.331243128283</c:v>
                </c:pt>
                <c:pt idx="51">
                  <c:v>103048.49423662957</c:v>
                </c:pt>
                <c:pt idx="52">
                  <c:v>102992.48969832624</c:v>
                </c:pt>
                <c:pt idx="53">
                  <c:v>102648.06216649155</c:v>
                </c:pt>
                <c:pt idx="54">
                  <c:v>101861.4751960912</c:v>
                </c:pt>
                <c:pt idx="55">
                  <c:v>100490.98475543599</c:v>
                </c:pt>
                <c:pt idx="56">
                  <c:v>97703.766516953445</c:v>
                </c:pt>
                <c:pt idx="57">
                  <c:v>94909.867297346471</c:v>
                </c:pt>
                <c:pt idx="58">
                  <c:v>99211.033424102206</c:v>
                </c:pt>
                <c:pt idx="59">
                  <c:v>95642.458653767811</c:v>
                </c:pt>
                <c:pt idx="60">
                  <c:v>93154.945181601506</c:v>
                </c:pt>
                <c:pt idx="61">
                  <c:v>85997.231367081127</c:v>
                </c:pt>
                <c:pt idx="62">
                  <c:v>78818.700164613037</c:v>
                </c:pt>
                <c:pt idx="63">
                  <c:v>68265.273460176162</c:v>
                </c:pt>
                <c:pt idx="64">
                  <c:v>57457.637881143484</c:v>
                </c:pt>
                <c:pt idx="65">
                  <c:v>46820.754142050835</c:v>
                </c:pt>
                <c:pt idx="66">
                  <c:v>36522.417999917889</c:v>
                </c:pt>
                <c:pt idx="67">
                  <c:v>26793.51401455429</c:v>
                </c:pt>
                <c:pt idx="68">
                  <c:v>17747.654102458422</c:v>
                </c:pt>
                <c:pt idx="69">
                  <c:v>9562.1384898555043</c:v>
                </c:pt>
                <c:pt idx="70">
                  <c:v>4992.3725897350523</c:v>
                </c:pt>
                <c:pt idx="71">
                  <c:v>2497.9369391333748</c:v>
                </c:pt>
                <c:pt idx="72">
                  <c:v>2759.6588416351296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F-40C9-867B-1A6D9933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79128"/>
        <c:axId val="1"/>
      </c:scatterChart>
      <c:valAx>
        <c:axId val="306879128"/>
        <c:scaling>
          <c:orientation val="minMax"/>
          <c:max val="3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(degrees)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(in-lbf)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8791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</a:t>
            </a:r>
            <a:r>
              <a:rPr lang="en-US" baseline="0"/>
              <a:t> Rod</a:t>
            </a:r>
            <a:r>
              <a:rPr lang="en-US"/>
              <a:t> Dynamometer Card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 Load</c:v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'Mark II'!$B$15:$B$87</c:f>
              <c:numCache>
                <c:formatCode>0.000</c:formatCode>
                <c:ptCount val="73"/>
                <c:pt idx="0">
                  <c:v>5.0940781755596409E-2</c:v>
                </c:pt>
                <c:pt idx="1">
                  <c:v>6.8585494314282069E-2</c:v>
                </c:pt>
                <c:pt idx="2">
                  <c:v>8.8651040563654485E-2</c:v>
                </c:pt>
                <c:pt idx="3">
                  <c:v>0.11105461859150867</c:v>
                </c:pt>
                <c:pt idx="4">
                  <c:v>0.13570675832636475</c:v>
                </c:pt>
                <c:pt idx="5">
                  <c:v>0.16251001902802992</c:v>
                </c:pt>
                <c:pt idx="6">
                  <c:v>0.19135769237814765</c:v>
                </c:pt>
                <c:pt idx="7">
                  <c:v>0.22213254887836073</c:v>
                </c:pt>
                <c:pt idx="8">
                  <c:v>0.25470566250167848</c:v>
                </c:pt>
                <c:pt idx="9">
                  <c:v>0.28893534518309638</c:v>
                </c:pt>
                <c:pt idx="10">
                  <c:v>0.32466621874375085</c:v>
                </c:pt>
                <c:pt idx="11">
                  <c:v>0.36172844731852444</c:v>
                </c:pt>
                <c:pt idx="12">
                  <c:v>0.39993714853035711</c:v>
                </c:pt>
                <c:pt idx="13">
                  <c:v>0.43909199686621098</c:v>
                </c:pt>
                <c:pt idx="14">
                  <c:v>0.47897702837614958</c:v>
                </c:pt>
                <c:pt idx="15">
                  <c:v>0.51936065238480622</c:v>
                </c:pt>
                <c:pt idx="16">
                  <c:v>0.55999587380133042</c:v>
                </c:pt>
                <c:pt idx="17">
                  <c:v>0.60062072920087073</c:v>
                </c:pt>
                <c:pt idx="18">
                  <c:v>0.6409589413824921</c:v>
                </c:pt>
                <c:pt idx="19">
                  <c:v>0.68072080070342711</c:v>
                </c:pt>
                <c:pt idx="20">
                  <c:v>0.71960428711009461</c:v>
                </c:pt>
                <c:pt idx="21">
                  <c:v>0.75729645422590919</c:v>
                </c:pt>
                <c:pt idx="22">
                  <c:v>0.7934751057297218</c:v>
                </c:pt>
                <c:pt idx="23">
                  <c:v>0.82781080398902451</c:v>
                </c:pt>
                <c:pt idx="24">
                  <c:v>0.85996926070598445</c:v>
                </c:pt>
                <c:pt idx="25">
                  <c:v>0.8896141681497467</c:v>
                </c:pt>
                <c:pt idx="26">
                  <c:v>0.91641053604934619</c:v>
                </c:pt>
                <c:pt idx="27">
                  <c:v>0.94002860173335145</c:v>
                </c:pt>
                <c:pt idx="28">
                  <c:v>0.96014837758003246</c:v>
                </c:pt>
                <c:pt idx="29">
                  <c:v>0.97646488788167873</c:v>
                </c:pt>
                <c:pt idx="30">
                  <c:v>0.98869412415783142</c:v>
                </c:pt>
                <c:pt idx="31">
                  <c:v>0.99657971105917587</c:v>
                </c:pt>
                <c:pt idx="32">
                  <c:v>0.99990022193322969</c:v>
                </c:pt>
                <c:pt idx="33">
                  <c:v>0.99847701252336263</c:v>
                </c:pt>
                <c:pt idx="34">
                  <c:v>0.99218235367717533</c:v>
                </c:pt>
                <c:pt idx="35">
                  <c:v>0.98094754284337371</c:v>
                </c:pt>
                <c:pt idx="36">
                  <c:v>0.96477056708995312</c:v>
                </c:pt>
                <c:pt idx="37">
                  <c:v>0.94372278979750313</c:v>
                </c:pt>
                <c:pt idx="38">
                  <c:v>0.91795405639231897</c:v>
                </c:pt>
                <c:pt idx="39">
                  <c:v>0.88769558244642743</c:v>
                </c:pt>
                <c:pt idx="40">
                  <c:v>0.85326002175163684</c:v>
                </c:pt>
                <c:pt idx="41">
                  <c:v>0.81503822986887642</c:v>
                </c:pt>
                <c:pt idx="42">
                  <c:v>0.77349244709905685</c:v>
                </c:pt>
                <c:pt idx="43">
                  <c:v>0.72914591458767064</c:v>
                </c:pt>
                <c:pt idx="44">
                  <c:v>0.68256927966142922</c:v>
                </c:pt>
                <c:pt idx="45">
                  <c:v>0.63436449477485179</c:v>
                </c:pt>
                <c:pt idx="46">
                  <c:v>0.58514721127652614</c:v>
                </c:pt>
                <c:pt idx="47">
                  <c:v>0.53552885914228254</c:v>
                </c:pt>
                <c:pt idx="48">
                  <c:v>0.48609964766301472</c:v>
                </c:pt>
                <c:pt idx="49">
                  <c:v>0.43741360826854492</c:v>
                </c:pt>
                <c:pt idx="50">
                  <c:v>0.38997654942937748</c:v>
                </c:pt>
                <c:pt idx="51">
                  <c:v>0.34423745183644217</c:v>
                </c:pt>
                <c:pt idx="52">
                  <c:v>0.30058346093349181</c:v>
                </c:pt>
                <c:pt idx="53">
                  <c:v>0.25933829315995582</c:v>
                </c:pt>
                <c:pt idx="54">
                  <c:v>0.22076360717464188</c:v>
                </c:pt>
                <c:pt idx="55">
                  <c:v>0.18506272528356033</c:v>
                </c:pt>
                <c:pt idx="56">
                  <c:v>0.15238602463623407</c:v>
                </c:pt>
                <c:pt idx="57">
                  <c:v>0.12283733692293</c:v>
                </c:pt>
                <c:pt idx="58">
                  <c:v>9.648077449869584E-2</c:v>
                </c:pt>
                <c:pt idx="59">
                  <c:v>7.3347513430373032E-2</c:v>
                </c:pt>
                <c:pt idx="60">
                  <c:v>5.3442186758279789E-2</c:v>
                </c:pt>
                <c:pt idx="61">
                  <c:v>3.6748657374410472E-2</c:v>
                </c:pt>
                <c:pt idx="62">
                  <c:v>2.3235039179579444E-2</c:v>
                </c:pt>
                <c:pt idx="63">
                  <c:v>1.285791322987721E-2</c:v>
                </c:pt>
                <c:pt idx="64">
                  <c:v>5.565742264736849E-3</c:v>
                </c:pt>
                <c:pt idx="65">
                  <c:v>1.3015247391650175E-3</c:v>
                </c:pt>
                <c:pt idx="66">
                  <c:v>4.7518853920550857E-6</c:v>
                </c:pt>
                <c:pt idx="67">
                  <c:v>1.6127422814180958E-3</c:v>
                </c:pt>
                <c:pt idx="68">
                  <c:v>6.0614314582425775E-3</c:v>
                </c:pt>
                <c:pt idx="69">
                  <c:v>1.3285692182233808E-2</c:v>
                </c:pt>
                <c:pt idx="70">
                  <c:v>2.3219256467767346E-2</c:v>
                </c:pt>
                <c:pt idx="71">
                  <c:v>3.5794304722051105E-2</c:v>
                </c:pt>
                <c:pt idx="72">
                  <c:v>5.0940781755596798E-2</c:v>
                </c:pt>
              </c:numCache>
            </c:numRef>
          </c:xVal>
          <c:yVal>
            <c:numRef>
              <c:f>'Mark II'!$M$15:$M$87</c:f>
              <c:numCache>
                <c:formatCode>General</c:formatCode>
                <c:ptCount val="73"/>
                <c:pt idx="0">
                  <c:v>5940</c:v>
                </c:pt>
                <c:pt idx="1">
                  <c:v>6360</c:v>
                </c:pt>
                <c:pt idx="2">
                  <c:v>6780</c:v>
                </c:pt>
                <c:pt idx="3">
                  <c:v>7200</c:v>
                </c:pt>
                <c:pt idx="4">
                  <c:v>7640</c:v>
                </c:pt>
                <c:pt idx="5">
                  <c:v>8100</c:v>
                </c:pt>
                <c:pt idx="6">
                  <c:v>8540</c:v>
                </c:pt>
                <c:pt idx="7">
                  <c:v>8160</c:v>
                </c:pt>
                <c:pt idx="8">
                  <c:v>7800</c:v>
                </c:pt>
                <c:pt idx="9">
                  <c:v>7420</c:v>
                </c:pt>
                <c:pt idx="10">
                  <c:v>7420</c:v>
                </c:pt>
                <c:pt idx="11">
                  <c:v>7420</c:v>
                </c:pt>
                <c:pt idx="12">
                  <c:v>7420</c:v>
                </c:pt>
                <c:pt idx="13">
                  <c:v>7660</c:v>
                </c:pt>
                <c:pt idx="14">
                  <c:v>7920</c:v>
                </c:pt>
                <c:pt idx="15">
                  <c:v>8160</c:v>
                </c:pt>
                <c:pt idx="16">
                  <c:v>7920</c:v>
                </c:pt>
                <c:pt idx="17">
                  <c:v>7680</c:v>
                </c:pt>
                <c:pt idx="18">
                  <c:v>7420</c:v>
                </c:pt>
                <c:pt idx="19">
                  <c:v>7240</c:v>
                </c:pt>
                <c:pt idx="20">
                  <c:v>7060</c:v>
                </c:pt>
                <c:pt idx="21">
                  <c:v>6860</c:v>
                </c:pt>
                <c:pt idx="22">
                  <c:v>7000</c:v>
                </c:pt>
                <c:pt idx="23">
                  <c:v>7120</c:v>
                </c:pt>
                <c:pt idx="24">
                  <c:v>7240</c:v>
                </c:pt>
                <c:pt idx="25">
                  <c:v>7200</c:v>
                </c:pt>
                <c:pt idx="26">
                  <c:v>7120</c:v>
                </c:pt>
                <c:pt idx="27">
                  <c:v>7060</c:v>
                </c:pt>
                <c:pt idx="28">
                  <c:v>6740</c:v>
                </c:pt>
                <c:pt idx="29">
                  <c:v>6440</c:v>
                </c:pt>
                <c:pt idx="30">
                  <c:v>6120</c:v>
                </c:pt>
                <c:pt idx="31">
                  <c:v>6020</c:v>
                </c:pt>
                <c:pt idx="32">
                  <c:v>5920</c:v>
                </c:pt>
                <c:pt idx="33">
                  <c:v>5820</c:v>
                </c:pt>
                <c:pt idx="34">
                  <c:v>5440</c:v>
                </c:pt>
                <c:pt idx="35">
                  <c:v>5040</c:v>
                </c:pt>
                <c:pt idx="36">
                  <c:v>4640</c:v>
                </c:pt>
                <c:pt idx="37">
                  <c:v>4000</c:v>
                </c:pt>
                <c:pt idx="38">
                  <c:v>3400</c:v>
                </c:pt>
                <c:pt idx="39">
                  <c:v>2800</c:v>
                </c:pt>
                <c:pt idx="40">
                  <c:v>2420</c:v>
                </c:pt>
                <c:pt idx="41">
                  <c:v>2040</c:v>
                </c:pt>
                <c:pt idx="42">
                  <c:v>1680</c:v>
                </c:pt>
                <c:pt idx="43">
                  <c:v>2100</c:v>
                </c:pt>
                <c:pt idx="44">
                  <c:v>2540</c:v>
                </c:pt>
                <c:pt idx="45">
                  <c:v>2980</c:v>
                </c:pt>
                <c:pt idx="46">
                  <c:v>3020</c:v>
                </c:pt>
                <c:pt idx="47">
                  <c:v>3080</c:v>
                </c:pt>
                <c:pt idx="48">
                  <c:v>3120</c:v>
                </c:pt>
                <c:pt idx="49">
                  <c:v>3060</c:v>
                </c:pt>
                <c:pt idx="50">
                  <c:v>3020</c:v>
                </c:pt>
                <c:pt idx="51">
                  <c:v>2980</c:v>
                </c:pt>
                <c:pt idx="52">
                  <c:v>3100</c:v>
                </c:pt>
                <c:pt idx="53">
                  <c:v>3220</c:v>
                </c:pt>
                <c:pt idx="54">
                  <c:v>3340</c:v>
                </c:pt>
                <c:pt idx="55">
                  <c:v>3460</c:v>
                </c:pt>
                <c:pt idx="56">
                  <c:v>3600</c:v>
                </c:pt>
                <c:pt idx="57">
                  <c:v>3720</c:v>
                </c:pt>
                <c:pt idx="58">
                  <c:v>3560</c:v>
                </c:pt>
                <c:pt idx="59">
                  <c:v>3600</c:v>
                </c:pt>
                <c:pt idx="60">
                  <c:v>3520</c:v>
                </c:pt>
                <c:pt idx="61">
                  <c:v>3580</c:v>
                </c:pt>
                <c:pt idx="62">
                  <c:v>3560</c:v>
                </c:pt>
                <c:pt idx="63">
                  <c:v>3720</c:v>
                </c:pt>
                <c:pt idx="64">
                  <c:v>3900</c:v>
                </c:pt>
                <c:pt idx="65">
                  <c:v>4080</c:v>
                </c:pt>
                <c:pt idx="66">
                  <c:v>4280</c:v>
                </c:pt>
                <c:pt idx="67">
                  <c:v>4460</c:v>
                </c:pt>
                <c:pt idx="68">
                  <c:v>4640</c:v>
                </c:pt>
                <c:pt idx="69">
                  <c:v>4820</c:v>
                </c:pt>
                <c:pt idx="70">
                  <c:v>5200</c:v>
                </c:pt>
                <c:pt idx="71">
                  <c:v>5560</c:v>
                </c:pt>
                <c:pt idx="72">
                  <c:v>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D-452A-B73E-4ADB2EF24256}"/>
            </c:ext>
          </c:extLst>
        </c:ser>
        <c:ser>
          <c:idx val="1"/>
          <c:order val="1"/>
          <c:tx>
            <c:v>Permissible Load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'Mark II'!$B$15:$B$87</c:f>
              <c:numCache>
                <c:formatCode>0.000</c:formatCode>
                <c:ptCount val="73"/>
                <c:pt idx="0">
                  <c:v>5.0940781755596409E-2</c:v>
                </c:pt>
                <c:pt idx="1">
                  <c:v>6.8585494314282069E-2</c:v>
                </c:pt>
                <c:pt idx="2">
                  <c:v>8.8651040563654485E-2</c:v>
                </c:pt>
                <c:pt idx="3">
                  <c:v>0.11105461859150867</c:v>
                </c:pt>
                <c:pt idx="4">
                  <c:v>0.13570675832636475</c:v>
                </c:pt>
                <c:pt idx="5">
                  <c:v>0.16251001902802992</c:v>
                </c:pt>
                <c:pt idx="6">
                  <c:v>0.19135769237814765</c:v>
                </c:pt>
                <c:pt idx="7">
                  <c:v>0.22213254887836073</c:v>
                </c:pt>
                <c:pt idx="8">
                  <c:v>0.25470566250167848</c:v>
                </c:pt>
                <c:pt idx="9">
                  <c:v>0.28893534518309638</c:v>
                </c:pt>
                <c:pt idx="10">
                  <c:v>0.32466621874375085</c:v>
                </c:pt>
                <c:pt idx="11">
                  <c:v>0.36172844731852444</c:v>
                </c:pt>
                <c:pt idx="12">
                  <c:v>0.39993714853035711</c:v>
                </c:pt>
                <c:pt idx="13">
                  <c:v>0.43909199686621098</c:v>
                </c:pt>
                <c:pt idx="14">
                  <c:v>0.47897702837614958</c:v>
                </c:pt>
                <c:pt idx="15">
                  <c:v>0.51936065238480622</c:v>
                </c:pt>
                <c:pt idx="16">
                  <c:v>0.55999587380133042</c:v>
                </c:pt>
                <c:pt idx="17">
                  <c:v>0.60062072920087073</c:v>
                </c:pt>
                <c:pt idx="18">
                  <c:v>0.6409589413824921</c:v>
                </c:pt>
                <c:pt idx="19">
                  <c:v>0.68072080070342711</c:v>
                </c:pt>
                <c:pt idx="20">
                  <c:v>0.71960428711009461</c:v>
                </c:pt>
                <c:pt idx="21">
                  <c:v>0.75729645422590919</c:v>
                </c:pt>
                <c:pt idx="22">
                  <c:v>0.7934751057297218</c:v>
                </c:pt>
                <c:pt idx="23">
                  <c:v>0.82781080398902451</c:v>
                </c:pt>
                <c:pt idx="24">
                  <c:v>0.85996926070598445</c:v>
                </c:pt>
                <c:pt idx="25">
                  <c:v>0.8896141681497467</c:v>
                </c:pt>
                <c:pt idx="26">
                  <c:v>0.91641053604934619</c:v>
                </c:pt>
                <c:pt idx="27">
                  <c:v>0.94002860173335145</c:v>
                </c:pt>
                <c:pt idx="28">
                  <c:v>0.96014837758003246</c:v>
                </c:pt>
                <c:pt idx="29">
                  <c:v>0.97646488788167873</c:v>
                </c:pt>
                <c:pt idx="30">
                  <c:v>0.98869412415783142</c:v>
                </c:pt>
                <c:pt idx="31">
                  <c:v>0.99657971105917587</c:v>
                </c:pt>
                <c:pt idx="32">
                  <c:v>0.99990022193322969</c:v>
                </c:pt>
                <c:pt idx="33">
                  <c:v>0.99847701252336263</c:v>
                </c:pt>
                <c:pt idx="34">
                  <c:v>0.99218235367717533</c:v>
                </c:pt>
                <c:pt idx="35">
                  <c:v>0.98094754284337371</c:v>
                </c:pt>
                <c:pt idx="36">
                  <c:v>0.96477056708995312</c:v>
                </c:pt>
                <c:pt idx="37">
                  <c:v>0.94372278979750313</c:v>
                </c:pt>
                <c:pt idx="38">
                  <c:v>0.91795405639231897</c:v>
                </c:pt>
                <c:pt idx="39">
                  <c:v>0.88769558244642743</c:v>
                </c:pt>
                <c:pt idx="40">
                  <c:v>0.85326002175163684</c:v>
                </c:pt>
                <c:pt idx="41">
                  <c:v>0.81503822986887642</c:v>
                </c:pt>
                <c:pt idx="42">
                  <c:v>0.77349244709905685</c:v>
                </c:pt>
                <c:pt idx="43">
                  <c:v>0.72914591458767064</c:v>
                </c:pt>
                <c:pt idx="44">
                  <c:v>0.68256927966142922</c:v>
                </c:pt>
                <c:pt idx="45">
                  <c:v>0.63436449477485179</c:v>
                </c:pt>
                <c:pt idx="46">
                  <c:v>0.58514721127652614</c:v>
                </c:pt>
                <c:pt idx="47">
                  <c:v>0.53552885914228254</c:v>
                </c:pt>
                <c:pt idx="48">
                  <c:v>0.48609964766301472</c:v>
                </c:pt>
                <c:pt idx="49">
                  <c:v>0.43741360826854492</c:v>
                </c:pt>
                <c:pt idx="50">
                  <c:v>0.38997654942937748</c:v>
                </c:pt>
                <c:pt idx="51">
                  <c:v>0.34423745183644217</c:v>
                </c:pt>
                <c:pt idx="52">
                  <c:v>0.30058346093349181</c:v>
                </c:pt>
                <c:pt idx="53">
                  <c:v>0.25933829315995582</c:v>
                </c:pt>
                <c:pt idx="54">
                  <c:v>0.22076360717464188</c:v>
                </c:pt>
                <c:pt idx="55">
                  <c:v>0.18506272528356033</c:v>
                </c:pt>
                <c:pt idx="56">
                  <c:v>0.15238602463623407</c:v>
                </c:pt>
                <c:pt idx="57">
                  <c:v>0.12283733692293</c:v>
                </c:pt>
                <c:pt idx="58">
                  <c:v>9.648077449869584E-2</c:v>
                </c:pt>
                <c:pt idx="59">
                  <c:v>7.3347513430373032E-2</c:v>
                </c:pt>
                <c:pt idx="60">
                  <c:v>5.3442186758279789E-2</c:v>
                </c:pt>
                <c:pt idx="61">
                  <c:v>3.6748657374410472E-2</c:v>
                </c:pt>
                <c:pt idx="62">
                  <c:v>2.3235039179579444E-2</c:v>
                </c:pt>
                <c:pt idx="63">
                  <c:v>1.285791322987721E-2</c:v>
                </c:pt>
                <c:pt idx="64">
                  <c:v>5.565742264736849E-3</c:v>
                </c:pt>
                <c:pt idx="65">
                  <c:v>1.3015247391650175E-3</c:v>
                </c:pt>
                <c:pt idx="66">
                  <c:v>4.7518853920550857E-6</c:v>
                </c:pt>
                <c:pt idx="67">
                  <c:v>1.6127422814180958E-3</c:v>
                </c:pt>
                <c:pt idx="68">
                  <c:v>6.0614314582425775E-3</c:v>
                </c:pt>
                <c:pt idx="69">
                  <c:v>1.3285692182233808E-2</c:v>
                </c:pt>
                <c:pt idx="70">
                  <c:v>2.3219256467767346E-2</c:v>
                </c:pt>
                <c:pt idx="71">
                  <c:v>3.5794304722051105E-2</c:v>
                </c:pt>
                <c:pt idx="72">
                  <c:v>5.0940781755596798E-2</c:v>
                </c:pt>
              </c:numCache>
            </c:numRef>
          </c:xVal>
          <c:yVal>
            <c:numRef>
              <c:f>'Mark II'!$Q$15:$Q$87</c:f>
              <c:numCache>
                <c:formatCode>General</c:formatCode>
                <c:ptCount val="73"/>
                <c:pt idx="0">
                  <c:v>22810.342266186599</c:v>
                </c:pt>
                <c:pt idx="1">
                  <c:v>20859.089739617091</c:v>
                </c:pt>
                <c:pt idx="2">
                  <c:v>19385.225895090509</c:v>
                </c:pt>
                <c:pt idx="3">
                  <c:v>18226.93200605801</c:v>
                </c:pt>
                <c:pt idx="4">
                  <c:v>17287.483152002595</c:v>
                </c:pt>
                <c:pt idx="5">
                  <c:v>16505.864622073346</c:v>
                </c:pt>
                <c:pt idx="6">
                  <c:v>15842.001502261541</c:v>
                </c:pt>
                <c:pt idx="7">
                  <c:v>15268.770611234409</c:v>
                </c:pt>
                <c:pt idx="8">
                  <c:v>14767.421507890989</c:v>
                </c:pt>
                <c:pt idx="9">
                  <c:v>14324.826526926285</c:v>
                </c:pt>
                <c:pt idx="10">
                  <c:v>13931.768055563625</c:v>
                </c:pt>
                <c:pt idx="11">
                  <c:v>13581.843845760253</c:v>
                </c:pt>
                <c:pt idx="12">
                  <c:v>13270.758442829992</c:v>
                </c:pt>
                <c:pt idx="13">
                  <c:v>12995.868305604065</c:v>
                </c:pt>
                <c:pt idx="14">
                  <c:v>12755.904074308128</c:v>
                </c:pt>
                <c:pt idx="15">
                  <c:v>12550.827049251928</c:v>
                </c:pt>
                <c:pt idx="16">
                  <c:v>12381.799365772114</c:v>
                </c:pt>
                <c:pt idx="17">
                  <c:v>12251.265057433409</c:v>
                </c:pt>
                <c:pt idx="18">
                  <c:v>12163.15688548742</c:v>
                </c:pt>
                <c:pt idx="19">
                  <c:v>12123.266284008525</c:v>
                </c:pt>
                <c:pt idx="20">
                  <c:v>12139.847949506982</c:v>
                </c:pt>
                <c:pt idx="21">
                  <c:v>12224.58887126455</c:v>
                </c:pt>
                <c:pt idx="22">
                  <c:v>12394.17884280798</c:v>
                </c:pt>
                <c:pt idx="23">
                  <c:v>12672.929808007771</c:v>
                </c:pt>
                <c:pt idx="24">
                  <c:v>13097.331031885675</c:v>
                </c:pt>
                <c:pt idx="25">
                  <c:v>13724.414819505253</c:v>
                </c:pt>
                <c:pt idx="26">
                  <c:v>14648.22708044852</c:v>
                </c:pt>
                <c:pt idx="27">
                  <c:v>16035.299879735754</c:v>
                </c:pt>
                <c:pt idx="28">
                  <c:v>18210.758843511303</c:v>
                </c:pt>
                <c:pt idx="29">
                  <c:v>21905.669471744452</c:v>
                </c:pt>
                <c:pt idx="30">
                  <c:v>29177.591499918763</c:v>
                </c:pt>
                <c:pt idx="31">
                  <c:v>29800</c:v>
                </c:pt>
                <c:pt idx="32">
                  <c:v>29800</c:v>
                </c:pt>
                <c:pt idx="33">
                  <c:v>-62168.48921568536</c:v>
                </c:pt>
                <c:pt idx="34">
                  <c:v>-25248.783028452923</c:v>
                </c:pt>
                <c:pt idx="35">
                  <c:v>-14879.399524763161</c:v>
                </c:pt>
                <c:pt idx="36">
                  <c:v>-10068.008852728832</c:v>
                </c:pt>
                <c:pt idx="37">
                  <c:v>-7332.5856115824099</c:v>
                </c:pt>
                <c:pt idx="38">
                  <c:v>-5594.499392676933</c:v>
                </c:pt>
                <c:pt idx="39">
                  <c:v>-4410.2179552739399</c:v>
                </c:pt>
                <c:pt idx="40">
                  <c:v>-3564.0641127002946</c:v>
                </c:pt>
                <c:pt idx="41">
                  <c:v>-2938.8132878920296</c:v>
                </c:pt>
                <c:pt idx="42">
                  <c:v>-2465.5877587900177</c:v>
                </c:pt>
                <c:pt idx="43">
                  <c:v>-2101.6367908607326</c:v>
                </c:pt>
                <c:pt idx="44">
                  <c:v>-1819.4617329526702</c:v>
                </c:pt>
                <c:pt idx="45">
                  <c:v>-1601.0889655909177</c:v>
                </c:pt>
                <c:pt idx="46">
                  <c:v>-1434.8900864553725</c:v>
                </c:pt>
                <c:pt idx="47">
                  <c:v>-1313.7588498262605</c:v>
                </c:pt>
                <c:pt idx="48">
                  <c:v>-1234.0631608748661</c:v>
                </c:pt>
                <c:pt idx="49">
                  <c:v>-1195.0762794710408</c:v>
                </c:pt>
                <c:pt idx="50">
                  <c:v>-1198.7378108552455</c:v>
                </c:pt>
                <c:pt idx="51">
                  <c:v>-1249.6795181055447</c:v>
                </c:pt>
                <c:pt idx="52">
                  <c:v>-1355.5102939397225</c:v>
                </c:pt>
                <c:pt idx="53">
                  <c:v>-1527.4105045959168</c:v>
                </c:pt>
                <c:pt idx="54">
                  <c:v>-1781.1575393664605</c:v>
                </c:pt>
                <c:pt idx="55">
                  <c:v>-2138.8185747411385</c:v>
                </c:pt>
                <c:pt idx="56">
                  <c:v>-2631.553441681473</c:v>
                </c:pt>
                <c:pt idx="57">
                  <c:v>-3304.3783060259375</c:v>
                </c:pt>
                <c:pt idx="58">
                  <c:v>-4224.6056252346698</c:v>
                </c:pt>
                <c:pt idx="59">
                  <c:v>-5497.6577569100409</c:v>
                </c:pt>
                <c:pt idx="60">
                  <c:v>-7298.9320630584816</c:v>
                </c:pt>
                <c:pt idx="61">
                  <c:v>-9944.4420948959651</c:v>
                </c:pt>
                <c:pt idx="62">
                  <c:v>-14069.067868820028</c:v>
                </c:pt>
                <c:pt idx="63">
                  <c:v>-21168.368003493353</c:v>
                </c:pt>
                <c:pt idx="64">
                  <c:v>-35813.844175020495</c:v>
                </c:pt>
                <c:pt idx="65">
                  <c:v>-81966.139162533509</c:v>
                </c:pt>
                <c:pt idx="66">
                  <c:v>29800</c:v>
                </c:pt>
                <c:pt idx="67">
                  <c:v>29800</c:v>
                </c:pt>
                <c:pt idx="68">
                  <c:v>29800</c:v>
                </c:pt>
                <c:pt idx="69">
                  <c:v>29800</c:v>
                </c:pt>
                <c:pt idx="70">
                  <c:v>29597.997075115898</c:v>
                </c:pt>
                <c:pt idx="71">
                  <c:v>25530.114031351815</c:v>
                </c:pt>
                <c:pt idx="72">
                  <c:v>22810.34226618661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D-452A-B73E-4ADB2EF2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82736"/>
        <c:axId val="1"/>
      </c:scatterChart>
      <c:valAx>
        <c:axId val="3068827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Dimensionless Polished Rod Position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Polished Rod Load (lbf)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882736"/>
        <c:crosses val="autoZero"/>
        <c:crossBetween val="midCat"/>
        <c:maj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Polished Rod Motion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Air Balanced Unit</a:t>
            </a:r>
          </a:p>
        </c:rich>
      </c:tx>
      <c:layout>
        <c:manualLayout>
          <c:xMode val="edge"/>
          <c:yMode val="edge"/>
          <c:x val="0.360488798370672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0957230142567"/>
          <c:y val="0.230769624756926"/>
          <c:w val="0.58859470468431774"/>
          <c:h val="0.59790311868839918"/>
        </c:manualLayout>
      </c:layout>
      <c:scatterChart>
        <c:scatterStyle val="lineMarker"/>
        <c:varyColors val="0"/>
        <c:ser>
          <c:idx val="0"/>
          <c:order val="0"/>
          <c:tx>
            <c:v>Position (unitless)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'Air Balanced'!$A$15:$A$87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'Air Balanced'!$B$15:$B$87</c:f>
              <c:numCache>
                <c:formatCode>0.000</c:formatCode>
                <c:ptCount val="73"/>
                <c:pt idx="0">
                  <c:v>9.357710904757864E-6</c:v>
                </c:pt>
                <c:pt idx="1">
                  <c:v>1.9222427444285709E-3</c:v>
                </c:pt>
                <c:pt idx="2">
                  <c:v>7.126097906373351E-3</c:v>
                </c:pt>
                <c:pt idx="3">
                  <c:v>1.5557628667340553E-2</c:v>
                </c:pt>
                <c:pt idx="4">
                  <c:v>2.7140451462119658E-2</c:v>
                </c:pt>
                <c:pt idx="5">
                  <c:v>4.1787267963067351E-2</c:v>
                </c:pt>
                <c:pt idx="6">
                  <c:v>5.9401618095665486E-2</c:v>
                </c:pt>
                <c:pt idx="7">
                  <c:v>7.9879131350294785E-2</c:v>
                </c:pt>
                <c:pt idx="8">
                  <c:v>0.10310822874428523</c:v>
                </c:pt>
                <c:pt idx="9">
                  <c:v>0.12897025703566645</c:v>
                </c:pt>
                <c:pt idx="10">
                  <c:v>0.15733906179460536</c:v>
                </c:pt>
                <c:pt idx="11">
                  <c:v>0.18808002717893793</c:v>
                </c:pt>
                <c:pt idx="12">
                  <c:v>0.22104862900966674</c:v>
                </c:pt>
                <c:pt idx="13">
                  <c:v>0.25608856567531252</c:v>
                </c:pt>
                <c:pt idx="14">
                  <c:v>0.29302955021880001</c:v>
                </c:pt>
                <c:pt idx="15">
                  <c:v>0.33168486808969694</c:v>
                </c:pt>
                <c:pt idx="16">
                  <c:v>0.37184882929083951</c:v>
                </c:pt>
                <c:pt idx="17">
                  <c:v>0.41329427093238419</c:v>
                </c:pt>
                <c:pt idx="18">
                  <c:v>0.45577029527683466</c:v>
                </c:pt>
                <c:pt idx="19">
                  <c:v>0.49900045655385589</c:v>
                </c:pt>
                <c:pt idx="20">
                  <c:v>0.54268163294238358</c:v>
                </c:pt>
                <c:pt idx="21">
                  <c:v>0.58648383250402503</c:v>
                </c:pt>
                <c:pt idx="22">
                  <c:v>0.63005117682681933</c:v>
                </c:pt>
                <c:pt idx="23">
                  <c:v>0.67300427688861986</c:v>
                </c:pt>
                <c:pt idx="24">
                  <c:v>0.71494415661957844</c:v>
                </c:pt>
                <c:pt idx="25">
                  <c:v>0.75545778832328736</c:v>
                </c:pt>
                <c:pt idx="26">
                  <c:v>0.79412518290304068</c:v>
                </c:pt>
                <c:pt idx="27">
                  <c:v>0.83052783544004338</c:v>
                </c:pt>
                <c:pt idx="28">
                  <c:v>0.86425817837951546</c:v>
                </c:pt>
                <c:pt idx="29">
                  <c:v>0.89492956087636544</c:v>
                </c:pt>
                <c:pt idx="30">
                  <c:v>0.92218617611935627</c:v>
                </c:pt>
                <c:pt idx="31">
                  <c:v>0.94571231829842717</c:v>
                </c:pt>
                <c:pt idx="32">
                  <c:v>0.96524037916814442</c:v>
                </c:pt>
                <c:pt idx="33">
                  <c:v>0.98055709130155944</c:v>
                </c:pt>
                <c:pt idx="34">
                  <c:v>0.9915076789986238</c:v>
                </c:pt>
                <c:pt idx="35">
                  <c:v>0.99799776591183642</c:v>
                </c:pt>
                <c:pt idx="36">
                  <c:v>0.99999308280327592</c:v>
                </c:pt>
                <c:pt idx="37">
                  <c:v>0.99751719216342016</c:v>
                </c:pt>
                <c:pt idx="38">
                  <c:v>0.99064757765955813</c:v>
                </c:pt>
                <c:pt idx="39">
                  <c:v>0.97951052416503837</c:v>
                </c:pt>
                <c:pt idx="40">
                  <c:v>0.96427523738894882</c:v>
                </c:pt>
                <c:pt idx="41">
                  <c:v>0.94514762832800792</c:v>
                </c:pt>
                <c:pt idx="42">
                  <c:v>0.92236412960165681</c:v>
                </c:pt>
                <c:pt idx="43">
                  <c:v>0.89618583263107721</c:v>
                </c:pt>
                <c:pt idx="44">
                  <c:v>0.86689314983511667</c:v>
                </c:pt>
                <c:pt idx="45">
                  <c:v>0.8347811248356799</c:v>
                </c:pt>
                <c:pt idx="46">
                  <c:v>0.80015544277481732</c:v>
                </c:pt>
                <c:pt idx="47">
                  <c:v>0.76332913553233406</c:v>
                </c:pt>
                <c:pt idx="48">
                  <c:v>0.72461993350865972</c:v>
                </c:pt>
                <c:pt idx="49">
                  <c:v>0.68434818554127208</c:v>
                </c:pt>
                <c:pt idx="50">
                  <c:v>0.64283524936437852</c:v>
                </c:pt>
                <c:pt idx="51">
                  <c:v>0.6004022444581979</c:v>
                </c:pt>
                <c:pt idx="52">
                  <c:v>0.55736905503948464</c:v>
                </c:pt>
                <c:pt idx="53">
                  <c:v>0.51405347168873183</c:v>
                </c:pt>
                <c:pt idx="54">
                  <c:v>0.47077036468530403</c:v>
                </c:pt>
                <c:pt idx="55">
                  <c:v>0.42783079015832354</c:v>
                </c:pt>
                <c:pt idx="56">
                  <c:v>0.38554094183906878</c:v>
                </c:pt>
                <c:pt idx="57">
                  <c:v>0.34420087708501762</c:v>
                </c:pt>
                <c:pt idx="58">
                  <c:v>0.30410296663464348</c:v>
                </c:pt>
                <c:pt idx="59">
                  <c:v>0.26553004374605438</c:v>
                </c:pt>
                <c:pt idx="60">
                  <c:v>0.22875325988398043</c:v>
                </c:pt>
                <c:pt idx="61">
                  <c:v>0.19402968988130662</c:v>
                </c:pt>
                <c:pt idx="62">
                  <c:v>0.16159976716567767</c:v>
                </c:pt>
                <c:pt idx="63">
                  <c:v>0.13168466550157173</c:v>
                </c:pt>
                <c:pt idx="64">
                  <c:v>0.1044837729541756</c:v>
                </c:pt>
                <c:pt idx="65">
                  <c:v>8.01724212266888E-2</c:v>
                </c:pt>
                <c:pt idx="66">
                  <c:v>5.8900034593927821E-2</c:v>
                </c:pt>
                <c:pt idx="67">
                  <c:v>4.0788844640921813E-2</c:v>
                </c:pt>
                <c:pt idx="68">
                  <c:v>2.5933280079147466E-2</c:v>
                </c:pt>
                <c:pt idx="69">
                  <c:v>1.4400088553077908E-2</c:v>
                </c:pt>
                <c:pt idx="70">
                  <c:v>6.2291860392133655E-3</c:v>
                </c:pt>
                <c:pt idx="71">
                  <c:v>1.4351674467253466E-3</c:v>
                </c:pt>
                <c:pt idx="72">
                  <c:v>9.357710904757864E-6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8ED-AB09-D35547384042}"/>
            </c:ext>
          </c:extLst>
        </c:ser>
        <c:ser>
          <c:idx val="1"/>
          <c:order val="1"/>
          <c:tx>
            <c:v>Velocity (ft/sec)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'Air Balanced'!$A$15:$A$87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'Air Balanced'!$J$15:$J$87</c:f>
              <c:numCache>
                <c:formatCode>General</c:formatCode>
                <c:ptCount val="73"/>
                <c:pt idx="0">
                  <c:v>-8.9496573694353168E-2</c:v>
                </c:pt>
                <c:pt idx="1">
                  <c:v>0.1200697765421424</c:v>
                </c:pt>
                <c:pt idx="2">
                  <c:v>0.32664050139038614</c:v>
                </c:pt>
                <c:pt idx="3">
                  <c:v>0.52923829536822464</c:v>
                </c:pt>
                <c:pt idx="4">
                  <c:v>0.72704157349927201</c:v>
                </c:pt>
                <c:pt idx="5">
                  <c:v>0.91936522765452466</c:v>
                </c:pt>
                <c:pt idx="6">
                  <c:v>1.1056341846431126</c:v>
                </c:pt>
                <c:pt idx="7">
                  <c:v>1.2853519147947747</c:v>
                </c:pt>
                <c:pt idx="8">
                  <c:v>1.4580659498569761</c:v>
                </c:pt>
                <c:pt idx="9">
                  <c:v>1.6233322460327848</c:v>
                </c:pt>
                <c:pt idx="10">
                  <c:v>1.7806799616695601</c:v>
                </c:pt>
                <c:pt idx="11">
                  <c:v>1.9295779828373045</c:v>
                </c:pt>
                <c:pt idx="12">
                  <c:v>2.0694043736806726</c:v>
                </c:pt>
                <c:pt idx="13">
                  <c:v>2.1994198771813083</c:v>
                </c:pt>
                <c:pt idx="14">
                  <c:v>2.3187466479427914</c:v>
                </c:pt>
                <c:pt idx="15">
                  <c:v>2.4263535432519241</c:v>
                </c:pt>
                <c:pt idx="16">
                  <c:v>2.5210494943257284</c:v>
                </c:pt>
                <c:pt idx="17">
                  <c:v>2.6014866703324677</c:v>
                </c:pt>
                <c:pt idx="18">
                  <c:v>2.6661752599118143</c:v>
                </c:pt>
                <c:pt idx="19">
                  <c:v>2.7135116399812103</c:v>
                </c:pt>
                <c:pt idx="20">
                  <c:v>2.7418213829645399</c:v>
                </c:pt>
                <c:pt idx="21">
                  <c:v>2.7494178799298625</c:v>
                </c:pt>
                <c:pt idx="22">
                  <c:v>2.7346762642269251</c:v>
                </c:pt>
                <c:pt idx="23">
                  <c:v>2.6961207996447349</c:v>
                </c:pt>
                <c:pt idx="24">
                  <c:v>2.6325220278523531</c:v>
                </c:pt>
                <c:pt idx="25">
                  <c:v>2.5429979430671503</c:v>
                </c:pt>
                <c:pt idx="26">
                  <c:v>2.4271115855327419</c:v>
                </c:pt>
                <c:pt idx="27">
                  <c:v>2.2849561155316138</c:v>
                </c:pt>
                <c:pt idx="28">
                  <c:v>2.1172180598703232</c:v>
                </c:pt>
                <c:pt idx="29">
                  <c:v>1.9252103383606189</c:v>
                </c:pt>
                <c:pt idx="30">
                  <c:v>1.7108689984845997</c:v>
                </c:pt>
                <c:pt idx="31">
                  <c:v>1.4767111378021931</c:v>
                </c:pt>
                <c:pt idx="32">
                  <c:v>1.2257557897292715</c:v>
                </c:pt>
                <c:pt idx="33">
                  <c:v>0.96141387014337265</c:v>
                </c:pt>
                <c:pt idx="34">
                  <c:v>0.68735684306626854</c:v>
                </c:pt>
                <c:pt idx="35">
                  <c:v>0.40737591217022112</c:v>
                </c:pt>
                <c:pt idx="36">
                  <c:v>0.12524393734451786</c:v>
                </c:pt>
                <c:pt idx="37">
                  <c:v>-0.15540904479901385</c:v>
                </c:pt>
                <c:pt idx="38">
                  <c:v>-0.43119845884826868</c:v>
                </c:pt>
                <c:pt idx="39">
                  <c:v>-0.6990611045565569</c:v>
                </c:pt>
                <c:pt idx="40">
                  <c:v>-0.95630288632178206</c:v>
                </c:pt>
                <c:pt idx="41">
                  <c:v>-1.2006198519426141</c:v>
                </c:pt>
                <c:pt idx="42">
                  <c:v>-1.4300961913439036</c:v>
                </c:pt>
                <c:pt idx="43">
                  <c:v>-1.643184097541428</c:v>
                </c:pt>
                <c:pt idx="44">
                  <c:v>-1.8386708118844453</c:v>
                </c:pt>
                <c:pt idx="45">
                  <c:v>-2.0156379491847267</c:v>
                </c:pt>
                <c:pt idx="46">
                  <c:v>-2.1734175524434458</c:v>
                </c:pt>
                <c:pt idx="47">
                  <c:v>-2.3115484746784705</c:v>
                </c:pt>
                <c:pt idx="48">
                  <c:v>-2.4297357947044502</c:v>
                </c:pt>
                <c:pt idx="49">
                  <c:v>-2.5278151559888369</c:v>
                </c:pt>
                <c:pt idx="50">
                  <c:v>-2.6057232311477438</c:v>
                </c:pt>
                <c:pt idx="51">
                  <c:v>-2.6634749751327957</c:v>
                </c:pt>
                <c:pt idx="52">
                  <c:v>-2.7011479241291587</c:v>
                </c:pt>
                <c:pt idx="53">
                  <c:v>-2.718873493477358</c:v>
                </c:pt>
                <c:pt idx="54">
                  <c:v>-2.7168349873999436</c:v>
                </c:pt>
                <c:pt idx="55">
                  <c:v>-2.6952718160858797</c:v>
                </c:pt>
                <c:pt idx="56">
                  <c:v>-2.6544891871207148</c:v>
                </c:pt>
                <c:pt idx="57">
                  <c:v>-2.5948722742175359</c:v>
                </c:pt>
                <c:pt idx="58">
                  <c:v>-2.5169035583461872</c:v>
                </c:pt>
                <c:pt idx="59">
                  <c:v>-2.4211816970925812</c:v>
                </c:pt>
                <c:pt idx="60">
                  <c:v>-2.3084399443093497</c:v>
                </c:pt>
                <c:pt idx="61">
                  <c:v>-2.1795618753345094</c:v>
                </c:pt>
                <c:pt idx="62">
                  <c:v>-2.0355920536277443</c:v>
                </c:pt>
                <c:pt idx="63">
                  <c:v>-1.8777393879379498</c:v>
                </c:pt>
                <c:pt idx="64">
                  <c:v>-1.7073713436380569</c:v>
                </c:pt>
                <c:pt idx="65">
                  <c:v>-1.5259979132041388</c:v>
                </c:pt>
                <c:pt idx="66">
                  <c:v>-1.3352452785981144</c:v>
                </c:pt>
                <c:pt idx="67">
                  <c:v>-1.1368202962850225</c:v>
                </c:pt>
                <c:pt idx="68">
                  <c:v>-0.93246812332143791</c:v>
                </c:pt>
                <c:pt idx="69">
                  <c:v>-0.72392627109529994</c:v>
                </c:pt>
                <c:pt idx="70">
                  <c:v>-0.5128789351130294</c:v>
                </c:pt>
                <c:pt idx="71">
                  <c:v>-0.30091549207144069</c:v>
                </c:pt>
                <c:pt idx="72">
                  <c:v>-8.9496573694353168E-2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6-48ED-AB09-D35547384042}"/>
            </c:ext>
          </c:extLst>
        </c:ser>
        <c:ser>
          <c:idx val="2"/>
          <c:order val="2"/>
          <c:tx>
            <c:v>Acceleration (ft/sec^2)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'Air Balanced'!$A$15:$A$87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'Air Balanced'!$K$15:$K$87</c:f>
              <c:numCache>
                <c:formatCode>General</c:formatCode>
                <c:ptCount val="73"/>
                <c:pt idx="0">
                  <c:v>1.83180678109033</c:v>
                </c:pt>
                <c:pt idx="1">
                  <c:v>1.8157554886685443</c:v>
                </c:pt>
                <c:pt idx="2">
                  <c:v>1.7898003520992676</c:v>
                </c:pt>
                <c:pt idx="3">
                  <c:v>1.7553775021240776</c:v>
                </c:pt>
                <c:pt idx="4">
                  <c:v>1.7138361551736012</c:v>
                </c:pt>
                <c:pt idx="5">
                  <c:v>1.6663587939528668</c:v>
                </c:pt>
                <c:pt idx="6">
                  <c:v>1.6138987993010976</c:v>
                </c:pt>
                <c:pt idx="7">
                  <c:v>1.5571366995019809</c:v>
                </c:pt>
                <c:pt idx="8">
                  <c:v>1.4964542579492308</c:v>
                </c:pt>
                <c:pt idx="9">
                  <c:v>1.4319244670458882</c:v>
                </c:pt>
                <c:pt idx="10">
                  <c:v>1.3633151408826565</c:v>
                </c:pt>
                <c:pt idx="11">
                  <c:v>1.29010405955972</c:v>
                </c:pt>
                <c:pt idx="12">
                  <c:v>1.211504310439359</c:v>
                </c:pt>
                <c:pt idx="13">
                  <c:v>1.1264993823047991</c:v>
                </c:pt>
                <c:pt idx="14">
                  <c:v>1.0338884974173863</c:v>
                </c:pt>
                <c:pt idx="15">
                  <c:v>0.93234343469571346</c:v>
                </c:pt>
                <c:pt idx="16">
                  <c:v>0.82047853924501069</c:v>
                </c:pt>
                <c:pt idx="17">
                  <c:v>0.69693557034520282</c:v>
                </c:pt>
                <c:pt idx="18">
                  <c:v>0.56048435948983788</c:v>
                </c:pt>
                <c:pt idx="19">
                  <c:v>0.41013880247334583</c:v>
                </c:pt>
                <c:pt idx="20">
                  <c:v>0.24528542462455319</c:v>
                </c:pt>
                <c:pt idx="21">
                  <c:v>6.5818682454853256E-2</c:v>
                </c:pt>
                <c:pt idx="22">
                  <c:v>-0.12772646750895014</c:v>
                </c:pt>
                <c:pt idx="23">
                  <c:v>-0.33405790745639385</c:v>
                </c:pt>
                <c:pt idx="24">
                  <c:v>-0.55104180048121532</c:v>
                </c:pt>
                <c:pt idx="25">
                  <c:v>-0.77566769728688845</c:v>
                </c:pt>
                <c:pt idx="26">
                  <c:v>-1.004079564860709</c:v>
                </c:pt>
                <c:pt idx="27">
                  <c:v>-1.2316842594601516</c:v>
                </c:pt>
                <c:pt idx="28">
                  <c:v>-1.453340647875337</c:v>
                </c:pt>
                <c:pt idx="29">
                  <c:v>-1.6636214440178383</c:v>
                </c:pt>
                <c:pt idx="30">
                  <c:v>-1.8571276537919821</c:v>
                </c:pt>
                <c:pt idx="31">
                  <c:v>-2.0288248579466885</c:v>
                </c:pt>
                <c:pt idx="32">
                  <c:v>-2.1743641102682036</c:v>
                </c:pt>
                <c:pt idx="33">
                  <c:v>-2.2903500052924386</c:v>
                </c:pt>
                <c:pt idx="34">
                  <c:v>-2.3745250635985737</c:v>
                </c:pt>
                <c:pt idx="35">
                  <c:v>-2.4258518193561289</c:v>
                </c:pt>
                <c:pt idx="36">
                  <c:v>-2.4444892094582715</c:v>
                </c:pt>
                <c:pt idx="37">
                  <c:v>-2.4316747042797298</c:v>
                </c:pt>
                <c:pt idx="38">
                  <c:v>-2.3895350647253326</c:v>
                </c:pt>
                <c:pt idx="39">
                  <c:v>-2.3208547966084736</c:v>
                </c:pt>
                <c:pt idx="40">
                  <c:v>-2.2288319504919305</c:v>
                </c:pt>
                <c:pt idx="41">
                  <c:v>-2.116846864013449</c:v>
                </c:pt>
                <c:pt idx="42">
                  <c:v>-1.9882625350741754</c:v>
                </c:pt>
                <c:pt idx="43">
                  <c:v>-1.846267469994151</c:v>
                </c:pt>
                <c:pt idx="44">
                  <c:v>-1.6937646436536473</c:v>
                </c:pt>
                <c:pt idx="45">
                  <c:v>-1.5333046097540286</c:v>
                </c:pt>
                <c:pt idx="46">
                  <c:v>-1.3670571649201388</c:v>
                </c:pt>
                <c:pt idx="47">
                  <c:v>-1.1968141828115659</c:v>
                </c:pt>
                <c:pt idx="48">
                  <c:v>-1.0240159013411423</c:v>
                </c:pt>
                <c:pt idx="49">
                  <c:v>-0.84979357791104237</c:v>
                </c:pt>
                <c:pt idx="50">
                  <c:v>-0.67502256407933303</c:v>
                </c:pt>
                <c:pt idx="51">
                  <c:v>-0.50038112513149491</c:v>
                </c:pt>
                <c:pt idx="52">
                  <c:v>-0.32641148656395136</c:v>
                </c:pt>
                <c:pt idx="53">
                  <c:v>-0.15358047605184033</c:v>
                </c:pt>
                <c:pt idx="54">
                  <c:v>1.76623231476443E-2</c:v>
                </c:pt>
                <c:pt idx="55">
                  <c:v>0.18683078949662879</c:v>
                </c:pt>
                <c:pt idx="56">
                  <c:v>0.35335483154745084</c:v>
                </c:pt>
                <c:pt idx="57">
                  <c:v>0.51654159505694452</c:v>
                </c:pt>
                <c:pt idx="58">
                  <c:v>0.67554797622841412</c:v>
                </c:pt>
                <c:pt idx="59">
                  <c:v>0.82936738059646553</c:v>
                </c:pt>
                <c:pt idx="60">
                  <c:v>0.97683361945869596</c:v>
                </c:pt>
                <c:pt idx="61">
                  <c:v>1.1166442553682312</c:v>
                </c:pt>
                <c:pt idx="62">
                  <c:v>1.2474044314446704</c:v>
                </c:pt>
                <c:pt idx="63">
                  <c:v>1.3676902031445053</c:v>
                </c:pt>
                <c:pt idx="64">
                  <c:v>1.4761277809255093</c:v>
                </c:pt>
                <c:pt idx="65">
                  <c:v>1.5714822605698888</c:v>
                </c:pt>
                <c:pt idx="66">
                  <c:v>1.6527469361040397</c:v>
                </c:pt>
                <c:pt idx="67">
                  <c:v>1.7192228156732552</c:v>
                </c:pt>
                <c:pt idx="68">
                  <c:v>1.7705780496784835</c:v>
                </c:pt>
                <c:pt idx="69">
                  <c:v>1.806878882842573</c:v>
                </c:pt>
                <c:pt idx="70">
                  <c:v>1.8285872624408896</c:v>
                </c:pt>
                <c:pt idx="71">
                  <c:v>1.8365247315015845</c:v>
                </c:pt>
                <c:pt idx="72">
                  <c:v>1.83180678109033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6-48ED-AB09-D3554738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32040"/>
        <c:axId val="1"/>
      </c:scatterChart>
      <c:valAx>
        <c:axId val="303232040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(degrees)</a:t>
                </a:r>
              </a:p>
            </c:rich>
          </c:tx>
          <c:layout>
            <c:manualLayout>
              <c:xMode val="edge"/>
              <c:yMode val="edge"/>
              <c:x val="0.27494908350305497"/>
              <c:y val="0.86713433548079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9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2320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74745417515277"/>
          <c:y val="0.41958115375438204"/>
          <c:w val="0.21995926680244404"/>
          <c:h val="0.34032670741332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 Box Torque</a:t>
            </a:r>
          </a:p>
        </c:rich>
      </c:tx>
      <c:layout>
        <c:manualLayout>
          <c:xMode val="edge"/>
          <c:yMode val="edge"/>
          <c:x val="0.36308359021045289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49314771364306"/>
          <c:y val="0.25190886642128313"/>
          <c:w val="0.69371265461842213"/>
          <c:h val="0.5534361459255462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'Air Balanced'!$A$15:$A$87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'Air Balanced'!$P$15:$P$87</c:f>
              <c:numCache>
                <c:formatCode>General</c:formatCode>
                <c:ptCount val="73"/>
                <c:pt idx="0">
                  <c:v>1564.3762962776859</c:v>
                </c:pt>
                <c:pt idx="1">
                  <c:v>-1515.0293940845622</c:v>
                </c:pt>
                <c:pt idx="2">
                  <c:v>-2065.5113375186847</c:v>
                </c:pt>
                <c:pt idx="3">
                  <c:v>-1106.3450745264563</c:v>
                </c:pt>
                <c:pt idx="4">
                  <c:v>1725.4842079005757</c:v>
                </c:pt>
                <c:pt idx="5">
                  <c:v>8144.0248865046742</c:v>
                </c:pt>
                <c:pt idx="6">
                  <c:v>15146.344375141605</c:v>
                </c:pt>
                <c:pt idx="7">
                  <c:v>28558.815085984301</c:v>
                </c:pt>
                <c:pt idx="8">
                  <c:v>45012.772009662469</c:v>
                </c:pt>
                <c:pt idx="9">
                  <c:v>64412.034166684753</c:v>
                </c:pt>
                <c:pt idx="10">
                  <c:v>80616.488764417154</c:v>
                </c:pt>
                <c:pt idx="11">
                  <c:v>101740.02315131723</c:v>
                </c:pt>
                <c:pt idx="12">
                  <c:v>121421.13443366741</c:v>
                </c:pt>
                <c:pt idx="13">
                  <c:v>135166.09459451149</c:v>
                </c:pt>
                <c:pt idx="14">
                  <c:v>149286.1774924515</c:v>
                </c:pt>
                <c:pt idx="15">
                  <c:v>163675.62277895515</c:v>
                </c:pt>
                <c:pt idx="16">
                  <c:v>182218.04897334351</c:v>
                </c:pt>
                <c:pt idx="17">
                  <c:v>204984.36539828771</c:v>
                </c:pt>
                <c:pt idx="18">
                  <c:v>223116.31989779102</c:v>
                </c:pt>
                <c:pt idx="19">
                  <c:v>244715.79604933533</c:v>
                </c:pt>
                <c:pt idx="20">
                  <c:v>260453.20023811545</c:v>
                </c:pt>
                <c:pt idx="21">
                  <c:v>278580.17550119257</c:v>
                </c:pt>
                <c:pt idx="22">
                  <c:v>267493.19640014385</c:v>
                </c:pt>
                <c:pt idx="23">
                  <c:v>258321.84839881826</c:v>
                </c:pt>
                <c:pt idx="24">
                  <c:v>242385.98021219092</c:v>
                </c:pt>
                <c:pt idx="25">
                  <c:v>203979.88079434878</c:v>
                </c:pt>
                <c:pt idx="26">
                  <c:v>161939.91311973587</c:v>
                </c:pt>
                <c:pt idx="27">
                  <c:v>125055.20618825051</c:v>
                </c:pt>
                <c:pt idx="28">
                  <c:v>85343.792679872422</c:v>
                </c:pt>
                <c:pt idx="29">
                  <c:v>67818.674251737713</c:v>
                </c:pt>
                <c:pt idx="30">
                  <c:v>42085.958687718812</c:v>
                </c:pt>
                <c:pt idx="31">
                  <c:v>16251.406259006821</c:v>
                </c:pt>
                <c:pt idx="32">
                  <c:v>-2886.2531619473593</c:v>
                </c:pt>
                <c:pt idx="33">
                  <c:v>-11868.859851795074</c:v>
                </c:pt>
                <c:pt idx="34">
                  <c:v>-15534.169314757826</c:v>
                </c:pt>
                <c:pt idx="35">
                  <c:v>-12236.73696960688</c:v>
                </c:pt>
                <c:pt idx="36">
                  <c:v>-541.08369568229409</c:v>
                </c:pt>
                <c:pt idx="37">
                  <c:v>18078.608394349452</c:v>
                </c:pt>
                <c:pt idx="38">
                  <c:v>42003.503758367442</c:v>
                </c:pt>
                <c:pt idx="39">
                  <c:v>72249.400321538735</c:v>
                </c:pt>
                <c:pt idx="40">
                  <c:v>91991.634222089895</c:v>
                </c:pt>
                <c:pt idx="41">
                  <c:v>111630.35160844943</c:v>
                </c:pt>
                <c:pt idx="42">
                  <c:v>127199.67984630374</c:v>
                </c:pt>
                <c:pt idx="43">
                  <c:v>146143.96761128175</c:v>
                </c:pt>
                <c:pt idx="44">
                  <c:v>164025.59958249662</c:v>
                </c:pt>
                <c:pt idx="45">
                  <c:v>180701.99630375768</c:v>
                </c:pt>
                <c:pt idx="46">
                  <c:v>221596.24486665707</c:v>
                </c:pt>
                <c:pt idx="47">
                  <c:v>260063.30288987167</c:v>
                </c:pt>
                <c:pt idx="48">
                  <c:v>290796.11087709403</c:v>
                </c:pt>
                <c:pt idx="49">
                  <c:v>303845.20456427167</c:v>
                </c:pt>
                <c:pt idx="50">
                  <c:v>297404.76433274039</c:v>
                </c:pt>
                <c:pt idx="51">
                  <c:v>292339.13080336014</c:v>
                </c:pt>
                <c:pt idx="52">
                  <c:v>258241.66166026797</c:v>
                </c:pt>
                <c:pt idx="53">
                  <c:v>221610.1832799055</c:v>
                </c:pt>
                <c:pt idx="54">
                  <c:v>181133.58604217845</c:v>
                </c:pt>
                <c:pt idx="55">
                  <c:v>159491.03019661608</c:v>
                </c:pt>
                <c:pt idx="56">
                  <c:v>137234.21157163559</c:v>
                </c:pt>
                <c:pt idx="57">
                  <c:v>114824.96024959997</c:v>
                </c:pt>
                <c:pt idx="58">
                  <c:v>95937.045225022826</c:v>
                </c:pt>
                <c:pt idx="59">
                  <c:v>77902.473189924349</c:v>
                </c:pt>
                <c:pt idx="60">
                  <c:v>60312.264435020392</c:v>
                </c:pt>
                <c:pt idx="61">
                  <c:v>48018.760084899724</c:v>
                </c:pt>
                <c:pt idx="62">
                  <c:v>33423.215173789475</c:v>
                </c:pt>
                <c:pt idx="63">
                  <c:v>23400.373256244784</c:v>
                </c:pt>
                <c:pt idx="64">
                  <c:v>14671.650936278922</c:v>
                </c:pt>
                <c:pt idx="65">
                  <c:v>5036.0523362820968</c:v>
                </c:pt>
                <c:pt idx="66">
                  <c:v>-396.91996672272217</c:v>
                </c:pt>
                <c:pt idx="67">
                  <c:v>5893.7037093927065</c:v>
                </c:pt>
                <c:pt idx="68">
                  <c:v>11190.329131828272</c:v>
                </c:pt>
                <c:pt idx="69">
                  <c:v>12367.365216294078</c:v>
                </c:pt>
                <c:pt idx="70">
                  <c:v>9111.4301334965494</c:v>
                </c:pt>
                <c:pt idx="71">
                  <c:v>5493.68350331482</c:v>
                </c:pt>
                <c:pt idx="72">
                  <c:v>1564.1271679698912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3-460E-B665-4572EAC7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85792"/>
        <c:axId val="1"/>
      </c:scatterChart>
      <c:valAx>
        <c:axId val="463385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Crank Angle (deg)</a:t>
                </a:r>
              </a:p>
            </c:rich>
          </c:tx>
          <c:layout>
            <c:manualLayout>
              <c:xMode val="edge"/>
              <c:yMode val="edge"/>
              <c:x val="0.4645034685065989"/>
              <c:y val="0.85114664102101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(in-lbf)</a:t>
                </a:r>
              </a:p>
            </c:rich>
          </c:tx>
          <c:layout>
            <c:manualLayout>
              <c:xMode val="edge"/>
              <c:yMode val="edge"/>
              <c:x val="3.2454361054766734E-2"/>
              <c:y val="0.24045841598044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385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Polished</a:t>
            </a:r>
            <a:r>
              <a:rPr lang="en-US" baseline="0"/>
              <a:t> Rod</a:t>
            </a:r>
            <a:r>
              <a:rPr lang="en-US"/>
              <a:t> Dynamometer Card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 Load</c:v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'Air Balanced'!$B$15:$B$87</c:f>
              <c:numCache>
                <c:formatCode>0.000</c:formatCode>
                <c:ptCount val="73"/>
                <c:pt idx="0">
                  <c:v>9.357710904757864E-6</c:v>
                </c:pt>
                <c:pt idx="1">
                  <c:v>1.9222427444285709E-3</c:v>
                </c:pt>
                <c:pt idx="2">
                  <c:v>7.126097906373351E-3</c:v>
                </c:pt>
                <c:pt idx="3">
                  <c:v>1.5557628667340553E-2</c:v>
                </c:pt>
                <c:pt idx="4">
                  <c:v>2.7140451462119658E-2</c:v>
                </c:pt>
                <c:pt idx="5">
                  <c:v>4.1787267963067351E-2</c:v>
                </c:pt>
                <c:pt idx="6">
                  <c:v>5.9401618095665486E-2</c:v>
                </c:pt>
                <c:pt idx="7">
                  <c:v>7.9879131350294785E-2</c:v>
                </c:pt>
                <c:pt idx="8">
                  <c:v>0.10310822874428523</c:v>
                </c:pt>
                <c:pt idx="9">
                  <c:v>0.12897025703566645</c:v>
                </c:pt>
                <c:pt idx="10">
                  <c:v>0.15733906179460536</c:v>
                </c:pt>
                <c:pt idx="11">
                  <c:v>0.18808002717893793</c:v>
                </c:pt>
                <c:pt idx="12">
                  <c:v>0.22104862900966674</c:v>
                </c:pt>
                <c:pt idx="13">
                  <c:v>0.25608856567531252</c:v>
                </c:pt>
                <c:pt idx="14">
                  <c:v>0.29302955021880001</c:v>
                </c:pt>
                <c:pt idx="15">
                  <c:v>0.33168486808969694</c:v>
                </c:pt>
                <c:pt idx="16">
                  <c:v>0.37184882929083951</c:v>
                </c:pt>
                <c:pt idx="17">
                  <c:v>0.41329427093238419</c:v>
                </c:pt>
                <c:pt idx="18">
                  <c:v>0.45577029527683466</c:v>
                </c:pt>
                <c:pt idx="19">
                  <c:v>0.49900045655385589</c:v>
                </c:pt>
                <c:pt idx="20">
                  <c:v>0.54268163294238358</c:v>
                </c:pt>
                <c:pt idx="21">
                  <c:v>0.58648383250402503</c:v>
                </c:pt>
                <c:pt idx="22">
                  <c:v>0.63005117682681933</c:v>
                </c:pt>
                <c:pt idx="23">
                  <c:v>0.67300427688861986</c:v>
                </c:pt>
                <c:pt idx="24">
                  <c:v>0.71494415661957844</c:v>
                </c:pt>
                <c:pt idx="25">
                  <c:v>0.75545778832328736</c:v>
                </c:pt>
                <c:pt idx="26">
                  <c:v>0.79412518290304068</c:v>
                </c:pt>
                <c:pt idx="27">
                  <c:v>0.83052783544004338</c:v>
                </c:pt>
                <c:pt idx="28">
                  <c:v>0.86425817837951546</c:v>
                </c:pt>
                <c:pt idx="29">
                  <c:v>0.89492956087636544</c:v>
                </c:pt>
                <c:pt idx="30">
                  <c:v>0.92218617611935627</c:v>
                </c:pt>
                <c:pt idx="31">
                  <c:v>0.94571231829842717</c:v>
                </c:pt>
                <c:pt idx="32">
                  <c:v>0.96524037916814442</c:v>
                </c:pt>
                <c:pt idx="33">
                  <c:v>0.98055709130155944</c:v>
                </c:pt>
                <c:pt idx="34">
                  <c:v>0.9915076789986238</c:v>
                </c:pt>
                <c:pt idx="35">
                  <c:v>0.99799776591183642</c:v>
                </c:pt>
                <c:pt idx="36">
                  <c:v>0.99999308280327592</c:v>
                </c:pt>
                <c:pt idx="37">
                  <c:v>0.99751719216342016</c:v>
                </c:pt>
                <c:pt idx="38">
                  <c:v>0.99064757765955813</c:v>
                </c:pt>
                <c:pt idx="39">
                  <c:v>0.97951052416503837</c:v>
                </c:pt>
                <c:pt idx="40">
                  <c:v>0.96427523738894882</c:v>
                </c:pt>
                <c:pt idx="41">
                  <c:v>0.94514762832800792</c:v>
                </c:pt>
                <c:pt idx="42">
                  <c:v>0.92236412960165681</c:v>
                </c:pt>
                <c:pt idx="43">
                  <c:v>0.89618583263107721</c:v>
                </c:pt>
                <c:pt idx="44">
                  <c:v>0.86689314983511667</c:v>
                </c:pt>
                <c:pt idx="45">
                  <c:v>0.8347811248356799</c:v>
                </c:pt>
                <c:pt idx="46">
                  <c:v>0.80015544277481732</c:v>
                </c:pt>
                <c:pt idx="47">
                  <c:v>0.76332913553233406</c:v>
                </c:pt>
                <c:pt idx="48">
                  <c:v>0.72461993350865972</c:v>
                </c:pt>
                <c:pt idx="49">
                  <c:v>0.68434818554127208</c:v>
                </c:pt>
                <c:pt idx="50">
                  <c:v>0.64283524936437852</c:v>
                </c:pt>
                <c:pt idx="51">
                  <c:v>0.6004022444581979</c:v>
                </c:pt>
                <c:pt idx="52">
                  <c:v>0.55736905503948464</c:v>
                </c:pt>
                <c:pt idx="53">
                  <c:v>0.51405347168873183</c:v>
                </c:pt>
                <c:pt idx="54">
                  <c:v>0.47077036468530403</c:v>
                </c:pt>
                <c:pt idx="55">
                  <c:v>0.42783079015832354</c:v>
                </c:pt>
                <c:pt idx="56">
                  <c:v>0.38554094183906878</c:v>
                </c:pt>
                <c:pt idx="57">
                  <c:v>0.34420087708501762</c:v>
                </c:pt>
                <c:pt idx="58">
                  <c:v>0.30410296663464348</c:v>
                </c:pt>
                <c:pt idx="59">
                  <c:v>0.26553004374605438</c:v>
                </c:pt>
                <c:pt idx="60">
                  <c:v>0.22875325988398043</c:v>
                </c:pt>
                <c:pt idx="61">
                  <c:v>0.19402968988130662</c:v>
                </c:pt>
                <c:pt idx="62">
                  <c:v>0.16159976716567767</c:v>
                </c:pt>
                <c:pt idx="63">
                  <c:v>0.13168466550157173</c:v>
                </c:pt>
                <c:pt idx="64">
                  <c:v>0.1044837729541756</c:v>
                </c:pt>
                <c:pt idx="65">
                  <c:v>8.01724212266888E-2</c:v>
                </c:pt>
                <c:pt idx="66">
                  <c:v>5.8900034593927821E-2</c:v>
                </c:pt>
                <c:pt idx="67">
                  <c:v>4.0788844640921813E-2</c:v>
                </c:pt>
                <c:pt idx="68">
                  <c:v>2.5933280079147466E-2</c:v>
                </c:pt>
                <c:pt idx="69">
                  <c:v>1.4400088553077908E-2</c:v>
                </c:pt>
                <c:pt idx="70">
                  <c:v>6.2291860392133655E-3</c:v>
                </c:pt>
                <c:pt idx="71">
                  <c:v>1.4351674467253466E-3</c:v>
                </c:pt>
                <c:pt idx="72">
                  <c:v>9.357710904757864E-6</c:v>
                </c:pt>
              </c:numCache>
            </c:numRef>
          </c:xVal>
          <c:yVal>
            <c:numRef>
              <c:f>'Air Balanced'!$M$15:$M$87</c:f>
              <c:numCache>
                <c:formatCode>0.000</c:formatCode>
                <c:ptCount val="73"/>
                <c:pt idx="0">
                  <c:v>11265</c:v>
                </c:pt>
                <c:pt idx="1">
                  <c:v>11572</c:v>
                </c:pt>
                <c:pt idx="2">
                  <c:v>11981</c:v>
                </c:pt>
                <c:pt idx="3">
                  <c:v>12289</c:v>
                </c:pt>
                <c:pt idx="4">
                  <c:v>12595</c:v>
                </c:pt>
                <c:pt idx="5">
                  <c:v>13005</c:v>
                </c:pt>
                <c:pt idx="6">
                  <c:v>13312</c:v>
                </c:pt>
                <c:pt idx="7">
                  <c:v>13824</c:v>
                </c:pt>
                <c:pt idx="8">
                  <c:v>14336</c:v>
                </c:pt>
                <c:pt idx="9">
                  <c:v>14848</c:v>
                </c:pt>
                <c:pt idx="10">
                  <c:v>15156</c:v>
                </c:pt>
                <c:pt idx="11">
                  <c:v>15565</c:v>
                </c:pt>
                <c:pt idx="12">
                  <c:v>15872</c:v>
                </c:pt>
                <c:pt idx="13">
                  <c:v>15975</c:v>
                </c:pt>
                <c:pt idx="14">
                  <c:v>16077</c:v>
                </c:pt>
                <c:pt idx="15">
                  <c:v>16180</c:v>
                </c:pt>
                <c:pt idx="16">
                  <c:v>16385</c:v>
                </c:pt>
                <c:pt idx="17">
                  <c:v>16692</c:v>
                </c:pt>
                <c:pt idx="18">
                  <c:v>16897</c:v>
                </c:pt>
                <c:pt idx="19">
                  <c:v>17204</c:v>
                </c:pt>
                <c:pt idx="20">
                  <c:v>17409</c:v>
                </c:pt>
                <c:pt idx="21">
                  <c:v>17716</c:v>
                </c:pt>
                <c:pt idx="22">
                  <c:v>17409</c:v>
                </c:pt>
                <c:pt idx="23">
                  <c:v>17204</c:v>
                </c:pt>
                <c:pt idx="24">
                  <c:v>16897</c:v>
                </c:pt>
                <c:pt idx="25">
                  <c:v>16077</c:v>
                </c:pt>
                <c:pt idx="26">
                  <c:v>15156</c:v>
                </c:pt>
                <c:pt idx="27">
                  <c:v>14336</c:v>
                </c:pt>
                <c:pt idx="28">
                  <c:v>13360</c:v>
                </c:pt>
                <c:pt idx="29">
                  <c:v>13005</c:v>
                </c:pt>
                <c:pt idx="30">
                  <c:v>12288</c:v>
                </c:pt>
                <c:pt idx="31">
                  <c:v>11367</c:v>
                </c:pt>
                <c:pt idx="32">
                  <c:v>10445</c:v>
                </c:pt>
                <c:pt idx="33">
                  <c:v>9728</c:v>
                </c:pt>
                <c:pt idx="34">
                  <c:v>8909</c:v>
                </c:pt>
                <c:pt idx="35">
                  <c:v>7987</c:v>
                </c:pt>
                <c:pt idx="36">
                  <c:v>7168</c:v>
                </c:pt>
                <c:pt idx="37">
                  <c:v>6451</c:v>
                </c:pt>
                <c:pt idx="38">
                  <c:v>5837</c:v>
                </c:pt>
                <c:pt idx="39">
                  <c:v>5120</c:v>
                </c:pt>
                <c:pt idx="40">
                  <c:v>5325</c:v>
                </c:pt>
                <c:pt idx="41">
                  <c:v>5427</c:v>
                </c:pt>
                <c:pt idx="42">
                  <c:v>5632</c:v>
                </c:pt>
                <c:pt idx="43">
                  <c:v>5632</c:v>
                </c:pt>
                <c:pt idx="44">
                  <c:v>5632</c:v>
                </c:pt>
                <c:pt idx="45">
                  <c:v>5632</c:v>
                </c:pt>
                <c:pt idx="46">
                  <c:v>4915</c:v>
                </c:pt>
                <c:pt idx="47">
                  <c:v>4301</c:v>
                </c:pt>
                <c:pt idx="48">
                  <c:v>3891</c:v>
                </c:pt>
                <c:pt idx="49">
                  <c:v>3891</c:v>
                </c:pt>
                <c:pt idx="50">
                  <c:v>4301</c:v>
                </c:pt>
                <c:pt idx="51">
                  <c:v>4608</c:v>
                </c:pt>
                <c:pt idx="52">
                  <c:v>5529</c:v>
                </c:pt>
                <c:pt idx="53">
                  <c:v>6451</c:v>
                </c:pt>
                <c:pt idx="54">
                  <c:v>7424</c:v>
                </c:pt>
                <c:pt idx="55">
                  <c:v>7936</c:v>
                </c:pt>
                <c:pt idx="56">
                  <c:v>8448</c:v>
                </c:pt>
                <c:pt idx="57">
                  <c:v>8960</c:v>
                </c:pt>
                <c:pt idx="58">
                  <c:v>9390</c:v>
                </c:pt>
                <c:pt idx="59">
                  <c:v>9810</c:v>
                </c:pt>
                <c:pt idx="60">
                  <c:v>10240</c:v>
                </c:pt>
                <c:pt idx="61">
                  <c:v>10547</c:v>
                </c:pt>
                <c:pt idx="62">
                  <c:v>10957</c:v>
                </c:pt>
                <c:pt idx="63">
                  <c:v>11264</c:v>
                </c:pt>
                <c:pt idx="64">
                  <c:v>11571</c:v>
                </c:pt>
                <c:pt idx="65">
                  <c:v>11981</c:v>
                </c:pt>
                <c:pt idx="66">
                  <c:v>12288</c:v>
                </c:pt>
                <c:pt idx="67">
                  <c:v>11981</c:v>
                </c:pt>
                <c:pt idx="68">
                  <c:v>11571</c:v>
                </c:pt>
                <c:pt idx="69">
                  <c:v>11264</c:v>
                </c:pt>
                <c:pt idx="70">
                  <c:v>11264</c:v>
                </c:pt>
                <c:pt idx="71">
                  <c:v>11264</c:v>
                </c:pt>
                <c:pt idx="72">
                  <c:v>11264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2-4B30-8015-5851379C6F17}"/>
            </c:ext>
          </c:extLst>
        </c:ser>
        <c:ser>
          <c:idx val="1"/>
          <c:order val="1"/>
          <c:tx>
            <c:v>Permissible Load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'Air Balanced'!$B$15:$B$87</c:f>
              <c:numCache>
                <c:formatCode>0.000</c:formatCode>
                <c:ptCount val="73"/>
                <c:pt idx="0">
                  <c:v>9.357710904757864E-6</c:v>
                </c:pt>
                <c:pt idx="1">
                  <c:v>1.9222427444285709E-3</c:v>
                </c:pt>
                <c:pt idx="2">
                  <c:v>7.126097906373351E-3</c:v>
                </c:pt>
                <c:pt idx="3">
                  <c:v>1.5557628667340553E-2</c:v>
                </c:pt>
                <c:pt idx="4">
                  <c:v>2.7140451462119658E-2</c:v>
                </c:pt>
                <c:pt idx="5">
                  <c:v>4.1787267963067351E-2</c:v>
                </c:pt>
                <c:pt idx="6">
                  <c:v>5.9401618095665486E-2</c:v>
                </c:pt>
                <c:pt idx="7">
                  <c:v>7.9879131350294785E-2</c:v>
                </c:pt>
                <c:pt idx="8">
                  <c:v>0.10310822874428523</c:v>
                </c:pt>
                <c:pt idx="9">
                  <c:v>0.12897025703566645</c:v>
                </c:pt>
                <c:pt idx="10">
                  <c:v>0.15733906179460536</c:v>
                </c:pt>
                <c:pt idx="11">
                  <c:v>0.18808002717893793</c:v>
                </c:pt>
                <c:pt idx="12">
                  <c:v>0.22104862900966674</c:v>
                </c:pt>
                <c:pt idx="13">
                  <c:v>0.25608856567531252</c:v>
                </c:pt>
                <c:pt idx="14">
                  <c:v>0.29302955021880001</c:v>
                </c:pt>
                <c:pt idx="15">
                  <c:v>0.33168486808969694</c:v>
                </c:pt>
                <c:pt idx="16">
                  <c:v>0.37184882929083951</c:v>
                </c:pt>
                <c:pt idx="17">
                  <c:v>0.41329427093238419</c:v>
                </c:pt>
                <c:pt idx="18">
                  <c:v>0.45577029527683466</c:v>
                </c:pt>
                <c:pt idx="19">
                  <c:v>0.49900045655385589</c:v>
                </c:pt>
                <c:pt idx="20">
                  <c:v>0.54268163294238358</c:v>
                </c:pt>
                <c:pt idx="21">
                  <c:v>0.58648383250402503</c:v>
                </c:pt>
                <c:pt idx="22">
                  <c:v>0.63005117682681933</c:v>
                </c:pt>
                <c:pt idx="23">
                  <c:v>0.67300427688861986</c:v>
                </c:pt>
                <c:pt idx="24">
                  <c:v>0.71494415661957844</c:v>
                </c:pt>
                <c:pt idx="25">
                  <c:v>0.75545778832328736</c:v>
                </c:pt>
                <c:pt idx="26">
                  <c:v>0.79412518290304068</c:v>
                </c:pt>
                <c:pt idx="27">
                  <c:v>0.83052783544004338</c:v>
                </c:pt>
                <c:pt idx="28">
                  <c:v>0.86425817837951546</c:v>
                </c:pt>
                <c:pt idx="29">
                  <c:v>0.89492956087636544</c:v>
                </c:pt>
                <c:pt idx="30">
                  <c:v>0.92218617611935627</c:v>
                </c:pt>
                <c:pt idx="31">
                  <c:v>0.94571231829842717</c:v>
                </c:pt>
                <c:pt idx="32">
                  <c:v>0.96524037916814442</c:v>
                </c:pt>
                <c:pt idx="33">
                  <c:v>0.98055709130155944</c:v>
                </c:pt>
                <c:pt idx="34">
                  <c:v>0.9915076789986238</c:v>
                </c:pt>
                <c:pt idx="35">
                  <c:v>0.99799776591183642</c:v>
                </c:pt>
                <c:pt idx="36">
                  <c:v>0.99999308280327592</c:v>
                </c:pt>
                <c:pt idx="37">
                  <c:v>0.99751719216342016</c:v>
                </c:pt>
                <c:pt idx="38">
                  <c:v>0.99064757765955813</c:v>
                </c:pt>
                <c:pt idx="39">
                  <c:v>0.97951052416503837</c:v>
                </c:pt>
                <c:pt idx="40">
                  <c:v>0.96427523738894882</c:v>
                </c:pt>
                <c:pt idx="41">
                  <c:v>0.94514762832800792</c:v>
                </c:pt>
                <c:pt idx="42">
                  <c:v>0.92236412960165681</c:v>
                </c:pt>
                <c:pt idx="43">
                  <c:v>0.89618583263107721</c:v>
                </c:pt>
                <c:pt idx="44">
                  <c:v>0.86689314983511667</c:v>
                </c:pt>
                <c:pt idx="45">
                  <c:v>0.8347811248356799</c:v>
                </c:pt>
                <c:pt idx="46">
                  <c:v>0.80015544277481732</c:v>
                </c:pt>
                <c:pt idx="47">
                  <c:v>0.76332913553233406</c:v>
                </c:pt>
                <c:pt idx="48">
                  <c:v>0.72461993350865972</c:v>
                </c:pt>
                <c:pt idx="49">
                  <c:v>0.68434818554127208</c:v>
                </c:pt>
                <c:pt idx="50">
                  <c:v>0.64283524936437852</c:v>
                </c:pt>
                <c:pt idx="51">
                  <c:v>0.6004022444581979</c:v>
                </c:pt>
                <c:pt idx="52">
                  <c:v>0.55736905503948464</c:v>
                </c:pt>
                <c:pt idx="53">
                  <c:v>0.51405347168873183</c:v>
                </c:pt>
                <c:pt idx="54">
                  <c:v>0.47077036468530403</c:v>
                </c:pt>
                <c:pt idx="55">
                  <c:v>0.42783079015832354</c:v>
                </c:pt>
                <c:pt idx="56">
                  <c:v>0.38554094183906878</c:v>
                </c:pt>
                <c:pt idx="57">
                  <c:v>0.34420087708501762</c:v>
                </c:pt>
                <c:pt idx="58">
                  <c:v>0.30410296663464348</c:v>
                </c:pt>
                <c:pt idx="59">
                  <c:v>0.26553004374605438</c:v>
                </c:pt>
                <c:pt idx="60">
                  <c:v>0.22875325988398043</c:v>
                </c:pt>
                <c:pt idx="61">
                  <c:v>0.19402968988130662</c:v>
                </c:pt>
                <c:pt idx="62">
                  <c:v>0.16159976716567767</c:v>
                </c:pt>
                <c:pt idx="63">
                  <c:v>0.13168466550157173</c:v>
                </c:pt>
                <c:pt idx="64">
                  <c:v>0.1044837729541756</c:v>
                </c:pt>
                <c:pt idx="65">
                  <c:v>8.01724212266888E-2</c:v>
                </c:pt>
                <c:pt idx="66">
                  <c:v>5.8900034593927821E-2</c:v>
                </c:pt>
                <c:pt idx="67">
                  <c:v>4.0788844640921813E-2</c:v>
                </c:pt>
                <c:pt idx="68">
                  <c:v>2.5933280079147466E-2</c:v>
                </c:pt>
                <c:pt idx="69">
                  <c:v>1.4400088553077908E-2</c:v>
                </c:pt>
                <c:pt idx="70">
                  <c:v>6.2291860392133655E-3</c:v>
                </c:pt>
                <c:pt idx="71">
                  <c:v>1.4351674467253466E-3</c:v>
                </c:pt>
                <c:pt idx="72">
                  <c:v>9.357710904757864E-6</c:v>
                </c:pt>
              </c:numCache>
            </c:numRef>
          </c:xVal>
          <c:yVal>
            <c:numRef>
              <c:f>'Air Balanced'!$Q$15:$Q$87</c:f>
              <c:numCache>
                <c:formatCode>General</c:formatCode>
                <c:ptCount val="73"/>
                <c:pt idx="0">
                  <c:v>30500</c:v>
                </c:pt>
                <c:pt idx="1">
                  <c:v>30500</c:v>
                </c:pt>
                <c:pt idx="2">
                  <c:v>30500</c:v>
                </c:pt>
                <c:pt idx="3">
                  <c:v>30500</c:v>
                </c:pt>
                <c:pt idx="4">
                  <c:v>30500</c:v>
                </c:pt>
                <c:pt idx="5">
                  <c:v>30500</c:v>
                </c:pt>
                <c:pt idx="6">
                  <c:v>29363.131000909227</c:v>
                </c:pt>
                <c:pt idx="7">
                  <c:v>27198.565985999059</c:v>
                </c:pt>
                <c:pt idx="8">
                  <c:v>25571.853355639447</c:v>
                </c:pt>
                <c:pt idx="9">
                  <c:v>24301.742837303038</c:v>
                </c:pt>
                <c:pt idx="10">
                  <c:v>23279.646569609129</c:v>
                </c:pt>
                <c:pt idx="11">
                  <c:v>22437.039782038115</c:v>
                </c:pt>
                <c:pt idx="12">
                  <c:v>21729.065121611089</c:v>
                </c:pt>
                <c:pt idx="13">
                  <c:v>21125.665345521156</c:v>
                </c:pt>
                <c:pt idx="14">
                  <c:v>20606.502214848726</c:v>
                </c:pt>
                <c:pt idx="15">
                  <c:v>20157.908046272743</c:v>
                </c:pt>
                <c:pt idx="16">
                  <c:v>19770.992486011357</c:v>
                </c:pt>
                <c:pt idx="17">
                  <c:v>19440.442590819348</c:v>
                </c:pt>
                <c:pt idx="18">
                  <c:v>19163.764650390593</c:v>
                </c:pt>
                <c:pt idx="19">
                  <c:v>18940.82987380094</c:v>
                </c:pt>
                <c:pt idx="20">
                  <c:v>18773.652784305159</c:v>
                </c:pt>
                <c:pt idx="21">
                  <c:v>18666.375781024308</c:v>
                </c:pt>
                <c:pt idx="22">
                  <c:v>18625.470260844879</c:v>
                </c:pt>
                <c:pt idx="23">
                  <c:v>18660.205102175478</c:v>
                </c:pt>
                <c:pt idx="24">
                  <c:v>18783.490168709337</c:v>
                </c:pt>
                <c:pt idx="25">
                  <c:v>19013.29699636238</c:v>
                </c:pt>
                <c:pt idx="26">
                  <c:v>19375.0327635826</c:v>
                </c:pt>
                <c:pt idx="27">
                  <c:v>19905.58840174133</c:v>
                </c:pt>
                <c:pt idx="28">
                  <c:v>20660.514048891127</c:v>
                </c:pt>
                <c:pt idx="29">
                  <c:v>21727.454346695409</c:v>
                </c:pt>
                <c:pt idx="30">
                  <c:v>23253.19622708434</c:v>
                </c:pt>
                <c:pt idx="31">
                  <c:v>25503.582342598602</c:v>
                </c:pt>
                <c:pt idx="32">
                  <c:v>29014.596203943071</c:v>
                </c:pt>
                <c:pt idx="33">
                  <c:v>30500</c:v>
                </c:pt>
                <c:pt idx="34">
                  <c:v>30500</c:v>
                </c:pt>
                <c:pt idx="35">
                  <c:v>30500</c:v>
                </c:pt>
                <c:pt idx="36">
                  <c:v>-1285698.2730733135</c:v>
                </c:pt>
                <c:pt idx="37">
                  <c:v>-58167.280194092418</c:v>
                </c:pt>
                <c:pt idx="38">
                  <c:v>-25070.713195606968</c:v>
                </c:pt>
                <c:pt idx="39">
                  <c:v>-13694.28679301179</c:v>
                </c:pt>
                <c:pt idx="40">
                  <c:v>-7966.7474619765117</c:v>
                </c:pt>
                <c:pt idx="41">
                  <c:v>-4533.9316250440761</c:v>
                </c:pt>
                <c:pt idx="42">
                  <c:v>-2258.5009082671295</c:v>
                </c:pt>
                <c:pt idx="43">
                  <c:v>-648.99345036797331</c:v>
                </c:pt>
                <c:pt idx="44">
                  <c:v>541.04428211150935</c:v>
                </c:pt>
                <c:pt idx="45">
                  <c:v>1448.3174555749711</c:v>
                </c:pt>
                <c:pt idx="46">
                  <c:v>2154.3279682308371</c:v>
                </c:pt>
                <c:pt idx="47">
                  <c:v>2710.305214538279</c:v>
                </c:pt>
                <c:pt idx="48">
                  <c:v>3149.7118628204571</c:v>
                </c:pt>
                <c:pt idx="49">
                  <c:v>3494.9794033625317</c:v>
                </c:pt>
                <c:pt idx="50">
                  <c:v>3761.3385065352322</c:v>
                </c:pt>
                <c:pt idx="51">
                  <c:v>3959.0841480087547</c:v>
                </c:pt>
                <c:pt idx="52">
                  <c:v>4094.944146899913</c:v>
                </c:pt>
                <c:pt idx="53">
                  <c:v>4172.9010991849627</c:v>
                </c:pt>
                <c:pt idx="54">
                  <c:v>4194.6555367116252</c:v>
                </c:pt>
                <c:pt idx="55">
                  <c:v>4159.8290783319217</c:v>
                </c:pt>
                <c:pt idx="56">
                  <c:v>4065.9518452221446</c:v>
                </c:pt>
                <c:pt idx="57">
                  <c:v>3908.2386239971693</c:v>
                </c:pt>
                <c:pt idx="58">
                  <c:v>3679.1206070398785</c:v>
                </c:pt>
                <c:pt idx="59">
                  <c:v>3367.452615128077</c:v>
                </c:pt>
                <c:pt idx="60">
                  <c:v>2957.2440289349051</c:v>
                </c:pt>
                <c:pt idx="61">
                  <c:v>2425.6378100487473</c:v>
                </c:pt>
                <c:pt idx="62">
                  <c:v>1739.6303624818065</c:v>
                </c:pt>
                <c:pt idx="63">
                  <c:v>850.56277490523189</c:v>
                </c:pt>
                <c:pt idx="64">
                  <c:v>-315.57113611186105</c:v>
                </c:pt>
                <c:pt idx="65">
                  <c:v>-1876.2185996759163</c:v>
                </c:pt>
                <c:pt idx="66">
                  <c:v>-4028.6840701087158</c:v>
                </c:pt>
                <c:pt idx="67">
                  <c:v>-7130.9088922415567</c:v>
                </c:pt>
                <c:pt idx="68">
                  <c:v>-11905.737356261834</c:v>
                </c:pt>
                <c:pt idx="69">
                  <c:v>-20064.191147127785</c:v>
                </c:pt>
                <c:pt idx="70">
                  <c:v>-36871.317363161383</c:v>
                </c:pt>
                <c:pt idx="71">
                  <c:v>-90352.56769438785</c:v>
                </c:pt>
                <c:pt idx="72">
                  <c:v>30500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2-4B30-8015-5851379C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81528"/>
        <c:axId val="1"/>
      </c:scatterChart>
      <c:valAx>
        <c:axId val="46338152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Dimensionless Polished Rod Position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Polished Rod Load (lbf)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381528"/>
        <c:crosses val="autoZero"/>
        <c:crossBetween val="midCat"/>
        <c:maj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1</xdr:row>
      <xdr:rowOff>95250</xdr:rowOff>
    </xdr:from>
    <xdr:to>
      <xdr:col>36</xdr:col>
      <xdr:colOff>152400</xdr:colOff>
      <xdr:row>19</xdr:row>
      <xdr:rowOff>114300</xdr:rowOff>
    </xdr:to>
    <xdr:graphicFrame macro="">
      <xdr:nvGraphicFramePr>
        <xdr:cNvPr id="2154" name="Chart 1">
          <a:extLst>
            <a:ext uri="{FF2B5EF4-FFF2-40B4-BE49-F238E27FC236}">
              <a16:creationId xmlns:a16="http://schemas.microsoft.com/office/drawing/2014/main" id="{B8656D6B-1199-4EA7-8FA5-B118CDBF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714375</xdr:colOff>
      <xdr:row>3</xdr:row>
      <xdr:rowOff>85725</xdr:rowOff>
    </xdr:from>
    <xdr:to>
      <xdr:col>27</xdr:col>
      <xdr:colOff>466725</xdr:colOff>
      <xdr:row>19</xdr:row>
      <xdr:rowOff>19050</xdr:rowOff>
    </xdr:to>
    <xdr:graphicFrame macro="">
      <xdr:nvGraphicFramePr>
        <xdr:cNvPr id="2155" name="Chart 3">
          <a:extLst>
            <a:ext uri="{FF2B5EF4-FFF2-40B4-BE49-F238E27FC236}">
              <a16:creationId xmlns:a16="http://schemas.microsoft.com/office/drawing/2014/main" id="{4ED67B7F-B3A9-499C-B76D-DB3018BCB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723900</xdr:colOff>
      <xdr:row>20</xdr:row>
      <xdr:rowOff>104775</xdr:rowOff>
    </xdr:from>
    <xdr:to>
      <xdr:col>28</xdr:col>
      <xdr:colOff>209550</xdr:colOff>
      <xdr:row>48</xdr:row>
      <xdr:rowOff>66675</xdr:rowOff>
    </xdr:to>
    <xdr:graphicFrame macro="">
      <xdr:nvGraphicFramePr>
        <xdr:cNvPr id="2156" name="Chart 4">
          <a:extLst>
            <a:ext uri="{FF2B5EF4-FFF2-40B4-BE49-F238E27FC236}">
              <a16:creationId xmlns:a16="http://schemas.microsoft.com/office/drawing/2014/main" id="{8E4ADFB5-EEBA-44B3-8D34-FC559B785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285750</xdr:colOff>
      <xdr:row>0</xdr:row>
      <xdr:rowOff>152400</xdr:rowOff>
    </xdr:from>
    <xdr:to>
      <xdr:col>35</xdr:col>
      <xdr:colOff>561975</xdr:colOff>
      <xdr:row>17</xdr:row>
      <xdr:rowOff>123825</xdr:rowOff>
    </xdr:to>
    <xdr:graphicFrame macro="">
      <xdr:nvGraphicFramePr>
        <xdr:cNvPr id="3198" name="Chart 1">
          <a:extLst>
            <a:ext uri="{FF2B5EF4-FFF2-40B4-BE49-F238E27FC236}">
              <a16:creationId xmlns:a16="http://schemas.microsoft.com/office/drawing/2014/main" id="{A816D165-4EAD-4336-B3E4-EABD79FC0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0</xdr:row>
      <xdr:rowOff>95250</xdr:rowOff>
    </xdr:from>
    <xdr:to>
      <xdr:col>26</xdr:col>
      <xdr:colOff>104775</xdr:colOff>
      <xdr:row>17</xdr:row>
      <xdr:rowOff>66675</xdr:rowOff>
    </xdr:to>
    <xdr:graphicFrame macro="">
      <xdr:nvGraphicFramePr>
        <xdr:cNvPr id="3199" name="Chart 2">
          <a:extLst>
            <a:ext uri="{FF2B5EF4-FFF2-40B4-BE49-F238E27FC236}">
              <a16:creationId xmlns:a16="http://schemas.microsoft.com/office/drawing/2014/main" id="{59610052-9431-4315-8E51-0EF1E6E3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457200</xdr:colOff>
      <xdr:row>20</xdr:row>
      <xdr:rowOff>85725</xdr:rowOff>
    </xdr:from>
    <xdr:to>
      <xdr:col>28</xdr:col>
      <xdr:colOff>114300</xdr:colOff>
      <xdr:row>38</xdr:row>
      <xdr:rowOff>9525</xdr:rowOff>
    </xdr:to>
    <xdr:graphicFrame macro="">
      <xdr:nvGraphicFramePr>
        <xdr:cNvPr id="3200" name="Chart 5">
          <a:extLst>
            <a:ext uri="{FF2B5EF4-FFF2-40B4-BE49-F238E27FC236}">
              <a16:creationId xmlns:a16="http://schemas.microsoft.com/office/drawing/2014/main" id="{D3580411-8E6E-44B2-8228-A94C92AE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419100</xdr:colOff>
      <xdr:row>0</xdr:row>
      <xdr:rowOff>57150</xdr:rowOff>
    </xdr:from>
    <xdr:to>
      <xdr:col>34</xdr:col>
      <xdr:colOff>219075</xdr:colOff>
      <xdr:row>17</xdr:row>
      <xdr:rowOff>28575</xdr:rowOff>
    </xdr:to>
    <xdr:graphicFrame macro="">
      <xdr:nvGraphicFramePr>
        <xdr:cNvPr id="1135" name="Chart 2">
          <a:extLst>
            <a:ext uri="{FF2B5EF4-FFF2-40B4-BE49-F238E27FC236}">
              <a16:creationId xmlns:a16="http://schemas.microsoft.com/office/drawing/2014/main" id="{AAF291DD-8165-49FB-B4BF-5EBECDC2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0</xdr:row>
      <xdr:rowOff>0</xdr:rowOff>
    </xdr:from>
    <xdr:to>
      <xdr:col>26</xdr:col>
      <xdr:colOff>180975</xdr:colOff>
      <xdr:row>15</xdr:row>
      <xdr:rowOff>66675</xdr:rowOff>
    </xdr:to>
    <xdr:graphicFrame macro="">
      <xdr:nvGraphicFramePr>
        <xdr:cNvPr id="1136" name="Chart 3">
          <a:extLst>
            <a:ext uri="{FF2B5EF4-FFF2-40B4-BE49-F238E27FC236}">
              <a16:creationId xmlns:a16="http://schemas.microsoft.com/office/drawing/2014/main" id="{3E94EDB7-15AB-49FD-B656-01FDDC179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17</xdr:row>
      <xdr:rowOff>19050</xdr:rowOff>
    </xdr:from>
    <xdr:to>
      <xdr:col>27</xdr:col>
      <xdr:colOff>600075</xdr:colOff>
      <xdr:row>41</xdr:row>
      <xdr:rowOff>19050</xdr:rowOff>
    </xdr:to>
    <xdr:graphicFrame macro="">
      <xdr:nvGraphicFramePr>
        <xdr:cNvPr id="1137" name="Chart 4">
          <a:extLst>
            <a:ext uri="{FF2B5EF4-FFF2-40B4-BE49-F238E27FC236}">
              <a16:creationId xmlns:a16="http://schemas.microsoft.com/office/drawing/2014/main" id="{BBBFD9C2-0A7D-4DFC-B72C-FF4475F08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180975</xdr:colOff>
      <xdr:row>1</xdr:row>
      <xdr:rowOff>142875</xdr:rowOff>
    </xdr:from>
    <xdr:to>
      <xdr:col>33</xdr:col>
      <xdr:colOff>590550</xdr:colOff>
      <xdr:row>18</xdr:row>
      <xdr:rowOff>114300</xdr:rowOff>
    </xdr:to>
    <xdr:graphicFrame macro="">
      <xdr:nvGraphicFramePr>
        <xdr:cNvPr id="4204" name="Chart 1">
          <a:extLst>
            <a:ext uri="{FF2B5EF4-FFF2-40B4-BE49-F238E27FC236}">
              <a16:creationId xmlns:a16="http://schemas.microsoft.com/office/drawing/2014/main" id="{8A2D32AA-9005-4B77-9655-C9FDD0C7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1</xdr:row>
      <xdr:rowOff>76200</xdr:rowOff>
    </xdr:from>
    <xdr:to>
      <xdr:col>26</xdr:col>
      <xdr:colOff>47625</xdr:colOff>
      <xdr:row>16</xdr:row>
      <xdr:rowOff>104775</xdr:rowOff>
    </xdr:to>
    <xdr:graphicFrame macro="">
      <xdr:nvGraphicFramePr>
        <xdr:cNvPr id="4205" name="Chart 2">
          <a:extLst>
            <a:ext uri="{FF2B5EF4-FFF2-40B4-BE49-F238E27FC236}">
              <a16:creationId xmlns:a16="http://schemas.microsoft.com/office/drawing/2014/main" id="{EE5C9E1C-623C-49EE-A09B-58A1B92A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19</xdr:row>
      <xdr:rowOff>123825</xdr:rowOff>
    </xdr:from>
    <xdr:to>
      <xdr:col>28</xdr:col>
      <xdr:colOff>342900</xdr:colOff>
      <xdr:row>45</xdr:row>
      <xdr:rowOff>38100</xdr:rowOff>
    </xdr:to>
    <xdr:graphicFrame macro="">
      <xdr:nvGraphicFramePr>
        <xdr:cNvPr id="4206" name="Chart 3">
          <a:extLst>
            <a:ext uri="{FF2B5EF4-FFF2-40B4-BE49-F238E27FC236}">
              <a16:creationId xmlns:a16="http://schemas.microsoft.com/office/drawing/2014/main" id="{84E0FD97-1612-4532-8FDD-B535ACC7F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0</xdr:row>
      <xdr:rowOff>152400</xdr:rowOff>
    </xdr:from>
    <xdr:to>
      <xdr:col>21</xdr:col>
      <xdr:colOff>352425</xdr:colOff>
      <xdr:row>16</xdr:row>
      <xdr:rowOff>19050</xdr:rowOff>
    </xdr:to>
    <xdr:graphicFrame macro="">
      <xdr:nvGraphicFramePr>
        <xdr:cNvPr id="5249" name="Chart 1">
          <a:extLst>
            <a:ext uri="{FF2B5EF4-FFF2-40B4-BE49-F238E27FC236}">
              <a16:creationId xmlns:a16="http://schemas.microsoft.com/office/drawing/2014/main" id="{D8160A2C-B309-451D-84FD-904E54C9C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17</xdr:row>
      <xdr:rowOff>28575</xdr:rowOff>
    </xdr:from>
    <xdr:to>
      <xdr:col>21</xdr:col>
      <xdr:colOff>381000</xdr:colOff>
      <xdr:row>32</xdr:row>
      <xdr:rowOff>57150</xdr:rowOff>
    </xdr:to>
    <xdr:graphicFrame macro="">
      <xdr:nvGraphicFramePr>
        <xdr:cNvPr id="5250" name="Chart 2">
          <a:extLst>
            <a:ext uri="{FF2B5EF4-FFF2-40B4-BE49-F238E27FC236}">
              <a16:creationId xmlns:a16="http://schemas.microsoft.com/office/drawing/2014/main" id="{BB58A362-AC54-46F0-A6CD-E71D3F07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33</xdr:row>
      <xdr:rowOff>0</xdr:rowOff>
    </xdr:from>
    <xdr:to>
      <xdr:col>21</xdr:col>
      <xdr:colOff>409575</xdr:colOff>
      <xdr:row>48</xdr:row>
      <xdr:rowOff>28575</xdr:rowOff>
    </xdr:to>
    <xdr:graphicFrame macro="">
      <xdr:nvGraphicFramePr>
        <xdr:cNvPr id="5251" name="Chart 3">
          <a:extLst>
            <a:ext uri="{FF2B5EF4-FFF2-40B4-BE49-F238E27FC236}">
              <a16:creationId xmlns:a16="http://schemas.microsoft.com/office/drawing/2014/main" id="{0FDEF970-DED1-4146-995E-28F11DE60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581025</xdr:colOff>
      <xdr:row>11</xdr:row>
      <xdr:rowOff>95250</xdr:rowOff>
    </xdr:from>
    <xdr:to>
      <xdr:col>29</xdr:col>
      <xdr:colOff>266700</xdr:colOff>
      <xdr:row>33</xdr:row>
      <xdr:rowOff>47625</xdr:rowOff>
    </xdr:to>
    <xdr:graphicFrame macro="">
      <xdr:nvGraphicFramePr>
        <xdr:cNvPr id="5252" name="Chart 4">
          <a:extLst>
            <a:ext uri="{FF2B5EF4-FFF2-40B4-BE49-F238E27FC236}">
              <a16:creationId xmlns:a16="http://schemas.microsoft.com/office/drawing/2014/main" id="{C423C72C-67F3-4665-950C-BD25DCAE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abSelected="1" workbookViewId="0">
      <selection activeCell="R4" sqref="R4"/>
    </sheetView>
  </sheetViews>
  <sheetFormatPr defaultRowHeight="12.75" x14ac:dyDescent="0.2"/>
  <cols>
    <col min="1" max="2" width="9.140625" style="4"/>
    <col min="3" max="3" width="12.42578125" style="4" bestFit="1" customWidth="1"/>
    <col min="4" max="4" width="9.140625" style="4"/>
    <col min="5" max="5" width="9.28515625" style="4" customWidth="1"/>
    <col min="6" max="9" width="9.140625" style="4"/>
    <col min="10" max="10" width="11.28515625" style="4" customWidth="1"/>
    <col min="11" max="11" width="9.140625" style="4"/>
    <col min="12" max="12" width="12.42578125" style="4" bestFit="1" customWidth="1"/>
    <col min="13" max="15" width="9.140625" style="4"/>
    <col min="16" max="16" width="12.42578125" style="4" bestFit="1" customWidth="1"/>
    <col min="17" max="17" width="9.140625" style="4"/>
    <col min="18" max="18" width="11" style="4" customWidth="1"/>
    <col min="19" max="19" width="9.140625" style="4"/>
    <col min="20" max="20" width="13.140625" style="4" bestFit="1" customWidth="1"/>
    <col min="21" max="21" width="9.85546875" style="4" customWidth="1"/>
    <col min="22" max="26" width="9.140625" style="4"/>
    <col min="27" max="27" width="10" style="4" bestFit="1" customWidth="1"/>
    <col min="28" max="16384" width="9.140625" style="4"/>
  </cols>
  <sheetData>
    <row r="1" spans="1:20" x14ac:dyDescent="0.2">
      <c r="A1" s="4" t="s">
        <v>22</v>
      </c>
      <c r="E1" s="23" t="s">
        <v>76</v>
      </c>
      <c r="F1" s="24"/>
      <c r="G1" s="24"/>
      <c r="H1" s="25"/>
    </row>
    <row r="2" spans="1:20" x14ac:dyDescent="0.2">
      <c r="A2" s="4" t="s">
        <v>0</v>
      </c>
      <c r="E2" s="5" t="s">
        <v>23</v>
      </c>
      <c r="F2" s="23" t="s">
        <v>46</v>
      </c>
      <c r="G2" s="25"/>
    </row>
    <row r="3" spans="1:20" x14ac:dyDescent="0.2">
      <c r="A3" s="4" t="s">
        <v>1</v>
      </c>
      <c r="C3" s="6">
        <v>129</v>
      </c>
      <c r="D3" s="4" t="s">
        <v>7</v>
      </c>
      <c r="E3" s="5" t="s">
        <v>34</v>
      </c>
      <c r="F3" s="6">
        <v>320000</v>
      </c>
      <c r="G3" s="5" t="s">
        <v>75</v>
      </c>
    </row>
    <row r="4" spans="1:20" x14ac:dyDescent="0.2">
      <c r="A4" s="4" t="s">
        <v>2</v>
      </c>
      <c r="C4" s="6">
        <v>132</v>
      </c>
      <c r="D4" s="4" t="s">
        <v>7</v>
      </c>
      <c r="E4" s="7" t="s">
        <v>96</v>
      </c>
      <c r="F4" s="8">
        <v>29800</v>
      </c>
      <c r="G4" s="7" t="s">
        <v>97</v>
      </c>
    </row>
    <row r="5" spans="1:20" x14ac:dyDescent="0.2">
      <c r="A5" s="4" t="s">
        <v>3</v>
      </c>
      <c r="C5" s="6">
        <v>111.07205</v>
      </c>
      <c r="D5" s="4" t="s">
        <v>7</v>
      </c>
      <c r="J5" s="12"/>
    </row>
    <row r="6" spans="1:20" x14ac:dyDescent="0.2">
      <c r="A6" s="4" t="s">
        <v>4</v>
      </c>
      <c r="C6" s="6">
        <v>111</v>
      </c>
      <c r="D6" s="4" t="s">
        <v>7</v>
      </c>
      <c r="E6" s="4" t="s">
        <v>25</v>
      </c>
    </row>
    <row r="7" spans="1:20" x14ac:dyDescent="0.2">
      <c r="A7" s="4" t="s">
        <v>5</v>
      </c>
      <c r="C7" s="6">
        <v>175.55</v>
      </c>
      <c r="D7" s="4" t="s">
        <v>7</v>
      </c>
      <c r="F7" s="9"/>
      <c r="G7" s="9"/>
      <c r="H7" s="9"/>
      <c r="L7" s="4" t="s">
        <v>31</v>
      </c>
      <c r="M7" s="6">
        <v>15418</v>
      </c>
      <c r="N7" s="4" t="s">
        <v>37</v>
      </c>
      <c r="O7" s="5" t="s">
        <v>85</v>
      </c>
    </row>
    <row r="8" spans="1:20" x14ac:dyDescent="0.2">
      <c r="A8" s="4" t="s">
        <v>6</v>
      </c>
      <c r="C8" s="6">
        <v>42</v>
      </c>
      <c r="D8" s="4" t="s">
        <v>7</v>
      </c>
      <c r="L8" s="4" t="s">
        <v>38</v>
      </c>
      <c r="M8" s="13">
        <f>D33</f>
        <v>47.481482475603549</v>
      </c>
      <c r="N8" s="4" t="s">
        <v>39</v>
      </c>
      <c r="O8" s="12">
        <f>A33</f>
        <v>90</v>
      </c>
      <c r="P8" s="4" t="s">
        <v>43</v>
      </c>
    </row>
    <row r="9" spans="1:20" x14ac:dyDescent="0.2">
      <c r="A9" s="4" t="s">
        <v>67</v>
      </c>
      <c r="C9" s="6">
        <v>1</v>
      </c>
      <c r="D9" s="7" t="s">
        <v>104</v>
      </c>
      <c r="L9" s="4" t="s">
        <v>40</v>
      </c>
      <c r="M9" s="6">
        <v>550</v>
      </c>
      <c r="N9" s="4" t="s">
        <v>37</v>
      </c>
    </row>
    <row r="10" spans="1:20" x14ac:dyDescent="0.2">
      <c r="A10" s="4" t="s">
        <v>8</v>
      </c>
      <c r="C10" s="12">
        <f>ASIN($C$6/C7)</f>
        <v>0.6845164799768243</v>
      </c>
      <c r="L10" s="4" t="s">
        <v>41</v>
      </c>
      <c r="M10" s="12">
        <f>ABS(D33*(M7-M9))</f>
        <v>705954.68144727359</v>
      </c>
      <c r="N10" s="4" t="s">
        <v>33</v>
      </c>
    </row>
    <row r="11" spans="1:20" x14ac:dyDescent="0.2">
      <c r="A11" s="4" t="s">
        <v>9</v>
      </c>
      <c r="C11" s="12">
        <f>ACOS((C5^2+C7^2-(C4+C8)^2)/(2*C5*C7))</f>
        <v>1.2342302802796392</v>
      </c>
      <c r="D11" s="4" t="s">
        <v>70</v>
      </c>
      <c r="E11" s="6">
        <v>5.93</v>
      </c>
      <c r="F11" s="4" t="s">
        <v>71</v>
      </c>
    </row>
    <row r="12" spans="1:20" x14ac:dyDescent="0.2">
      <c r="A12" s="4" t="s">
        <v>10</v>
      </c>
      <c r="C12" s="12">
        <f>ACOS((C5^2+C7^2-(C4-C8)^2)/(2*C5*C7))</f>
        <v>0.4535413393075427</v>
      </c>
      <c r="J12" s="26" t="s">
        <v>86</v>
      </c>
      <c r="K12" s="27"/>
      <c r="L12" s="28"/>
      <c r="N12" s="5" t="s">
        <v>13</v>
      </c>
      <c r="O12" s="5" t="s">
        <v>29</v>
      </c>
      <c r="P12" s="4" t="s">
        <v>31</v>
      </c>
      <c r="Q12" s="4" t="s">
        <v>34</v>
      </c>
      <c r="R12" s="5" t="s">
        <v>87</v>
      </c>
      <c r="S12" s="5" t="s">
        <v>81</v>
      </c>
    </row>
    <row r="13" spans="1:20" x14ac:dyDescent="0.2">
      <c r="A13" s="4" t="s">
        <v>11</v>
      </c>
      <c r="C13" s="5" t="s">
        <v>77</v>
      </c>
      <c r="D13" s="5" t="s">
        <v>32</v>
      </c>
      <c r="J13" s="4" t="s">
        <v>18</v>
      </c>
      <c r="K13" s="4" t="s">
        <v>19</v>
      </c>
      <c r="L13" s="4" t="s">
        <v>21</v>
      </c>
      <c r="N13" s="5" t="s">
        <v>80</v>
      </c>
      <c r="O13" s="4" t="s">
        <v>32</v>
      </c>
      <c r="P13" s="4" t="s">
        <v>32</v>
      </c>
      <c r="Q13" s="4" t="s">
        <v>32</v>
      </c>
      <c r="R13" s="5" t="s">
        <v>88</v>
      </c>
      <c r="S13" s="5" t="s">
        <v>82</v>
      </c>
    </row>
    <row r="14" spans="1:20" x14ac:dyDescent="0.2">
      <c r="A14" s="4" t="s">
        <v>12</v>
      </c>
      <c r="B14" s="4" t="s">
        <v>42</v>
      </c>
      <c r="C14" s="5" t="s">
        <v>18</v>
      </c>
      <c r="D14" s="5" t="s">
        <v>78</v>
      </c>
      <c r="E14" s="4" t="s">
        <v>14</v>
      </c>
      <c r="F14" s="4" t="s">
        <v>15</v>
      </c>
      <c r="G14" s="4" t="s">
        <v>16</v>
      </c>
      <c r="H14" s="4" t="s">
        <v>17</v>
      </c>
      <c r="J14" s="5" t="s">
        <v>79</v>
      </c>
      <c r="K14" s="4" t="s">
        <v>20</v>
      </c>
      <c r="L14" s="4" t="s">
        <v>26</v>
      </c>
      <c r="N14" s="4" t="s">
        <v>44</v>
      </c>
      <c r="O14" s="4" t="s">
        <v>45</v>
      </c>
      <c r="P14" s="4" t="s">
        <v>45</v>
      </c>
      <c r="Q14" s="4" t="s">
        <v>45</v>
      </c>
      <c r="R14" s="5" t="s">
        <v>89</v>
      </c>
      <c r="S14" s="5" t="s">
        <v>83</v>
      </c>
    </row>
    <row r="15" spans="1:20" x14ac:dyDescent="0.2">
      <c r="A15" s="12">
        <f>IF(C9&gt;0,0,360)</f>
        <v>0</v>
      </c>
      <c r="B15" s="12">
        <f>A15*2*PI()/360</f>
        <v>0</v>
      </c>
      <c r="C15" s="13">
        <f>($C$11-G15)/($C$11-$C$12)</f>
        <v>4.7825890414021009E-4</v>
      </c>
      <c r="D15" s="13">
        <f>$C$9*$C$8*$C$3/$C$5*SIN(H15)/SIN(E15)</f>
        <v>-2.5396328117981111</v>
      </c>
      <c r="E15" s="12">
        <f>ACOS(($C$5^2+$C$4^2-$C$7^2-$C$8^2+2*$C$7*$C$8*COS(B15-$C$10))/(2*$C$5*$C$4))</f>
        <v>1.2730123571637884</v>
      </c>
      <c r="F15" s="12">
        <f>SQRT($C$8^2+$C$7^2-2*$C$8*$C$7*COS(B15-$C$10))</f>
        <v>145.45636690020069</v>
      </c>
      <c r="G15" s="12">
        <f t="shared" ref="G15:G46" si="0">ACOS(($C$5^2+F15^2-$C$4^2)/(2*$C$5*F15))-ASIN($C$8*SIN(B15-$C$10)/F15)</f>
        <v>1.2338569088422555</v>
      </c>
      <c r="H15" s="12">
        <f t="shared" ref="H15:H46" si="1">E15+G15-(B15-$C$10)</f>
        <v>3.1913857459828683</v>
      </c>
      <c r="I15" s="12"/>
      <c r="J15" s="12">
        <f>$C$3*($C$11-G15)</f>
        <v>4.816491542249679E-2</v>
      </c>
      <c r="K15" s="12">
        <f>(J15-J86)/10*$E$11</f>
        <v>-0.28009638444855872</v>
      </c>
      <c r="L15" s="14">
        <f>(K15-K86)/(B16-B15)*$E$11*2*3.1415/60*$C$9</f>
        <v>2.0558382560397401</v>
      </c>
      <c r="N15" s="6">
        <v>13000</v>
      </c>
      <c r="O15" s="12">
        <f>D15*(N15-$M$9)</f>
        <v>-31618.428506886481</v>
      </c>
      <c r="P15" s="12">
        <f>$M$10*SIN(RADIANS(A15))*$C$9</f>
        <v>0</v>
      </c>
      <c r="Q15" s="12">
        <f>O15-P15</f>
        <v>-31618.428506886481</v>
      </c>
      <c r="R15" s="13">
        <f>IF(($F$3+P15)/D15+$M$9&lt;$F$4,($F$3+P15)/D15+$M$9,$F$4)</f>
        <v>-125452.46717297434</v>
      </c>
      <c r="S15" s="12"/>
      <c r="T15" s="12"/>
    </row>
    <row r="16" spans="1:20" x14ac:dyDescent="0.2">
      <c r="A16" s="12">
        <f>A15+$C$9*5</f>
        <v>5</v>
      </c>
      <c r="B16" s="12">
        <f t="shared" ref="B16:B79" si="2">A16*2*PI()/360</f>
        <v>8.7266462599716474E-2</v>
      </c>
      <c r="C16" s="13">
        <f t="shared" ref="C16:C79" si="3">($C$11-G16)/($C$11-$C$12)</f>
        <v>8.2245896097818373E-4</v>
      </c>
      <c r="D16" s="13">
        <f t="shared" ref="D16:D79" si="4">$C$9*$C$8*$C$3/$C$5*SIN(H16)/SIN(E16)</f>
        <v>3.3592638917798867</v>
      </c>
      <c r="E16" s="12">
        <f t="shared" ref="E16:E79" si="5">ACOS(($C$5^2+$C$4^2-$C$7^2-$C$8^2+2*$C$7*$C$8*COS(B16-$C$10))/(2*$C$5*$C$4))</f>
        <v>1.2454539016167006</v>
      </c>
      <c r="F16" s="12">
        <f t="shared" ref="F16:F79" si="6">SQRT($C$8^2+$C$7^2-2*$C$8*$C$7*COS(B16-$C$10))</f>
        <v>142.78790998711213</v>
      </c>
      <c r="G16" s="12">
        <f t="shared" si="0"/>
        <v>1.2335881956644001</v>
      </c>
      <c r="H16" s="12">
        <f t="shared" si="1"/>
        <v>3.0762921146582087</v>
      </c>
      <c r="I16" s="12"/>
      <c r="J16" s="12">
        <f t="shared" ref="J16:J79" si="7">$C$3*($C$11-G16)</f>
        <v>8.2828915365839917E-2</v>
      </c>
      <c r="K16" s="12">
        <f>(J16-J15)/10*$E$11</f>
        <v>2.0555751966402473E-2</v>
      </c>
      <c r="L16" s="14">
        <f>(K16-K15)/(B16-B15)*$E$11*2*3.1415/60*$C$9</f>
        <v>2.1393775051621677</v>
      </c>
      <c r="N16" s="6">
        <v>12200</v>
      </c>
      <c r="O16" s="12">
        <f t="shared" ref="O16:O79" si="8">D16*(N16-$M$9)</f>
        <v>39135.42433923568</v>
      </c>
      <c r="P16" s="12">
        <f t="shared" ref="P16:P79" si="9">$M$10*SIN(RADIANS(A16))*$C$9</f>
        <v>61528.004607723546</v>
      </c>
      <c r="Q16" s="12">
        <f t="shared" ref="Q16:Q79" si="10">O16-P16</f>
        <v>-22392.580268487865</v>
      </c>
      <c r="R16" s="13">
        <f t="shared" ref="R16:R79" si="11">IF(($F$3+P16)/D16+$M$9&lt;$F$4,($F$3+P16)/D16+$M$9,$F$4)</f>
        <v>29800</v>
      </c>
      <c r="S16" s="12">
        <f>(N16+N15)/2*(J16-J15)/12</f>
        <v>36.397199940510284</v>
      </c>
      <c r="T16" s="12"/>
    </row>
    <row r="17" spans="1:20" x14ac:dyDescent="0.2">
      <c r="A17" s="12">
        <f t="shared" ref="A17:A80" si="12">A16+$C$9*5</f>
        <v>10</v>
      </c>
      <c r="B17" s="12">
        <f t="shared" si="2"/>
        <v>0.17453292519943295</v>
      </c>
      <c r="C17" s="13">
        <f t="shared" si="3"/>
        <v>6.3304293059057342E-3</v>
      </c>
      <c r="D17" s="13">
        <f t="shared" si="4"/>
        <v>9.362901666036425</v>
      </c>
      <c r="E17" s="12">
        <f t="shared" si="5"/>
        <v>1.2210075508983413</v>
      </c>
      <c r="F17" s="12">
        <f t="shared" si="6"/>
        <v>140.39949806852948</v>
      </c>
      <c r="G17" s="12">
        <f t="shared" si="0"/>
        <v>1.2292881841289129</v>
      </c>
      <c r="H17" s="12">
        <f t="shared" si="1"/>
        <v>2.9602792898046455</v>
      </c>
      <c r="I17" s="12"/>
      <c r="J17" s="12">
        <f t="shared" si="7"/>
        <v>0.63753040344368905</v>
      </c>
      <c r="K17" s="12">
        <f t="shared" ref="K17:K80" si="13">(J17-J16)/10*$E$11</f>
        <v>0.32893798243016453</v>
      </c>
      <c r="L17" s="14">
        <f t="shared" ref="L17:L80" si="14">(K17-K16)/(B17-B16)*$E$11*2*3.1415/60*$C$9</f>
        <v>2.1943832321062375</v>
      </c>
      <c r="N17" s="6">
        <v>12200</v>
      </c>
      <c r="O17" s="12">
        <f t="shared" si="8"/>
        <v>109077.80440932435</v>
      </c>
      <c r="P17" s="12">
        <f t="shared" si="9"/>
        <v>122587.74394875737</v>
      </c>
      <c r="Q17" s="12">
        <f t="shared" si="10"/>
        <v>-13509.93953943302</v>
      </c>
      <c r="R17" s="13">
        <f t="shared" si="11"/>
        <v>29800</v>
      </c>
      <c r="S17" s="12">
        <f t="shared" ref="S17:S80" si="15">(N17+N16)/2*(J17-J16)/12</f>
        <v>563.94651287914655</v>
      </c>
      <c r="T17" s="12"/>
    </row>
    <row r="18" spans="1:20" x14ac:dyDescent="0.2">
      <c r="A18" s="12">
        <f t="shared" si="12"/>
        <v>15</v>
      </c>
      <c r="B18" s="12">
        <f t="shared" si="2"/>
        <v>0.26179938779914941</v>
      </c>
      <c r="C18" s="13">
        <f t="shared" si="3"/>
        <v>1.7049377283328837E-2</v>
      </c>
      <c r="D18" s="13">
        <f t="shared" si="4"/>
        <v>15.368132241958484</v>
      </c>
      <c r="E18" s="12">
        <f t="shared" si="5"/>
        <v>1.1999276074773642</v>
      </c>
      <c r="F18" s="12">
        <f t="shared" si="6"/>
        <v>138.32424841756603</v>
      </c>
      <c r="G18" s="12">
        <f t="shared" si="0"/>
        <v>1.2209200199840835</v>
      </c>
      <c r="H18" s="12">
        <f t="shared" si="1"/>
        <v>2.8435647196391223</v>
      </c>
      <c r="I18" s="12"/>
      <c r="J18" s="12">
        <f t="shared" si="7"/>
        <v>1.7170235781266865</v>
      </c>
      <c r="K18" s="12">
        <f t="shared" si="13"/>
        <v>0.64013945258701743</v>
      </c>
      <c r="L18" s="14">
        <f t="shared" si="14"/>
        <v>2.2144443500912243</v>
      </c>
      <c r="N18" s="6">
        <v>12800</v>
      </c>
      <c r="O18" s="12">
        <f t="shared" si="8"/>
        <v>188259.61996399143</v>
      </c>
      <c r="P18" s="12">
        <f t="shared" si="9"/>
        <v>182714.51653783757</v>
      </c>
      <c r="Q18" s="12">
        <f t="shared" si="10"/>
        <v>5545.1034261538589</v>
      </c>
      <c r="R18" s="13">
        <f t="shared" si="11"/>
        <v>29800</v>
      </c>
      <c r="S18" s="12">
        <f t="shared" si="15"/>
        <v>1124.4720569614558</v>
      </c>
      <c r="T18" s="12"/>
    </row>
    <row r="19" spans="1:20" x14ac:dyDescent="0.2">
      <c r="A19" s="12">
        <f t="shared" si="12"/>
        <v>20</v>
      </c>
      <c r="B19" s="12">
        <f t="shared" si="2"/>
        <v>0.3490658503988659</v>
      </c>
      <c r="C19" s="13">
        <f t="shared" si="3"/>
        <v>3.2930828540848923E-2</v>
      </c>
      <c r="D19" s="13">
        <f t="shared" si="4"/>
        <v>21.257941208928148</v>
      </c>
      <c r="E19" s="12">
        <f t="shared" si="5"/>
        <v>1.1824475409099933</v>
      </c>
      <c r="F19" s="12">
        <f t="shared" si="6"/>
        <v>136.592552144866</v>
      </c>
      <c r="G19" s="12">
        <f t="shared" si="0"/>
        <v>1.2085215466207502</v>
      </c>
      <c r="H19" s="12">
        <f t="shared" si="1"/>
        <v>2.7264197171087021</v>
      </c>
      <c r="I19" s="12"/>
      <c r="J19" s="12">
        <f t="shared" si="7"/>
        <v>3.3164266419966859</v>
      </c>
      <c r="K19" s="12">
        <f t="shared" si="13"/>
        <v>0.94844601687490959</v>
      </c>
      <c r="L19" s="14">
        <f t="shared" si="14"/>
        <v>2.1938448074787322</v>
      </c>
      <c r="N19" s="6">
        <v>13400</v>
      </c>
      <c r="O19" s="12">
        <f t="shared" si="8"/>
        <v>273164.54453472671</v>
      </c>
      <c r="P19" s="12">
        <f t="shared" si="9"/>
        <v>241450.72133002331</v>
      </c>
      <c r="Q19" s="12">
        <f t="shared" si="10"/>
        <v>31713.823204703396</v>
      </c>
      <c r="R19" s="13">
        <f t="shared" si="11"/>
        <v>26961.340393312359</v>
      </c>
      <c r="S19" s="12">
        <f t="shared" si="15"/>
        <v>1746.015011391416</v>
      </c>
      <c r="T19" s="12"/>
    </row>
    <row r="20" spans="1:20" x14ac:dyDescent="0.2">
      <c r="A20" s="12">
        <f t="shared" si="12"/>
        <v>25</v>
      </c>
      <c r="B20" s="12">
        <f t="shared" si="2"/>
        <v>0.43633231299858238</v>
      </c>
      <c r="C20" s="13">
        <f t="shared" si="3"/>
        <v>5.3820706357927434E-2</v>
      </c>
      <c r="D20" s="13">
        <f t="shared" si="4"/>
        <v>26.906660412695967</v>
      </c>
      <c r="E20" s="12">
        <f t="shared" si="5"/>
        <v>1.1687718980519537</v>
      </c>
      <c r="F20" s="12">
        <f t="shared" si="6"/>
        <v>135.23100628110691</v>
      </c>
      <c r="G20" s="12">
        <f t="shared" si="0"/>
        <v>1.1922130500306987</v>
      </c>
      <c r="H20" s="12">
        <f t="shared" si="1"/>
        <v>2.6091691150608947</v>
      </c>
      <c r="I20" s="12"/>
      <c r="J20" s="12">
        <f t="shared" si="7"/>
        <v>5.4202227021133309</v>
      </c>
      <c r="K20" s="12">
        <f t="shared" si="13"/>
        <v>1.2475510636491705</v>
      </c>
      <c r="L20" s="14">
        <f t="shared" si="14"/>
        <v>2.1283687399651172</v>
      </c>
      <c r="N20" s="6">
        <v>14000</v>
      </c>
      <c r="O20" s="12">
        <f t="shared" si="8"/>
        <v>361894.58255076077</v>
      </c>
      <c r="P20" s="12">
        <f t="shared" si="9"/>
        <v>298349.34034095594</v>
      </c>
      <c r="Q20" s="12">
        <f t="shared" si="10"/>
        <v>63545.242209804826</v>
      </c>
      <c r="R20" s="13">
        <f t="shared" si="11"/>
        <v>23531.274184780894</v>
      </c>
      <c r="S20" s="12">
        <f t="shared" si="15"/>
        <v>2401.8338352998367</v>
      </c>
      <c r="T20" s="12"/>
    </row>
    <row r="21" spans="1:20" x14ac:dyDescent="0.2">
      <c r="A21" s="12">
        <f t="shared" si="12"/>
        <v>30</v>
      </c>
      <c r="B21" s="12">
        <f t="shared" si="2"/>
        <v>0.52359877559829882</v>
      </c>
      <c r="C21" s="13">
        <f t="shared" si="3"/>
        <v>7.9454865641687758E-2</v>
      </c>
      <c r="D21" s="13">
        <f t="shared" si="4"/>
        <v>32.187277760595485</v>
      </c>
      <c r="E21" s="12">
        <f t="shared" si="5"/>
        <v>1.1590681909444727</v>
      </c>
      <c r="F21" s="12">
        <f t="shared" si="6"/>
        <v>134.26136324965057</v>
      </c>
      <c r="G21" s="12">
        <f t="shared" si="0"/>
        <v>1.1722007453667498</v>
      </c>
      <c r="H21" s="12">
        <f t="shared" si="1"/>
        <v>2.4921866406897477</v>
      </c>
      <c r="I21" s="12"/>
      <c r="J21" s="12">
        <f t="shared" si="7"/>
        <v>8.0018100037627367</v>
      </c>
      <c r="K21" s="12">
        <f t="shared" si="13"/>
        <v>1.5308812698780974</v>
      </c>
      <c r="L21" s="14">
        <f t="shared" si="14"/>
        <v>2.016118285294715</v>
      </c>
      <c r="N21" s="6">
        <v>14250</v>
      </c>
      <c r="O21" s="12">
        <f t="shared" si="8"/>
        <v>440965.70532015816</v>
      </c>
      <c r="P21" s="12">
        <f t="shared" si="9"/>
        <v>352977.34072363673</v>
      </c>
      <c r="Q21" s="12">
        <f t="shared" si="10"/>
        <v>87988.364596521424</v>
      </c>
      <c r="R21" s="13">
        <f t="shared" si="11"/>
        <v>21458.178247602951</v>
      </c>
      <c r="S21" s="12">
        <f t="shared" si="15"/>
        <v>3038.7433863164879</v>
      </c>
      <c r="T21" s="12"/>
    </row>
    <row r="22" spans="1:20" x14ac:dyDescent="0.2">
      <c r="A22" s="12">
        <f t="shared" si="12"/>
        <v>35</v>
      </c>
      <c r="B22" s="12">
        <f t="shared" si="2"/>
        <v>0.6108652381980153</v>
      </c>
      <c r="C22" s="13">
        <f t="shared" si="3"/>
        <v>0.1094616504727234</v>
      </c>
      <c r="D22" s="13">
        <f t="shared" si="4"/>
        <v>36.980187447949689</v>
      </c>
      <c r="E22" s="12">
        <f t="shared" si="5"/>
        <v>1.1534595165792045</v>
      </c>
      <c r="F22" s="12">
        <f t="shared" si="6"/>
        <v>133.69958804922885</v>
      </c>
      <c r="G22" s="12">
        <f t="shared" si="0"/>
        <v>1.148774780295031</v>
      </c>
      <c r="H22" s="12">
        <f t="shared" si="1"/>
        <v>2.3758855386530446</v>
      </c>
      <c r="I22" s="12"/>
      <c r="J22" s="12">
        <f t="shared" si="7"/>
        <v>11.02375949801446</v>
      </c>
      <c r="K22" s="12">
        <f t="shared" si="13"/>
        <v>1.7920160500912719</v>
      </c>
      <c r="L22" s="14">
        <f t="shared" si="14"/>
        <v>1.8581802918987396</v>
      </c>
      <c r="N22" s="6">
        <v>14500</v>
      </c>
      <c r="O22" s="12">
        <f t="shared" si="8"/>
        <v>515873.61489889817</v>
      </c>
      <c r="P22" s="12">
        <f t="shared" si="9"/>
        <v>404918.97040986508</v>
      </c>
      <c r="Q22" s="12">
        <f t="shared" si="10"/>
        <v>110954.64448903309</v>
      </c>
      <c r="R22" s="13">
        <f t="shared" si="11"/>
        <v>20152.901457170876</v>
      </c>
      <c r="S22" s="12">
        <f t="shared" si="15"/>
        <v>3620.0436649890435</v>
      </c>
      <c r="T22" s="12"/>
    </row>
    <row r="23" spans="1:20" x14ac:dyDescent="0.2">
      <c r="A23" s="12">
        <f t="shared" si="12"/>
        <v>40</v>
      </c>
      <c r="B23" s="12">
        <f t="shared" si="2"/>
        <v>0.69813170079773179</v>
      </c>
      <c r="C23" s="13">
        <f t="shared" si="3"/>
        <v>0.14337226913079654</v>
      </c>
      <c r="D23" s="13">
        <f t="shared" si="4"/>
        <v>41.182267120229852</v>
      </c>
      <c r="E23" s="12">
        <f t="shared" si="5"/>
        <v>1.1520186996917732</v>
      </c>
      <c r="F23" s="12">
        <f t="shared" si="6"/>
        <v>133.55511694308268</v>
      </c>
      <c r="G23" s="12">
        <f t="shared" si="0"/>
        <v>1.1223011353271513</v>
      </c>
      <c r="H23" s="12">
        <f t="shared" si="1"/>
        <v>2.2607046141980169</v>
      </c>
      <c r="I23" s="12"/>
      <c r="J23" s="12">
        <f t="shared" si="7"/>
        <v>14.438859698870946</v>
      </c>
      <c r="K23" s="12">
        <f t="shared" si="13"/>
        <v>2.0251544191078961</v>
      </c>
      <c r="L23" s="14">
        <f t="shared" si="14"/>
        <v>1.6589637054032331</v>
      </c>
      <c r="N23" s="6">
        <v>14500</v>
      </c>
      <c r="O23" s="12">
        <f t="shared" si="8"/>
        <v>574492.6263272065</v>
      </c>
      <c r="P23" s="12">
        <f t="shared" si="9"/>
        <v>453778.92223451525</v>
      </c>
      <c r="Q23" s="12">
        <f t="shared" si="10"/>
        <v>120713.70409269125</v>
      </c>
      <c r="R23" s="13">
        <f t="shared" si="11"/>
        <v>19339.128825168878</v>
      </c>
      <c r="S23" s="12">
        <f t="shared" si="15"/>
        <v>4126.5794093682534</v>
      </c>
      <c r="T23" s="12"/>
    </row>
    <row r="24" spans="1:20" x14ac:dyDescent="0.2">
      <c r="A24" s="12">
        <f t="shared" si="12"/>
        <v>45</v>
      </c>
      <c r="B24" s="12">
        <f t="shared" si="2"/>
        <v>0.78539816339744828</v>
      </c>
      <c r="C24" s="13">
        <f t="shared" si="3"/>
        <v>0.18063868138425521</v>
      </c>
      <c r="D24" s="13">
        <f t="shared" si="4"/>
        <v>44.71490352677548</v>
      </c>
      <c r="E24" s="12">
        <f t="shared" si="5"/>
        <v>1.15476465152643</v>
      </c>
      <c r="F24" s="12">
        <f t="shared" si="6"/>
        <v>133.83039924824564</v>
      </c>
      <c r="G24" s="12">
        <f t="shared" si="0"/>
        <v>1.093207659411169</v>
      </c>
      <c r="H24" s="12">
        <f t="shared" si="1"/>
        <v>2.1470906275169752</v>
      </c>
      <c r="I24" s="12"/>
      <c r="J24" s="12">
        <f t="shared" si="7"/>
        <v>18.191918092032651</v>
      </c>
      <c r="K24" s="12">
        <f t="shared" si="13"/>
        <v>2.2255636271448909</v>
      </c>
      <c r="L24" s="14">
        <f t="shared" si="14"/>
        <v>1.4260698647088546</v>
      </c>
      <c r="N24" s="6">
        <v>15375</v>
      </c>
      <c r="O24" s="12">
        <f t="shared" si="8"/>
        <v>662898.4447844465</v>
      </c>
      <c r="P24" s="12">
        <f t="shared" si="9"/>
        <v>499185.34246175608</v>
      </c>
      <c r="Q24" s="12">
        <f t="shared" si="10"/>
        <v>163713.10232269042</v>
      </c>
      <c r="R24" s="13">
        <f t="shared" si="11"/>
        <v>18870.185840750484</v>
      </c>
      <c r="S24" s="12">
        <f t="shared" si="15"/>
        <v>4671.7758123210815</v>
      </c>
      <c r="T24" s="12"/>
    </row>
    <row r="25" spans="1:20" x14ac:dyDescent="0.2">
      <c r="A25" s="12">
        <f t="shared" si="12"/>
        <v>50</v>
      </c>
      <c r="B25" s="12">
        <f t="shared" si="2"/>
        <v>0.87266462599716477</v>
      </c>
      <c r="C25" s="13">
        <f t="shared" si="3"/>
        <v>0.22065749720041392</v>
      </c>
      <c r="D25" s="13">
        <f t="shared" si="4"/>
        <v>47.529645563845826</v>
      </c>
      <c r="E25" s="12">
        <f t="shared" si="5"/>
        <v>1.1616614026490126</v>
      </c>
      <c r="F25" s="12">
        <f t="shared" si="6"/>
        <v>134.52077593593884</v>
      </c>
      <c r="G25" s="12">
        <f t="shared" si="0"/>
        <v>1.0619654124726947</v>
      </c>
      <c r="H25" s="12">
        <f t="shared" si="1"/>
        <v>2.0354786691013667</v>
      </c>
      <c r="I25" s="12"/>
      <c r="J25" s="12">
        <f t="shared" si="7"/>
        <v>22.222167947095841</v>
      </c>
      <c r="K25" s="12">
        <f t="shared" si="13"/>
        <v>2.3899381640524711</v>
      </c>
      <c r="L25" s="14">
        <f t="shared" si="14"/>
        <v>1.1696547075127521</v>
      </c>
      <c r="N25" s="6">
        <v>16250</v>
      </c>
      <c r="O25" s="12">
        <f t="shared" si="8"/>
        <v>746215.43535237946</v>
      </c>
      <c r="P25" s="12">
        <f t="shared" si="9"/>
        <v>540792.66081651219</v>
      </c>
      <c r="Q25" s="12">
        <f t="shared" si="10"/>
        <v>205422.77453586727</v>
      </c>
      <c r="R25" s="13">
        <f t="shared" si="11"/>
        <v>18660.647588571283</v>
      </c>
      <c r="S25" s="12">
        <f t="shared" si="15"/>
        <v>5310.6938194322238</v>
      </c>
      <c r="T25" s="12"/>
    </row>
    <row r="26" spans="1:20" x14ac:dyDescent="0.2">
      <c r="A26" s="12">
        <f t="shared" si="12"/>
        <v>55</v>
      </c>
      <c r="B26" s="12">
        <f t="shared" si="2"/>
        <v>0.95993108859688125</v>
      </c>
      <c r="C26" s="13">
        <f t="shared" si="3"/>
        <v>0.26279739469985147</v>
      </c>
      <c r="D26" s="13">
        <f t="shared" si="4"/>
        <v>49.610571301853561</v>
      </c>
      <c r="E26" s="12">
        <f t="shared" si="5"/>
        <v>1.1726199348815134</v>
      </c>
      <c r="F26" s="12">
        <f t="shared" si="6"/>
        <v>135.61470968063395</v>
      </c>
      <c r="G26" s="12">
        <f t="shared" si="0"/>
        <v>1.0290672605211861</v>
      </c>
      <c r="H26" s="12">
        <f t="shared" si="1"/>
        <v>1.9262725867826425</v>
      </c>
      <c r="I26" s="12"/>
      <c r="J26" s="12">
        <f t="shared" si="7"/>
        <v>26.466029548840446</v>
      </c>
      <c r="K26" s="12">
        <f t="shared" si="13"/>
        <v>2.5166099298345506</v>
      </c>
      <c r="L26" s="14">
        <f t="shared" si="14"/>
        <v>0.90136970082699908</v>
      </c>
      <c r="N26" s="6">
        <v>17800</v>
      </c>
      <c r="O26" s="12">
        <f t="shared" si="8"/>
        <v>855782.35495697393</v>
      </c>
      <c r="P26" s="12">
        <f t="shared" si="9"/>
        <v>578284.2204829182</v>
      </c>
      <c r="Q26" s="12">
        <f t="shared" si="10"/>
        <v>277498.13447405573</v>
      </c>
      <c r="R26" s="13">
        <f t="shared" si="11"/>
        <v>18656.709858617498</v>
      </c>
      <c r="S26" s="12">
        <f t="shared" si="15"/>
        <v>6020.9786474751591</v>
      </c>
      <c r="T26" s="12"/>
    </row>
    <row r="27" spans="1:20" x14ac:dyDescent="0.2">
      <c r="A27" s="12">
        <f t="shared" si="12"/>
        <v>60</v>
      </c>
      <c r="B27" s="12">
        <f t="shared" si="2"/>
        <v>1.0471975511965976</v>
      </c>
      <c r="C27" s="13">
        <f t="shared" si="3"/>
        <v>0.30642704529780057</v>
      </c>
      <c r="D27" s="13">
        <f t="shared" si="4"/>
        <v>50.97310826965942</v>
      </c>
      <c r="E27" s="12">
        <f t="shared" si="5"/>
        <v>1.1875025766561327</v>
      </c>
      <c r="F27" s="12">
        <f t="shared" si="6"/>
        <v>137.09433876355652</v>
      </c>
      <c r="G27" s="12">
        <f t="shared" si="0"/>
        <v>0.99500607480089065</v>
      </c>
      <c r="H27" s="12">
        <f t="shared" si="1"/>
        <v>1.8198275802372499</v>
      </c>
      <c r="I27" s="12"/>
      <c r="J27" s="12">
        <f t="shared" si="7"/>
        <v>30.859922506758565</v>
      </c>
      <c r="K27" s="12">
        <f t="shared" si="13"/>
        <v>2.6055785240454443</v>
      </c>
      <c r="L27" s="14">
        <f t="shared" si="14"/>
        <v>0.6330818446537928</v>
      </c>
      <c r="N27" s="6">
        <v>18000</v>
      </c>
      <c r="O27" s="12">
        <f t="shared" si="8"/>
        <v>889480.73930555687</v>
      </c>
      <c r="P27" s="12">
        <f t="shared" si="9"/>
        <v>611374.68805388978</v>
      </c>
      <c r="Q27" s="12">
        <f t="shared" si="10"/>
        <v>278106.05125166709</v>
      </c>
      <c r="R27" s="13">
        <f t="shared" si="11"/>
        <v>18821.883345365251</v>
      </c>
      <c r="S27" s="12">
        <f t="shared" si="15"/>
        <v>6554.2236622278615</v>
      </c>
      <c r="T27" s="12"/>
    </row>
    <row r="28" spans="1:20" x14ac:dyDescent="0.2">
      <c r="A28" s="12">
        <f t="shared" si="12"/>
        <v>65</v>
      </c>
      <c r="B28" s="12">
        <f t="shared" si="2"/>
        <v>1.1344640137963142</v>
      </c>
      <c r="C28" s="13">
        <f t="shared" si="3"/>
        <v>0.3509406144940917</v>
      </c>
      <c r="D28" s="13">
        <f t="shared" si="4"/>
        <v>51.659741914584977</v>
      </c>
      <c r="E28" s="12">
        <f t="shared" si="5"/>
        <v>1.2061294173068957</v>
      </c>
      <c r="F28" s="12">
        <f t="shared" si="6"/>
        <v>138.93629092078098</v>
      </c>
      <c r="G28" s="12">
        <f t="shared" si="0"/>
        <v>0.96025482360615</v>
      </c>
      <c r="H28" s="12">
        <f t="shared" si="1"/>
        <v>1.716436707093556</v>
      </c>
      <c r="I28" s="12"/>
      <c r="J28" s="12">
        <f t="shared" si="7"/>
        <v>35.34283391088011</v>
      </c>
      <c r="K28" s="12">
        <f t="shared" si="13"/>
        <v>2.6583664626440759</v>
      </c>
      <c r="L28" s="14">
        <f t="shared" si="14"/>
        <v>0.37562789251536549</v>
      </c>
      <c r="N28" s="6">
        <v>18500</v>
      </c>
      <c r="O28" s="12">
        <f t="shared" si="8"/>
        <v>927292.36736680032</v>
      </c>
      <c r="P28" s="12">
        <f t="shared" si="9"/>
        <v>639812.22509064164</v>
      </c>
      <c r="Q28" s="12">
        <f t="shared" si="10"/>
        <v>287480.14227615867</v>
      </c>
      <c r="R28" s="13">
        <f t="shared" si="11"/>
        <v>19129.500971522662</v>
      </c>
      <c r="S28" s="12">
        <f t="shared" si="15"/>
        <v>6817.7610937681829</v>
      </c>
      <c r="T28" s="12"/>
    </row>
    <row r="29" spans="1:20" x14ac:dyDescent="0.2">
      <c r="A29" s="12">
        <f t="shared" si="12"/>
        <v>70</v>
      </c>
      <c r="B29" s="12">
        <f t="shared" si="2"/>
        <v>1.2217304763960306</v>
      </c>
      <c r="C29" s="13">
        <f t="shared" si="3"/>
        <v>0.39577853083138115</v>
      </c>
      <c r="D29" s="13">
        <f t="shared" si="4"/>
        <v>51.733575523168717</v>
      </c>
      <c r="E29" s="12">
        <f t="shared" si="5"/>
        <v>1.2282860013335424</v>
      </c>
      <c r="F29" s="12">
        <f t="shared" si="6"/>
        <v>141.11266996342056</v>
      </c>
      <c r="G29" s="12">
        <f t="shared" si="0"/>
        <v>0.92525035818539603</v>
      </c>
      <c r="H29" s="12">
        <f t="shared" si="1"/>
        <v>1.6163223630997323</v>
      </c>
      <c r="I29" s="12"/>
      <c r="J29" s="12">
        <f t="shared" si="7"/>
        <v>39.858409950157373</v>
      </c>
      <c r="K29" s="12">
        <f t="shared" si="13"/>
        <v>2.6777365912914171</v>
      </c>
      <c r="L29" s="14">
        <f t="shared" si="14"/>
        <v>0.13783377026472629</v>
      </c>
      <c r="N29" s="6">
        <v>19772</v>
      </c>
      <c r="O29" s="12">
        <f t="shared" si="8"/>
        <v>994422.78870634909</v>
      </c>
      <c r="P29" s="12">
        <f t="shared" si="9"/>
        <v>663380.4047652696</v>
      </c>
      <c r="Q29" s="12">
        <f t="shared" si="10"/>
        <v>331042.38394107949</v>
      </c>
      <c r="R29" s="13">
        <f t="shared" si="11"/>
        <v>19558.552856062804</v>
      </c>
      <c r="S29" s="12">
        <f t="shared" si="15"/>
        <v>7200.8385906341427</v>
      </c>
      <c r="T29" s="12"/>
    </row>
    <row r="30" spans="1:20" x14ac:dyDescent="0.2">
      <c r="A30" s="12">
        <f t="shared" si="12"/>
        <v>75</v>
      </c>
      <c r="B30" s="12">
        <f t="shared" si="2"/>
        <v>1.3089969389957472</v>
      </c>
      <c r="C30" s="13">
        <f t="shared" si="3"/>
        <v>0.44044217390031604</v>
      </c>
      <c r="D30" s="13">
        <f t="shared" si="4"/>
        <v>51.270936355044086</v>
      </c>
      <c r="E30" s="12">
        <f t="shared" si="5"/>
        <v>1.2537315095948318</v>
      </c>
      <c r="F30" s="12">
        <f t="shared" si="6"/>
        <v>143.59212089029455</v>
      </c>
      <c r="G30" s="12">
        <f t="shared" si="0"/>
        <v>0.8903819459779535</v>
      </c>
      <c r="H30" s="12">
        <f t="shared" si="1"/>
        <v>1.5196329965538622</v>
      </c>
      <c r="I30" s="12"/>
      <c r="J30" s="12">
        <f t="shared" si="7"/>
        <v>44.356435124917454</v>
      </c>
      <c r="K30" s="12">
        <f t="shared" si="13"/>
        <v>2.6673289286327275</v>
      </c>
      <c r="L30" s="14">
        <f t="shared" si="14"/>
        <v>-7.4058743233359661E-2</v>
      </c>
      <c r="N30" s="6">
        <v>19000</v>
      </c>
      <c r="O30" s="12">
        <f t="shared" si="8"/>
        <v>945948.77575056336</v>
      </c>
      <c r="P30" s="12">
        <f t="shared" si="9"/>
        <v>681899.85899959377</v>
      </c>
      <c r="Q30" s="12">
        <f t="shared" si="10"/>
        <v>264048.9167509696</v>
      </c>
      <c r="R30" s="13">
        <f t="shared" si="11"/>
        <v>20091.282649132383</v>
      </c>
      <c r="S30" s="12">
        <f t="shared" si="15"/>
        <v>7266.5596698249101</v>
      </c>
      <c r="T30" s="12"/>
    </row>
    <row r="31" spans="1:20" x14ac:dyDescent="0.2">
      <c r="A31" s="12">
        <f t="shared" si="12"/>
        <v>80</v>
      </c>
      <c r="B31" s="12">
        <f t="shared" si="2"/>
        <v>1.3962634015954636</v>
      </c>
      <c r="C31" s="13">
        <f t="shared" si="3"/>
        <v>0.484502155167918</v>
      </c>
      <c r="D31" s="13">
        <f t="shared" si="4"/>
        <v>50.354148490875261</v>
      </c>
      <c r="E31" s="12">
        <f t="shared" si="5"/>
        <v>1.2822067076639256</v>
      </c>
      <c r="F31" s="12">
        <f t="shared" si="6"/>
        <v>146.34088695348566</v>
      </c>
      <c r="G31" s="12">
        <f t="shared" si="0"/>
        <v>0.85598480586289893</v>
      </c>
      <c r="H31" s="12">
        <f t="shared" si="1"/>
        <v>1.4264445919081852</v>
      </c>
      <c r="I31" s="12"/>
      <c r="J31" s="12">
        <f t="shared" si="7"/>
        <v>48.7936661997595</v>
      </c>
      <c r="K31" s="12">
        <f t="shared" si="13"/>
        <v>2.6312780273813332</v>
      </c>
      <c r="L31" s="14">
        <f t="shared" si="14"/>
        <v>-0.25653064733791037</v>
      </c>
      <c r="N31" s="6">
        <v>18000</v>
      </c>
      <c r="O31" s="12">
        <f t="shared" si="8"/>
        <v>878679.89116577327</v>
      </c>
      <c r="P31" s="12">
        <f t="shared" si="9"/>
        <v>695229.64356453856</v>
      </c>
      <c r="Q31" s="12">
        <f t="shared" si="10"/>
        <v>183450.2476012347</v>
      </c>
      <c r="R31" s="13">
        <f t="shared" si="11"/>
        <v>20711.787538687295</v>
      </c>
      <c r="S31" s="12">
        <f t="shared" si="15"/>
        <v>6840.7312403814876</v>
      </c>
      <c r="T31" s="12"/>
    </row>
    <row r="32" spans="1:20" x14ac:dyDescent="0.2">
      <c r="A32" s="12">
        <f t="shared" si="12"/>
        <v>85</v>
      </c>
      <c r="B32" s="12">
        <f t="shared" si="2"/>
        <v>1.4835298641951802</v>
      </c>
      <c r="C32" s="13">
        <f t="shared" si="3"/>
        <v>0.52760072175406758</v>
      </c>
      <c r="D32" s="13">
        <f t="shared" si="4"/>
        <v>49.065303137077557</v>
      </c>
      <c r="E32" s="12">
        <f t="shared" si="5"/>
        <v>1.3134411015287002</v>
      </c>
      <c r="F32" s="12">
        <f t="shared" si="6"/>
        <v>149.32379023515637</v>
      </c>
      <c r="G32" s="12">
        <f t="shared" si="0"/>
        <v>0.82233823155734243</v>
      </c>
      <c r="H32" s="12">
        <f t="shared" si="1"/>
        <v>1.3367659488676868</v>
      </c>
      <c r="I32" s="12"/>
      <c r="J32" s="12">
        <f t="shared" si="7"/>
        <v>53.134074285176283</v>
      </c>
      <c r="K32" s="12">
        <f t="shared" si="13"/>
        <v>2.5738619946521522</v>
      </c>
      <c r="L32" s="14">
        <f t="shared" si="14"/>
        <v>-0.40856043905481459</v>
      </c>
      <c r="N32" s="6">
        <v>17750</v>
      </c>
      <c r="O32" s="12">
        <f t="shared" si="8"/>
        <v>843923.21395773394</v>
      </c>
      <c r="P32" s="12">
        <f t="shared" si="9"/>
        <v>703268.31075082114</v>
      </c>
      <c r="Q32" s="12">
        <f t="shared" si="10"/>
        <v>140654.9032069128</v>
      </c>
      <c r="R32" s="13">
        <f t="shared" si="11"/>
        <v>21405.232625222692</v>
      </c>
      <c r="S32" s="12">
        <f t="shared" si="15"/>
        <v>6465.3995439020828</v>
      </c>
      <c r="T32" s="12"/>
    </row>
    <row r="33" spans="1:20" x14ac:dyDescent="0.2">
      <c r="A33" s="12">
        <f t="shared" si="12"/>
        <v>90</v>
      </c>
      <c r="B33" s="12">
        <f t="shared" si="2"/>
        <v>1.5707963267948966</v>
      </c>
      <c r="C33" s="13">
        <f t="shared" si="3"/>
        <v>0.5694493723211107</v>
      </c>
      <c r="D33" s="13">
        <f t="shared" si="4"/>
        <v>47.481482475603549</v>
      </c>
      <c r="E33" s="12">
        <f t="shared" si="5"/>
        <v>1.3471589373133557</v>
      </c>
      <c r="F33" s="12">
        <f t="shared" si="6"/>
        <v>152.50509007898722</v>
      </c>
      <c r="G33" s="12">
        <f t="shared" si="0"/>
        <v>0.78966745286504625</v>
      </c>
      <c r="H33" s="12">
        <f t="shared" si="1"/>
        <v>1.2505465433603296</v>
      </c>
      <c r="I33" s="12"/>
      <c r="J33" s="12">
        <f t="shared" si="7"/>
        <v>57.348604736482493</v>
      </c>
      <c r="K33" s="12">
        <f t="shared" si="13"/>
        <v>2.4992165576245822</v>
      </c>
      <c r="L33" s="14">
        <f t="shared" si="14"/>
        <v>-0.53116126412410136</v>
      </c>
      <c r="N33" s="6">
        <v>17500</v>
      </c>
      <c r="O33" s="12">
        <f t="shared" si="8"/>
        <v>804811.12796148018</v>
      </c>
      <c r="P33" s="12">
        <f t="shared" si="9"/>
        <v>705954.68144727359</v>
      </c>
      <c r="Q33" s="12">
        <f t="shared" si="10"/>
        <v>98856.446514206589</v>
      </c>
      <c r="R33" s="13">
        <f t="shared" si="11"/>
        <v>22157.469437678556</v>
      </c>
      <c r="S33" s="12">
        <f t="shared" si="15"/>
        <v>6190.0916003559969</v>
      </c>
      <c r="T33" s="12"/>
    </row>
    <row r="34" spans="1:20" x14ac:dyDescent="0.2">
      <c r="A34" s="12">
        <f t="shared" si="12"/>
        <v>95</v>
      </c>
      <c r="B34" s="12">
        <f t="shared" si="2"/>
        <v>1.6580627893946132</v>
      </c>
      <c r="C34" s="13">
        <f t="shared" si="3"/>
        <v>0.60982301447089071</v>
      </c>
      <c r="D34" s="13">
        <f t="shared" si="4"/>
        <v>45.671547415362703</v>
      </c>
      <c r="E34" s="12">
        <f t="shared" si="5"/>
        <v>1.383083871177603</v>
      </c>
      <c r="F34" s="12">
        <f t="shared" si="6"/>
        <v>155.84919614740448</v>
      </c>
      <c r="G34" s="12">
        <f t="shared" si="0"/>
        <v>0.75814819693194802</v>
      </c>
      <c r="H34" s="12">
        <f t="shared" si="1"/>
        <v>1.1676857586917619</v>
      </c>
      <c r="I34" s="12"/>
      <c r="J34" s="12">
        <f t="shared" si="7"/>
        <v>61.414588751852165</v>
      </c>
      <c r="K34" s="12">
        <f t="shared" si="13"/>
        <v>2.4111285211142155</v>
      </c>
      <c r="L34" s="14">
        <f t="shared" si="14"/>
        <v>-0.62681598085861479</v>
      </c>
      <c r="N34" s="6">
        <v>16900</v>
      </c>
      <c r="O34" s="12">
        <f t="shared" si="8"/>
        <v>746729.80024118023</v>
      </c>
      <c r="P34" s="12">
        <f t="shared" si="9"/>
        <v>703268.31075082114</v>
      </c>
      <c r="Q34" s="12">
        <f t="shared" si="10"/>
        <v>43461.48949035909</v>
      </c>
      <c r="R34" s="13">
        <f t="shared" si="11"/>
        <v>22954.940683192632</v>
      </c>
      <c r="S34" s="12">
        <f t="shared" si="15"/>
        <v>5827.9104220298641</v>
      </c>
      <c r="T34" s="12"/>
    </row>
    <row r="35" spans="1:20" x14ac:dyDescent="0.2">
      <c r="A35" s="12">
        <f t="shared" si="12"/>
        <v>100</v>
      </c>
      <c r="B35" s="12">
        <f t="shared" si="2"/>
        <v>1.7453292519943295</v>
      </c>
      <c r="C35" s="13">
        <f t="shared" si="3"/>
        <v>0.64855197204398884</v>
      </c>
      <c r="D35" s="13">
        <f t="shared" si="4"/>
        <v>43.694349016527447</v>
      </c>
      <c r="E35" s="12">
        <f t="shared" si="5"/>
        <v>1.4209422898203619</v>
      </c>
      <c r="F35" s="12">
        <f t="shared" si="6"/>
        <v>159.32123156533623</v>
      </c>
      <c r="G35" s="12">
        <f t="shared" si="0"/>
        <v>0.72791292805925278</v>
      </c>
      <c r="H35" s="12">
        <f t="shared" si="1"/>
        <v>1.0880424458621092</v>
      </c>
      <c r="I35" s="12"/>
      <c r="J35" s="12">
        <f t="shared" si="7"/>
        <v>65.314938436429856</v>
      </c>
      <c r="K35" s="12">
        <f t="shared" si="13"/>
        <v>2.3129073629545704</v>
      </c>
      <c r="L35" s="14">
        <f t="shared" si="14"/>
        <v>-0.69892114788665671</v>
      </c>
      <c r="N35" s="6">
        <v>16400</v>
      </c>
      <c r="O35" s="12">
        <f t="shared" si="8"/>
        <v>692555.43191196001</v>
      </c>
      <c r="P35" s="12">
        <f t="shared" si="9"/>
        <v>695229.64356453856</v>
      </c>
      <c r="Q35" s="12">
        <f t="shared" si="10"/>
        <v>-2674.2116525785532</v>
      </c>
      <c r="R35" s="13">
        <f t="shared" si="11"/>
        <v>23784.804188993101</v>
      </c>
      <c r="S35" s="12">
        <f t="shared" si="15"/>
        <v>5411.7351873515463</v>
      </c>
      <c r="T35" s="12"/>
    </row>
    <row r="36" spans="1:20" x14ac:dyDescent="0.2">
      <c r="A36" s="12">
        <f t="shared" si="12"/>
        <v>105</v>
      </c>
      <c r="B36" s="12">
        <f t="shared" si="2"/>
        <v>1.8325957145940461</v>
      </c>
      <c r="C36" s="13">
        <f t="shared" si="3"/>
        <v>0.68551296138952345</v>
      </c>
      <c r="D36" s="13">
        <f t="shared" si="4"/>
        <v>41.598084843171378</v>
      </c>
      <c r="E36" s="12">
        <f t="shared" si="5"/>
        <v>1.4604653694443079</v>
      </c>
      <c r="F36" s="12">
        <f t="shared" si="6"/>
        <v>162.88745504055402</v>
      </c>
      <c r="G36" s="12">
        <f t="shared" si="0"/>
        <v>0.69905789242980643</v>
      </c>
      <c r="H36" s="12">
        <f t="shared" si="1"/>
        <v>1.0114440272568928</v>
      </c>
      <c r="I36" s="12"/>
      <c r="J36" s="12">
        <f t="shared" si="7"/>
        <v>69.037238032628423</v>
      </c>
      <c r="K36" s="12">
        <f t="shared" si="13"/>
        <v>2.2073236605457502</v>
      </c>
      <c r="L36" s="14">
        <f t="shared" si="14"/>
        <v>-0.75131146759390088</v>
      </c>
      <c r="N36" s="6">
        <v>16000</v>
      </c>
      <c r="O36" s="12">
        <f t="shared" si="8"/>
        <v>642690.41082699783</v>
      </c>
      <c r="P36" s="12">
        <f t="shared" si="9"/>
        <v>681899.85899959377</v>
      </c>
      <c r="Q36" s="12">
        <f t="shared" si="10"/>
        <v>-39209.448172595934</v>
      </c>
      <c r="R36" s="13">
        <f t="shared" si="11"/>
        <v>24635.240048354361</v>
      </c>
      <c r="S36" s="12">
        <f t="shared" si="15"/>
        <v>5025.1044548680666</v>
      </c>
      <c r="T36" s="12"/>
    </row>
    <row r="37" spans="1:20" x14ac:dyDescent="0.2">
      <c r="A37" s="12">
        <f t="shared" si="12"/>
        <v>110</v>
      </c>
      <c r="B37" s="12">
        <f t="shared" si="2"/>
        <v>1.9198621771937625</v>
      </c>
      <c r="C37" s="13">
        <f t="shared" si="3"/>
        <v>0.72061988960989032</v>
      </c>
      <c r="D37" s="13">
        <f t="shared" si="4"/>
        <v>39.420478385170405</v>
      </c>
      <c r="E37" s="12">
        <f t="shared" si="5"/>
        <v>1.5013900228344563</v>
      </c>
      <c r="F37" s="12">
        <f t="shared" si="6"/>
        <v>166.51555898287444</v>
      </c>
      <c r="G37" s="12">
        <f t="shared" si="0"/>
        <v>0.67165030181666485</v>
      </c>
      <c r="H37" s="12">
        <f t="shared" si="1"/>
        <v>0.9376946274341833</v>
      </c>
      <c r="I37" s="12"/>
      <c r="J37" s="12">
        <f t="shared" si="7"/>
        <v>72.572817221723696</v>
      </c>
      <c r="K37" s="12">
        <f t="shared" si="13"/>
        <v>2.0965984591334967</v>
      </c>
      <c r="L37" s="14">
        <f t="shared" si="14"/>
        <v>-0.7878972954610205</v>
      </c>
      <c r="N37" s="6">
        <v>16600</v>
      </c>
      <c r="O37" s="12">
        <f t="shared" si="8"/>
        <v>632698.67808198498</v>
      </c>
      <c r="P37" s="12">
        <f t="shared" si="9"/>
        <v>663380.4047652696</v>
      </c>
      <c r="Q37" s="12">
        <f t="shared" si="10"/>
        <v>-30681.726683284622</v>
      </c>
      <c r="R37" s="13">
        <f t="shared" si="11"/>
        <v>25495.927727127928</v>
      </c>
      <c r="S37" s="12">
        <f t="shared" si="15"/>
        <v>4802.4950651877461</v>
      </c>
      <c r="T37" s="12"/>
    </row>
    <row r="38" spans="1:20" x14ac:dyDescent="0.2">
      <c r="A38" s="12">
        <f t="shared" si="12"/>
        <v>115</v>
      </c>
      <c r="B38" s="12">
        <f t="shared" si="2"/>
        <v>2.0071286397934789</v>
      </c>
      <c r="C38" s="13">
        <f t="shared" si="3"/>
        <v>0.75381505466604171</v>
      </c>
      <c r="D38" s="13">
        <f t="shared" si="4"/>
        <v>37.189481054348057</v>
      </c>
      <c r="E38" s="12">
        <f t="shared" si="5"/>
        <v>1.5434589090261803</v>
      </c>
      <c r="F38" s="12">
        <f t="shared" si="6"/>
        <v>170.17486433817621</v>
      </c>
      <c r="G38" s="12">
        <f t="shared" si="0"/>
        <v>0.64573520356358405</v>
      </c>
      <c r="H38" s="12">
        <f t="shared" si="1"/>
        <v>0.86658195277310979</v>
      </c>
      <c r="I38" s="12"/>
      <c r="J38" s="12">
        <f t="shared" si="7"/>
        <v>75.915864896371119</v>
      </c>
      <c r="K38" s="12">
        <f t="shared" si="13"/>
        <v>1.9824272710659214</v>
      </c>
      <c r="L38" s="14">
        <f t="shared" si="14"/>
        <v>-0.81241821329447739</v>
      </c>
      <c r="N38" s="6">
        <v>17200</v>
      </c>
      <c r="O38" s="12">
        <f t="shared" si="8"/>
        <v>619204.8595548952</v>
      </c>
      <c r="P38" s="12">
        <f t="shared" si="9"/>
        <v>639812.22509064176</v>
      </c>
      <c r="Q38" s="12">
        <f t="shared" si="10"/>
        <v>-20607.365535746561</v>
      </c>
      <c r="R38" s="13">
        <f t="shared" si="11"/>
        <v>26358.701758650219</v>
      </c>
      <c r="S38" s="12">
        <f t="shared" si="15"/>
        <v>4708.1254751284532</v>
      </c>
      <c r="T38" s="12"/>
    </row>
    <row r="39" spans="1:20" x14ac:dyDescent="0.2">
      <c r="A39" s="12">
        <f t="shared" si="12"/>
        <v>120</v>
      </c>
      <c r="B39" s="12">
        <f t="shared" si="2"/>
        <v>2.0943951023931953</v>
      </c>
      <c r="C39" s="13">
        <f t="shared" si="3"/>
        <v>0.78506108924836859</v>
      </c>
      <c r="D39" s="13">
        <f t="shared" si="4"/>
        <v>34.9242513816856</v>
      </c>
      <c r="E39" s="12">
        <f t="shared" si="5"/>
        <v>1.5864196792398719</v>
      </c>
      <c r="F39" s="12">
        <f t="shared" si="6"/>
        <v>173.83643331940229</v>
      </c>
      <c r="G39" s="12">
        <f t="shared" si="0"/>
        <v>0.62134176991592982</v>
      </c>
      <c r="H39" s="12">
        <f t="shared" si="1"/>
        <v>0.79788282673943112</v>
      </c>
      <c r="I39" s="12"/>
      <c r="J39" s="12">
        <f t="shared" si="7"/>
        <v>79.062617836918506</v>
      </c>
      <c r="K39" s="12">
        <f t="shared" si="13"/>
        <v>1.8660244937446004</v>
      </c>
      <c r="L39" s="14">
        <f t="shared" si="14"/>
        <v>-0.82829773408270058</v>
      </c>
      <c r="N39" s="6">
        <v>17900</v>
      </c>
      <c r="O39" s="12">
        <f t="shared" si="8"/>
        <v>605935.76147224521</v>
      </c>
      <c r="P39" s="12">
        <f t="shared" si="9"/>
        <v>611374.6880538899</v>
      </c>
      <c r="Q39" s="12">
        <f t="shared" si="10"/>
        <v>-5438.9265816446859</v>
      </c>
      <c r="R39" s="13">
        <f t="shared" si="11"/>
        <v>27218.422405821591</v>
      </c>
      <c r="S39" s="12">
        <f t="shared" si="15"/>
        <v>4602.1261755505539</v>
      </c>
      <c r="T39" s="12"/>
    </row>
    <row r="40" spans="1:20" x14ac:dyDescent="0.2">
      <c r="A40" s="12">
        <f t="shared" si="12"/>
        <v>125</v>
      </c>
      <c r="B40" s="12">
        <f t="shared" si="2"/>
        <v>2.1816615649929116</v>
      </c>
      <c r="C40" s="13">
        <f t="shared" si="3"/>
        <v>0.81433380600672989</v>
      </c>
      <c r="D40" s="13">
        <f t="shared" si="4"/>
        <v>32.636231694854217</v>
      </c>
      <c r="E40" s="12">
        <f t="shared" si="5"/>
        <v>1.6300236172656897</v>
      </c>
      <c r="F40" s="12">
        <f t="shared" si="6"/>
        <v>177.47311964445842</v>
      </c>
      <c r="G40" s="12">
        <f t="shared" si="0"/>
        <v>0.5984888836704686</v>
      </c>
      <c r="H40" s="12">
        <f t="shared" si="1"/>
        <v>0.73136741592007093</v>
      </c>
      <c r="I40" s="12"/>
      <c r="J40" s="12">
        <f t="shared" si="7"/>
        <v>82.010640162583016</v>
      </c>
      <c r="K40" s="12">
        <f t="shared" si="13"/>
        <v>1.7481772391190546</v>
      </c>
      <c r="L40" s="14">
        <f t="shared" si="14"/>
        <v>-0.83857633142854016</v>
      </c>
      <c r="N40" s="6">
        <v>17950</v>
      </c>
      <c r="O40" s="12">
        <f t="shared" si="8"/>
        <v>567870.43149046344</v>
      </c>
      <c r="P40" s="12">
        <f t="shared" si="9"/>
        <v>578284.22048291808</v>
      </c>
      <c r="Q40" s="12">
        <f t="shared" si="10"/>
        <v>-10413.788992454647</v>
      </c>
      <c r="R40" s="13">
        <f t="shared" si="11"/>
        <v>28074.140313801956</v>
      </c>
      <c r="S40" s="12">
        <f t="shared" si="15"/>
        <v>4403.608348961362</v>
      </c>
      <c r="T40" s="12"/>
    </row>
    <row r="41" spans="1:20" x14ac:dyDescent="0.2">
      <c r="A41" s="12">
        <f t="shared" si="12"/>
        <v>130</v>
      </c>
      <c r="B41" s="12">
        <f t="shared" si="2"/>
        <v>2.2689280275926285</v>
      </c>
      <c r="C41" s="13">
        <f t="shared" si="3"/>
        <v>0.84161597347089456</v>
      </c>
      <c r="D41" s="13">
        <f t="shared" si="4"/>
        <v>30.330204623159855</v>
      </c>
      <c r="E41" s="12">
        <f t="shared" si="5"/>
        <v>1.674023811298011</v>
      </c>
      <c r="F41" s="12">
        <f t="shared" si="6"/>
        <v>181.05957325231452</v>
      </c>
      <c r="G41" s="12">
        <f t="shared" si="0"/>
        <v>0.57718999724544651</v>
      </c>
      <c r="H41" s="12">
        <f t="shared" si="1"/>
        <v>0.66680226092765338</v>
      </c>
      <c r="I41" s="12"/>
      <c r="J41" s="12">
        <f t="shared" si="7"/>
        <v>84.758196511410858</v>
      </c>
      <c r="K41" s="12">
        <f t="shared" si="13"/>
        <v>1.6293009148549107</v>
      </c>
      <c r="L41" s="14">
        <f t="shared" si="14"/>
        <v>-0.84589897500697253</v>
      </c>
      <c r="N41" s="6">
        <v>18000</v>
      </c>
      <c r="O41" s="12">
        <f t="shared" si="8"/>
        <v>529262.07067413942</v>
      </c>
      <c r="P41" s="12">
        <f t="shared" si="9"/>
        <v>540792.66081651219</v>
      </c>
      <c r="Q41" s="12">
        <f t="shared" si="10"/>
        <v>-11530.590142372763</v>
      </c>
      <c r="R41" s="13">
        <f t="shared" si="11"/>
        <v>28930.707334866416</v>
      </c>
      <c r="S41" s="12">
        <f t="shared" si="15"/>
        <v>4115.6104475150396</v>
      </c>
      <c r="T41" s="12"/>
    </row>
    <row r="42" spans="1:20" x14ac:dyDescent="0.2">
      <c r="A42" s="12">
        <f t="shared" si="12"/>
        <v>135</v>
      </c>
      <c r="B42" s="12">
        <f t="shared" si="2"/>
        <v>2.3561944901923448</v>
      </c>
      <c r="C42" s="13">
        <f t="shared" si="3"/>
        <v>0.86689197339933188</v>
      </c>
      <c r="D42" s="13">
        <f t="shared" si="4"/>
        <v>28.00526377436055</v>
      </c>
      <c r="E42" s="12">
        <f t="shared" si="5"/>
        <v>1.7181729741280345</v>
      </c>
      <c r="F42" s="12">
        <f t="shared" si="6"/>
        <v>184.57221345990422</v>
      </c>
      <c r="G42" s="12">
        <f t="shared" si="0"/>
        <v>0.5574573036293039</v>
      </c>
      <c r="H42" s="12">
        <f t="shared" si="1"/>
        <v>0.60395226754181808</v>
      </c>
      <c r="I42" s="12"/>
      <c r="J42" s="12">
        <f t="shared" si="7"/>
        <v>87.303713987893261</v>
      </c>
      <c r="K42" s="12">
        <f t="shared" si="13"/>
        <v>1.5094918635540646</v>
      </c>
      <c r="L42" s="14">
        <f t="shared" si="14"/>
        <v>-0.85253606484964783</v>
      </c>
      <c r="N42" s="6">
        <v>18000</v>
      </c>
      <c r="O42" s="12">
        <f t="shared" si="8"/>
        <v>488691.85286259162</v>
      </c>
      <c r="P42" s="12">
        <f t="shared" si="9"/>
        <v>499185.3424617562</v>
      </c>
      <c r="Q42" s="12">
        <f t="shared" si="10"/>
        <v>-10493.489599164575</v>
      </c>
      <c r="R42" s="13">
        <f t="shared" si="11"/>
        <v>29800</v>
      </c>
      <c r="S42" s="12">
        <f t="shared" si="15"/>
        <v>3818.2762147236031</v>
      </c>
      <c r="T42" s="12"/>
    </row>
    <row r="43" spans="1:20" x14ac:dyDescent="0.2">
      <c r="A43" s="12">
        <f t="shared" si="12"/>
        <v>140</v>
      </c>
      <c r="B43" s="12">
        <f t="shared" si="2"/>
        <v>2.4434609527920612</v>
      </c>
      <c r="C43" s="13">
        <f t="shared" si="3"/>
        <v>0.8901432517801664</v>
      </c>
      <c r="D43" s="13">
        <f t="shared" si="4"/>
        <v>25.65567351049571</v>
      </c>
      <c r="E43" s="12">
        <f t="shared" si="5"/>
        <v>1.7622210145193338</v>
      </c>
      <c r="F43" s="12">
        <f t="shared" si="6"/>
        <v>187.989181584699</v>
      </c>
      <c r="G43" s="12">
        <f t="shared" si="0"/>
        <v>0.53930528773392283</v>
      </c>
      <c r="H43" s="12">
        <f t="shared" si="1"/>
        <v>0.5425818294380198</v>
      </c>
      <c r="I43" s="12"/>
      <c r="J43" s="12">
        <f t="shared" si="7"/>
        <v>89.645324038397419</v>
      </c>
      <c r="K43" s="12">
        <f t="shared" si="13"/>
        <v>1.388574759948966</v>
      </c>
      <c r="L43" s="14">
        <f t="shared" si="14"/>
        <v>-0.86042073250086737</v>
      </c>
      <c r="N43" s="6">
        <v>18000</v>
      </c>
      <c r="O43" s="12">
        <f t="shared" si="8"/>
        <v>447691.50275815016</v>
      </c>
      <c r="P43" s="12">
        <f t="shared" si="9"/>
        <v>453778.92223451543</v>
      </c>
      <c r="Q43" s="12">
        <f t="shared" si="10"/>
        <v>-6087.4194763652631</v>
      </c>
      <c r="R43" s="13">
        <f t="shared" si="11"/>
        <v>29800</v>
      </c>
      <c r="S43" s="12">
        <f t="shared" si="15"/>
        <v>3512.4150757562379</v>
      </c>
      <c r="T43" s="12"/>
    </row>
    <row r="44" spans="1:20" x14ac:dyDescent="0.2">
      <c r="A44" s="12">
        <f t="shared" si="12"/>
        <v>145</v>
      </c>
      <c r="B44" s="12">
        <f t="shared" si="2"/>
        <v>2.5307274153917776</v>
      </c>
      <c r="C44" s="13">
        <f t="shared" si="3"/>
        <v>0.91134446789146517</v>
      </c>
      <c r="D44" s="13">
        <f t="shared" si="4"/>
        <v>23.271623401873647</v>
      </c>
      <c r="E44" s="12">
        <f t="shared" si="5"/>
        <v>1.8059124581542596</v>
      </c>
      <c r="F44" s="12">
        <f t="shared" si="6"/>
        <v>191.29028143215277</v>
      </c>
      <c r="G44" s="12">
        <f t="shared" si="0"/>
        <v>0.5227537327806725</v>
      </c>
      <c r="H44" s="12">
        <f t="shared" si="1"/>
        <v>0.48245525551997881</v>
      </c>
      <c r="I44" s="12"/>
      <c r="J44" s="12">
        <f t="shared" si="7"/>
        <v>91.780474627366701</v>
      </c>
      <c r="K44" s="12">
        <f t="shared" si="13"/>
        <v>1.2661442992587841</v>
      </c>
      <c r="L44" s="14">
        <f t="shared" si="14"/>
        <v>-0.87118946391156371</v>
      </c>
      <c r="N44" s="6">
        <v>17333</v>
      </c>
      <c r="O44" s="12">
        <f t="shared" si="8"/>
        <v>390567.6555536454</v>
      </c>
      <c r="P44" s="12">
        <f t="shared" si="9"/>
        <v>404918.97040986503</v>
      </c>
      <c r="Q44" s="12">
        <f t="shared" si="10"/>
        <v>-14351.314856219629</v>
      </c>
      <c r="R44" s="13">
        <f t="shared" si="11"/>
        <v>29800</v>
      </c>
      <c r="S44" s="12">
        <f t="shared" si="15"/>
        <v>3143.3864900021513</v>
      </c>
      <c r="T44" s="12"/>
    </row>
    <row r="45" spans="1:20" x14ac:dyDescent="0.2">
      <c r="A45" s="12">
        <f t="shared" si="12"/>
        <v>150</v>
      </c>
      <c r="B45" s="12">
        <f t="shared" si="2"/>
        <v>2.6179938779914944</v>
      </c>
      <c r="C45" s="13">
        <f t="shared" si="3"/>
        <v>0.93046026119517922</v>
      </c>
      <c r="D45" s="13">
        <f t="shared" si="4"/>
        <v>20.839906253502168</v>
      </c>
      <c r="E45" s="12">
        <f t="shared" si="5"/>
        <v>1.8489838246545949</v>
      </c>
      <c r="F45" s="12">
        <f t="shared" si="6"/>
        <v>194.45691383528998</v>
      </c>
      <c r="G45" s="12">
        <f t="shared" si="0"/>
        <v>0.50783024435055446</v>
      </c>
      <c r="H45" s="12">
        <f t="shared" si="1"/>
        <v>0.42333667099047911</v>
      </c>
      <c r="I45" s="12"/>
      <c r="J45" s="12">
        <f t="shared" si="7"/>
        <v>93.705604634851937</v>
      </c>
      <c r="K45" s="12">
        <f t="shared" si="13"/>
        <v>1.1416020944387453</v>
      </c>
      <c r="L45" s="14">
        <f t="shared" si="14"/>
        <v>-0.88621619194996848</v>
      </c>
      <c r="N45" s="6">
        <v>16667</v>
      </c>
      <c r="O45" s="12">
        <f t="shared" si="8"/>
        <v>335876.76908769441</v>
      </c>
      <c r="P45" s="12">
        <f t="shared" si="9"/>
        <v>352977.34072363673</v>
      </c>
      <c r="Q45" s="12">
        <f t="shared" si="10"/>
        <v>-17100.571635942324</v>
      </c>
      <c r="R45" s="13">
        <f t="shared" si="11"/>
        <v>29800</v>
      </c>
      <c r="S45" s="12">
        <f t="shared" si="15"/>
        <v>2727.2675106040851</v>
      </c>
      <c r="T45" s="12"/>
    </row>
    <row r="46" spans="1:20" x14ac:dyDescent="0.2">
      <c r="A46" s="12">
        <f t="shared" si="12"/>
        <v>155</v>
      </c>
      <c r="B46" s="12">
        <f t="shared" si="2"/>
        <v>2.7052603405912108</v>
      </c>
      <c r="C46" s="13">
        <f t="shared" si="3"/>
        <v>0.94744258917436797</v>
      </c>
      <c r="D46" s="13">
        <f t="shared" si="4"/>
        <v>18.344567133488066</v>
      </c>
      <c r="E46" s="12">
        <f t="shared" si="5"/>
        <v>1.8911610903184888</v>
      </c>
      <c r="F46" s="12">
        <f t="shared" si="6"/>
        <v>197.47200965012399</v>
      </c>
      <c r="G46" s="12">
        <f t="shared" si="0"/>
        <v>0.49457232870524076</v>
      </c>
      <c r="H46" s="12">
        <f t="shared" si="1"/>
        <v>0.36498955840934322</v>
      </c>
      <c r="I46" s="12"/>
      <c r="J46" s="12">
        <f t="shared" si="7"/>
        <v>95.415875753097396</v>
      </c>
      <c r="K46" s="12">
        <f t="shared" si="13"/>
        <v>1.0141907731195567</v>
      </c>
      <c r="L46" s="14">
        <f t="shared" si="14"/>
        <v>-0.90663222281927835</v>
      </c>
      <c r="N46" s="6">
        <v>16000</v>
      </c>
      <c r="O46" s="12">
        <f t="shared" si="8"/>
        <v>283423.56221239065</v>
      </c>
      <c r="P46" s="12">
        <f t="shared" si="9"/>
        <v>298349.340340956</v>
      </c>
      <c r="Q46" s="12">
        <f t="shared" si="10"/>
        <v>-14925.778128565347</v>
      </c>
      <c r="R46" s="13">
        <f t="shared" si="11"/>
        <v>29800</v>
      </c>
      <c r="S46" s="12">
        <f t="shared" si="15"/>
        <v>2327.8927758218497</v>
      </c>
      <c r="T46" s="12"/>
    </row>
    <row r="47" spans="1:20" x14ac:dyDescent="0.2">
      <c r="A47" s="12">
        <f t="shared" si="12"/>
        <v>160</v>
      </c>
      <c r="B47" s="12">
        <f t="shared" si="2"/>
        <v>2.7925268031909272</v>
      </c>
      <c r="C47" s="13">
        <f t="shared" si="3"/>
        <v>0.96222863722105711</v>
      </c>
      <c r="D47" s="13">
        <f t="shared" si="4"/>
        <v>15.767586326739307</v>
      </c>
      <c r="E47" s="12">
        <f t="shared" si="5"/>
        <v>1.9321574063018634</v>
      </c>
      <c r="F47" s="12">
        <f t="shared" si="6"/>
        <v>200.31996422177946</v>
      </c>
      <c r="G47" s="12">
        <f t="shared" ref="G47:G78" si="16">ACOS(($C$5^2+F47^2-$C$4^2)/(2*$C$5*F47))-ASIN($C$8*SIN(B47-$C$10)/F47)</f>
        <v>0.48302902451450846</v>
      </c>
      <c r="H47" s="12">
        <f t="shared" ref="H47:H78" si="17">E47+G47-(B47-$C$10)</f>
        <v>0.30717610760226899</v>
      </c>
      <c r="I47" s="12"/>
      <c r="J47" s="12">
        <f t="shared" si="7"/>
        <v>96.90496199370186</v>
      </c>
      <c r="K47" s="12">
        <f t="shared" si="13"/>
        <v>0.88302814067844748</v>
      </c>
      <c r="L47" s="14">
        <f t="shared" si="14"/>
        <v>-0.93332576547890911</v>
      </c>
      <c r="N47" s="6">
        <v>16000</v>
      </c>
      <c r="O47" s="12">
        <f t="shared" si="8"/>
        <v>243609.2087481223</v>
      </c>
      <c r="P47" s="12">
        <f t="shared" si="9"/>
        <v>241450.72133002343</v>
      </c>
      <c r="Q47" s="12">
        <f t="shared" si="10"/>
        <v>2158.48741809887</v>
      </c>
      <c r="R47" s="13">
        <f t="shared" si="11"/>
        <v>29800</v>
      </c>
      <c r="S47" s="12">
        <f t="shared" si="15"/>
        <v>1985.448320805953</v>
      </c>
      <c r="T47" s="12"/>
    </row>
    <row r="48" spans="1:20" x14ac:dyDescent="0.2">
      <c r="A48" s="12">
        <f t="shared" si="12"/>
        <v>165</v>
      </c>
      <c r="B48" s="12">
        <f t="shared" si="2"/>
        <v>2.8797932657906435</v>
      </c>
      <c r="C48" s="13">
        <f t="shared" si="3"/>
        <v>0.97473936195439714</v>
      </c>
      <c r="D48" s="13">
        <f t="shared" si="4"/>
        <v>13.089671863902865</v>
      </c>
      <c r="E48" s="12">
        <f t="shared" si="5"/>
        <v>1.9716712996785608</v>
      </c>
      <c r="F48" s="12">
        <f t="shared" si="6"/>
        <v>202.98657528675062</v>
      </c>
      <c r="G48" s="12">
        <f t="shared" si="16"/>
        <v>0.47326204007164385</v>
      </c>
      <c r="H48" s="12">
        <f t="shared" si="17"/>
        <v>0.24965655393638553</v>
      </c>
      <c r="I48" s="12"/>
      <c r="J48" s="12">
        <f t="shared" si="7"/>
        <v>98.164902986831407</v>
      </c>
      <c r="K48" s="12">
        <f t="shared" si="13"/>
        <v>0.74714500892582125</v>
      </c>
      <c r="L48" s="14">
        <f t="shared" si="14"/>
        <v>-0.96691584789313934</v>
      </c>
      <c r="N48" s="6">
        <v>16000</v>
      </c>
      <c r="O48" s="12">
        <f t="shared" si="8"/>
        <v>202235.43029729926</v>
      </c>
      <c r="P48" s="12">
        <f t="shared" si="9"/>
        <v>182714.51653783777</v>
      </c>
      <c r="Q48" s="12">
        <f t="shared" si="10"/>
        <v>19520.913759461488</v>
      </c>
      <c r="R48" s="13">
        <f t="shared" si="11"/>
        <v>29800</v>
      </c>
      <c r="S48" s="12">
        <f t="shared" si="15"/>
        <v>1679.9213241727291</v>
      </c>
      <c r="T48" s="12"/>
    </row>
    <row r="49" spans="1:20" x14ac:dyDescent="0.2">
      <c r="A49" s="12">
        <f t="shared" si="12"/>
        <v>170</v>
      </c>
      <c r="B49" s="12">
        <f t="shared" si="2"/>
        <v>2.9670597283903604</v>
      </c>
      <c r="C49" s="13">
        <f t="shared" si="3"/>
        <v>0.9848787988745209</v>
      </c>
      <c r="D49" s="13">
        <f t="shared" si="4"/>
        <v>10.291245384838659</v>
      </c>
      <c r="E49" s="12">
        <f t="shared" si="5"/>
        <v>2.0093856580517393</v>
      </c>
      <c r="F49" s="12">
        <f t="shared" si="6"/>
        <v>205.45898550555555</v>
      </c>
      <c r="G49" s="12">
        <f t="shared" si="16"/>
        <v>0.46534629380041903</v>
      </c>
      <c r="H49" s="12">
        <f t="shared" si="17"/>
        <v>0.19218870343862227</v>
      </c>
      <c r="I49" s="12"/>
      <c r="J49" s="12">
        <f t="shared" si="7"/>
        <v>99.186034255819408</v>
      </c>
      <c r="K49" s="12">
        <f t="shared" si="13"/>
        <v>0.6055308425098842</v>
      </c>
      <c r="L49" s="14">
        <f t="shared" si="14"/>
        <v>-1.0076966877906739</v>
      </c>
      <c r="N49" s="6">
        <v>16000</v>
      </c>
      <c r="O49" s="12">
        <f t="shared" si="8"/>
        <v>158999.74119575729</v>
      </c>
      <c r="P49" s="12">
        <f t="shared" si="9"/>
        <v>122587.74394875733</v>
      </c>
      <c r="Q49" s="12">
        <f t="shared" si="10"/>
        <v>36411.997246999963</v>
      </c>
      <c r="R49" s="13">
        <f t="shared" si="11"/>
        <v>29800</v>
      </c>
      <c r="S49" s="12">
        <f t="shared" si="15"/>
        <v>1361.5083586506671</v>
      </c>
      <c r="T49" s="12"/>
    </row>
    <row r="50" spans="1:20" x14ac:dyDescent="0.2">
      <c r="A50" s="12">
        <f t="shared" si="12"/>
        <v>175</v>
      </c>
      <c r="B50" s="12">
        <f t="shared" si="2"/>
        <v>3.0543261909900763</v>
      </c>
      <c r="C50" s="13">
        <f t="shared" si="3"/>
        <v>0.99253433825212278</v>
      </c>
      <c r="D50" s="13">
        <f t="shared" si="4"/>
        <v>7.3537039646287896</v>
      </c>
      <c r="E50" s="12">
        <f t="shared" si="5"/>
        <v>2.0449678798570088</v>
      </c>
      <c r="F50" s="12">
        <f t="shared" si="6"/>
        <v>207.72563026924252</v>
      </c>
      <c r="G50" s="12">
        <f t="shared" si="16"/>
        <v>0.45936969887114887</v>
      </c>
      <c r="H50" s="12">
        <f t="shared" si="17"/>
        <v>0.13452786771490555</v>
      </c>
      <c r="I50" s="12"/>
      <c r="J50" s="12">
        <f t="shared" si="7"/>
        <v>99.957015001695254</v>
      </c>
      <c r="K50" s="12">
        <f t="shared" si="13"/>
        <v>0.45719158230437679</v>
      </c>
      <c r="L50" s="14">
        <f t="shared" si="14"/>
        <v>-1.055551043808481</v>
      </c>
      <c r="N50" s="6">
        <v>16000</v>
      </c>
      <c r="O50" s="12">
        <f t="shared" si="8"/>
        <v>113614.7262535148</v>
      </c>
      <c r="P50" s="12">
        <f t="shared" si="9"/>
        <v>61528.004607723567</v>
      </c>
      <c r="Q50" s="12">
        <f t="shared" si="10"/>
        <v>52086.721645791236</v>
      </c>
      <c r="R50" s="13">
        <f t="shared" si="11"/>
        <v>29800</v>
      </c>
      <c r="S50" s="12">
        <f t="shared" si="15"/>
        <v>1027.9743278344615</v>
      </c>
      <c r="T50" s="12"/>
    </row>
    <row r="51" spans="1:20" x14ac:dyDescent="0.2">
      <c r="A51" s="12">
        <f t="shared" si="12"/>
        <v>180</v>
      </c>
      <c r="B51" s="12">
        <f t="shared" si="2"/>
        <v>3.1415926535897931</v>
      </c>
      <c r="C51" s="13">
        <f t="shared" si="3"/>
        <v>0.99757823848659277</v>
      </c>
      <c r="D51" s="13">
        <f t="shared" si="4"/>
        <v>4.2610224511397554</v>
      </c>
      <c r="E51" s="12">
        <f t="shared" si="5"/>
        <v>2.0780716464255056</v>
      </c>
      <c r="F51" s="12">
        <f t="shared" si="6"/>
        <v>209.77619104224914</v>
      </c>
      <c r="G51" s="12">
        <f t="shared" si="16"/>
        <v>0.45543198173873156</v>
      </c>
      <c r="H51" s="12">
        <f t="shared" si="17"/>
        <v>7.6427454551268426E-2</v>
      </c>
      <c r="I51" s="12"/>
      <c r="J51" s="12">
        <f t="shared" si="7"/>
        <v>100.46498051177709</v>
      </c>
      <c r="K51" s="12">
        <f t="shared" si="13"/>
        <v>0.30122354747852603</v>
      </c>
      <c r="L51" s="14">
        <f t="shared" si="14"/>
        <v>-1.1098358029634441</v>
      </c>
      <c r="N51" s="6">
        <v>16000</v>
      </c>
      <c r="O51" s="12">
        <f t="shared" si="8"/>
        <v>65832.796870109218</v>
      </c>
      <c r="P51" s="12">
        <f t="shared" si="9"/>
        <v>8.6489928721063422E-11</v>
      </c>
      <c r="Q51" s="12">
        <f t="shared" si="10"/>
        <v>65832.79687010913</v>
      </c>
      <c r="R51" s="13">
        <f t="shared" si="11"/>
        <v>29800</v>
      </c>
      <c r="S51" s="12">
        <f t="shared" si="15"/>
        <v>677.28734677577529</v>
      </c>
      <c r="T51" s="12"/>
    </row>
    <row r="52" spans="1:20" x14ac:dyDescent="0.2">
      <c r="A52" s="12">
        <f t="shared" si="12"/>
        <v>185</v>
      </c>
      <c r="B52" s="12">
        <f t="shared" si="2"/>
        <v>3.2288591161895095</v>
      </c>
      <c r="C52" s="13">
        <f t="shared" si="3"/>
        <v>0.99987068491278541</v>
      </c>
      <c r="D52" s="13">
        <f t="shared" si="4"/>
        <v>1.0017158393277343</v>
      </c>
      <c r="E52" s="12">
        <f t="shared" si="5"/>
        <v>2.1083408108371202</v>
      </c>
      <c r="F52" s="12">
        <f t="shared" si="6"/>
        <v>211.60155425117361</v>
      </c>
      <c r="G52" s="12">
        <f t="shared" si="16"/>
        <v>0.45364229416603197</v>
      </c>
      <c r="H52" s="12">
        <f t="shared" si="17"/>
        <v>1.764046879046699E-2</v>
      </c>
      <c r="I52" s="12"/>
      <c r="J52" s="12">
        <f t="shared" si="7"/>
        <v>100.69585020865533</v>
      </c>
      <c r="K52" s="12">
        <f t="shared" si="13"/>
        <v>0.13690573024879882</v>
      </c>
      <c r="L52" s="14">
        <f t="shared" si="14"/>
        <v>-1.1692511021888548</v>
      </c>
      <c r="N52" s="6">
        <v>17000</v>
      </c>
      <c r="O52" s="12">
        <f t="shared" si="8"/>
        <v>16478.22555694123</v>
      </c>
      <c r="P52" s="12">
        <f t="shared" si="9"/>
        <v>-61528.004607723386</v>
      </c>
      <c r="Q52" s="12">
        <f t="shared" si="10"/>
        <v>78006.230164664623</v>
      </c>
      <c r="R52" s="13">
        <f t="shared" si="11"/>
        <v>29800</v>
      </c>
      <c r="S52" s="12">
        <f t="shared" si="15"/>
        <v>317.44583320758579</v>
      </c>
      <c r="T52" s="12"/>
    </row>
    <row r="53" spans="1:20" x14ac:dyDescent="0.2">
      <c r="A53" s="12">
        <f t="shared" si="12"/>
        <v>190</v>
      </c>
      <c r="B53" s="12">
        <f t="shared" si="2"/>
        <v>3.3161255787892263</v>
      </c>
      <c r="C53" s="13">
        <f t="shared" si="3"/>
        <v>0.99926468661833834</v>
      </c>
      <c r="D53" s="13">
        <f t="shared" si="4"/>
        <v>-2.4288999727294245</v>
      </c>
      <c r="E53" s="12">
        <f t="shared" si="5"/>
        <v>2.1354158624974908</v>
      </c>
      <c r="F53" s="12">
        <f t="shared" si="6"/>
        <v>213.19377557073517</v>
      </c>
      <c r="G53" s="12">
        <f t="shared" si="16"/>
        <v>0.45411539033275472</v>
      </c>
      <c r="H53" s="12">
        <f t="shared" si="17"/>
        <v>-4.2077845982156248E-2</v>
      </c>
      <c r="I53" s="12"/>
      <c r="J53" s="12">
        <f t="shared" si="7"/>
        <v>100.6348208031481</v>
      </c>
      <c r="K53" s="12">
        <f t="shared" si="13"/>
        <v>-3.6190437465785819E-2</v>
      </c>
      <c r="L53" s="14">
        <f t="shared" si="14"/>
        <v>-1.2317160019353544</v>
      </c>
      <c r="N53" s="6">
        <v>16000</v>
      </c>
      <c r="O53" s="12">
        <f t="shared" si="8"/>
        <v>-37526.504578669606</v>
      </c>
      <c r="P53" s="12">
        <f t="shared" si="9"/>
        <v>-122587.74394875747</v>
      </c>
      <c r="Q53" s="12">
        <f t="shared" si="10"/>
        <v>85061.23937008786</v>
      </c>
      <c r="R53" s="13">
        <f t="shared" si="11"/>
        <v>-80726.404243771598</v>
      </c>
      <c r="S53" s="12">
        <f t="shared" si="15"/>
        <v>-83.915432572437609</v>
      </c>
      <c r="T53" s="12"/>
    </row>
    <row r="54" spans="1:20" x14ac:dyDescent="0.2">
      <c r="A54" s="12">
        <f t="shared" si="12"/>
        <v>195</v>
      </c>
      <c r="B54" s="12">
        <f t="shared" si="2"/>
        <v>3.4033920413889422</v>
      </c>
      <c r="C54" s="13">
        <f t="shared" si="3"/>
        <v>0.99561300122237129</v>
      </c>
      <c r="D54" s="13">
        <f t="shared" si="4"/>
        <v>-6.0263300278333345</v>
      </c>
      <c r="E54" s="12">
        <f t="shared" si="5"/>
        <v>2.158943267231952</v>
      </c>
      <c r="F54" s="12">
        <f t="shared" si="6"/>
        <v>214.54604936869728</v>
      </c>
      <c r="G54" s="12">
        <f t="shared" si="16"/>
        <v>0.45696622073729554</v>
      </c>
      <c r="H54" s="12">
        <f t="shared" si="17"/>
        <v>-0.10296607344287034</v>
      </c>
      <c r="I54" s="12"/>
      <c r="J54" s="12">
        <f t="shared" si="7"/>
        <v>100.26706368096234</v>
      </c>
      <c r="K54" s="12">
        <f t="shared" si="13"/>
        <v>-0.21807997345615845</v>
      </c>
      <c r="L54" s="14">
        <f t="shared" si="14"/>
        <v>-1.2942877651303664</v>
      </c>
      <c r="N54" s="6">
        <v>16000</v>
      </c>
      <c r="O54" s="12">
        <f t="shared" si="8"/>
        <v>-93106.798930025019</v>
      </c>
      <c r="P54" s="12">
        <f t="shared" si="9"/>
        <v>-182714.5165378376</v>
      </c>
      <c r="Q54" s="12">
        <f t="shared" si="10"/>
        <v>89607.717607812578</v>
      </c>
      <c r="R54" s="13">
        <f t="shared" si="11"/>
        <v>-22230.943431257961</v>
      </c>
      <c r="S54" s="12">
        <f t="shared" si="15"/>
        <v>-490.34282958101966</v>
      </c>
      <c r="T54" s="12"/>
    </row>
    <row r="55" spans="1:20" x14ac:dyDescent="0.2">
      <c r="A55" s="12">
        <f t="shared" si="12"/>
        <v>200</v>
      </c>
      <c r="B55" s="12">
        <f t="shared" si="2"/>
        <v>3.4906585039886591</v>
      </c>
      <c r="C55" s="13">
        <f t="shared" si="3"/>
        <v>0.988777059479933</v>
      </c>
      <c r="D55" s="13">
        <f t="shared" si="4"/>
        <v>-9.7747285956097585</v>
      </c>
      <c r="E55" s="12">
        <f t="shared" si="5"/>
        <v>2.1785876594039086</v>
      </c>
      <c r="F55" s="12">
        <f t="shared" si="6"/>
        <v>215.65268303119271</v>
      </c>
      <c r="G55" s="12">
        <f t="shared" si="16"/>
        <v>0.4623029648567466</v>
      </c>
      <c r="H55" s="12">
        <f t="shared" si="17"/>
        <v>-0.16525139975117931</v>
      </c>
      <c r="I55" s="12"/>
      <c r="J55" s="12">
        <f t="shared" si="7"/>
        <v>99.57862368955314</v>
      </c>
      <c r="K55" s="12">
        <f t="shared" si="13"/>
        <v>-0.40824491490565396</v>
      </c>
      <c r="L55" s="14">
        <f t="shared" si="14"/>
        <v>-1.3531738136263072</v>
      </c>
      <c r="N55" s="6">
        <v>16000</v>
      </c>
      <c r="O55" s="12">
        <f t="shared" si="8"/>
        <v>-151019.55680217076</v>
      </c>
      <c r="P55" s="12">
        <f t="shared" si="9"/>
        <v>-241450.72133002328</v>
      </c>
      <c r="Q55" s="12">
        <f t="shared" si="10"/>
        <v>90431.164527852525</v>
      </c>
      <c r="R55" s="13">
        <f t="shared" si="11"/>
        <v>-7485.954952780633</v>
      </c>
      <c r="S55" s="12">
        <f t="shared" si="15"/>
        <v>-917.91998854559631</v>
      </c>
      <c r="T55" s="12"/>
    </row>
    <row r="56" spans="1:20" x14ac:dyDescent="0.2">
      <c r="A56" s="12">
        <f t="shared" si="12"/>
        <v>205</v>
      </c>
      <c r="B56" s="12">
        <f t="shared" si="2"/>
        <v>3.5779249665883754</v>
      </c>
      <c r="C56" s="13">
        <f t="shared" si="3"/>
        <v>0.9786375228080213</v>
      </c>
      <c r="D56" s="13">
        <f t="shared" si="4"/>
        <v>-13.645384577037529</v>
      </c>
      <c r="E56" s="12">
        <f t="shared" si="5"/>
        <v>2.1940463673637307</v>
      </c>
      <c r="F56" s="12">
        <f t="shared" si="6"/>
        <v>216.50907588412832</v>
      </c>
      <c r="G56" s="12">
        <f t="shared" si="16"/>
        <v>0.47021878900308905</v>
      </c>
      <c r="H56" s="12">
        <f t="shared" si="17"/>
        <v>-0.22914333024473121</v>
      </c>
      <c r="I56" s="12"/>
      <c r="J56" s="12">
        <f t="shared" si="7"/>
        <v>98.557482374674962</v>
      </c>
      <c r="K56" s="12">
        <f t="shared" si="13"/>
        <v>-0.60553679972275987</v>
      </c>
      <c r="L56" s="14">
        <f t="shared" si="14"/>
        <v>-1.4038876469056698</v>
      </c>
      <c r="N56" s="6">
        <v>16000</v>
      </c>
      <c r="O56" s="12">
        <f t="shared" si="8"/>
        <v>-210821.19171522983</v>
      </c>
      <c r="P56" s="12">
        <f t="shared" si="9"/>
        <v>-298349.34034095582</v>
      </c>
      <c r="Q56" s="12">
        <f t="shared" si="10"/>
        <v>87528.148625725997</v>
      </c>
      <c r="R56" s="13">
        <f t="shared" si="11"/>
        <v>-1036.6654059335151</v>
      </c>
      <c r="S56" s="12">
        <f t="shared" si="15"/>
        <v>-1361.521753170905</v>
      </c>
      <c r="T56" s="12"/>
    </row>
    <row r="57" spans="1:20" x14ac:dyDescent="0.2">
      <c r="A57" s="12">
        <f t="shared" si="12"/>
        <v>210</v>
      </c>
      <c r="B57" s="12">
        <f t="shared" si="2"/>
        <v>3.6651914291880923</v>
      </c>
      <c r="C57" s="13">
        <f t="shared" si="3"/>
        <v>0.96510568739034708</v>
      </c>
      <c r="D57" s="13">
        <f t="shared" si="4"/>
        <v>-17.596362283183172</v>
      </c>
      <c r="E57" s="12">
        <f t="shared" si="5"/>
        <v>2.2050651438691791</v>
      </c>
      <c r="F57" s="12">
        <f t="shared" si="6"/>
        <v>217.11170244449144</v>
      </c>
      <c r="G57" s="12">
        <f t="shared" si="16"/>
        <v>0.48078294326472187</v>
      </c>
      <c r="H57" s="12">
        <f t="shared" si="17"/>
        <v>-0.29482686207736686</v>
      </c>
      <c r="I57" s="12"/>
      <c r="J57" s="12">
        <f t="shared" si="7"/>
        <v>97.194706474924331</v>
      </c>
      <c r="K57" s="12">
        <f t="shared" si="13"/>
        <v>-0.80812610855212397</v>
      </c>
      <c r="L57" s="14">
        <f t="shared" si="14"/>
        <v>-1.4415830044117504</v>
      </c>
      <c r="N57" s="6">
        <v>16000</v>
      </c>
      <c r="O57" s="12">
        <f t="shared" si="8"/>
        <v>-271863.79727518</v>
      </c>
      <c r="P57" s="12">
        <f t="shared" si="9"/>
        <v>-352977.34072363685</v>
      </c>
      <c r="Q57" s="12">
        <f t="shared" si="10"/>
        <v>81113.543448456854</v>
      </c>
      <c r="R57" s="13">
        <f t="shared" si="11"/>
        <v>2424.0998959286753</v>
      </c>
      <c r="S57" s="12">
        <f t="shared" si="15"/>
        <v>-1817.0345330008406</v>
      </c>
      <c r="T57" s="12"/>
    </row>
    <row r="58" spans="1:20" x14ac:dyDescent="0.2">
      <c r="A58" s="12">
        <f t="shared" si="12"/>
        <v>215</v>
      </c>
      <c r="B58" s="12">
        <f t="shared" si="2"/>
        <v>3.7524578917878082</v>
      </c>
      <c r="C58" s="13">
        <f t="shared" si="3"/>
        <v>0.94813454687585541</v>
      </c>
      <c r="D58" s="13">
        <f t="shared" si="4"/>
        <v>-21.573697790520637</v>
      </c>
      <c r="E58" s="12">
        <f t="shared" si="5"/>
        <v>2.2114533906870539</v>
      </c>
      <c r="F58" s="12">
        <f t="shared" si="6"/>
        <v>217.45809976974073</v>
      </c>
      <c r="G58" s="12">
        <f t="shared" si="16"/>
        <v>0.4940321249800691</v>
      </c>
      <c r="H58" s="12">
        <f t="shared" si="17"/>
        <v>-0.36245589614386065</v>
      </c>
      <c r="I58" s="12"/>
      <c r="J58" s="12">
        <f t="shared" si="7"/>
        <v>95.485562033644541</v>
      </c>
      <c r="K58" s="12">
        <f t="shared" si="13"/>
        <v>-1.0135226536789153</v>
      </c>
      <c r="L58" s="14">
        <f t="shared" si="14"/>
        <v>-1.4615587087523501</v>
      </c>
      <c r="N58" s="6">
        <v>16000</v>
      </c>
      <c r="O58" s="12">
        <f t="shared" si="8"/>
        <v>-333313.63086354383</v>
      </c>
      <c r="P58" s="12">
        <f t="shared" si="9"/>
        <v>-404918.9704098652</v>
      </c>
      <c r="Q58" s="12">
        <f t="shared" si="10"/>
        <v>71605.339546321367</v>
      </c>
      <c r="R58" s="13">
        <f t="shared" si="11"/>
        <v>4486.2269386742837</v>
      </c>
      <c r="S58" s="12">
        <f t="shared" si="15"/>
        <v>-2278.8592550397198</v>
      </c>
      <c r="T58" s="12"/>
    </row>
    <row r="59" spans="1:20" x14ac:dyDescent="0.2">
      <c r="A59" s="12">
        <f t="shared" si="12"/>
        <v>220</v>
      </c>
      <c r="B59" s="12">
        <f t="shared" si="2"/>
        <v>3.839724354387525</v>
      </c>
      <c r="C59" s="13">
        <f t="shared" si="3"/>
        <v>0.92772808505328019</v>
      </c>
      <c r="D59" s="13">
        <f t="shared" si="4"/>
        <v>-25.514278177563625</v>
      </c>
      <c r="E59" s="12">
        <f t="shared" si="5"/>
        <v>2.2130968175285033</v>
      </c>
      <c r="F59" s="12">
        <f t="shared" si="6"/>
        <v>217.54685871857475</v>
      </c>
      <c r="G59" s="12">
        <f t="shared" si="16"/>
        <v>0.50996322404932282</v>
      </c>
      <c r="H59" s="12">
        <f t="shared" si="17"/>
        <v>-0.43214783283287472</v>
      </c>
      <c r="I59" s="12"/>
      <c r="J59" s="12">
        <f t="shared" si="7"/>
        <v>93.430450253710816</v>
      </c>
      <c r="K59" s="12">
        <f t="shared" si="13"/>
        <v>-1.2186812855006988</v>
      </c>
      <c r="L59" s="14">
        <f t="shared" si="14"/>
        <v>-1.4598657676045301</v>
      </c>
      <c r="N59" s="6">
        <v>15000</v>
      </c>
      <c r="O59" s="12">
        <f t="shared" si="8"/>
        <v>-368681.31966579438</v>
      </c>
      <c r="P59" s="12">
        <f t="shared" si="9"/>
        <v>-453778.92223451525</v>
      </c>
      <c r="Q59" s="12">
        <f t="shared" si="10"/>
        <v>85097.602568720875</v>
      </c>
      <c r="R59" s="13">
        <f t="shared" si="11"/>
        <v>5793.2963732501676</v>
      </c>
      <c r="S59" s="12">
        <f t="shared" si="15"/>
        <v>-2654.5193824143948</v>
      </c>
      <c r="T59" s="12"/>
    </row>
    <row r="60" spans="1:20" x14ac:dyDescent="0.2">
      <c r="A60" s="12">
        <f t="shared" si="12"/>
        <v>225</v>
      </c>
      <c r="B60" s="12">
        <f t="shared" si="2"/>
        <v>3.9269908169872414</v>
      </c>
      <c r="C60" s="13">
        <f t="shared" si="3"/>
        <v>0.90394742723419252</v>
      </c>
      <c r="D60" s="13">
        <f t="shared" si="4"/>
        <v>-29.350131806802203</v>
      </c>
      <c r="E60" s="12">
        <f t="shared" si="5"/>
        <v>2.2099655568887555</v>
      </c>
      <c r="F60" s="12">
        <f t="shared" si="6"/>
        <v>217.37761898837513</v>
      </c>
      <c r="G60" s="12">
        <f t="shared" si="16"/>
        <v>0.52852852061772615</v>
      </c>
      <c r="H60" s="12">
        <f t="shared" si="17"/>
        <v>-0.50398025950393555</v>
      </c>
      <c r="I60" s="12"/>
      <c r="J60" s="12">
        <f t="shared" si="7"/>
        <v>91.035526996386778</v>
      </c>
      <c r="K60" s="12">
        <f t="shared" si="13"/>
        <v>-1.4201894915931546</v>
      </c>
      <c r="L60" s="14">
        <f t="shared" si="14"/>
        <v>-1.4338901042258809</v>
      </c>
      <c r="N60" s="6">
        <v>14000</v>
      </c>
      <c r="O60" s="12">
        <f t="shared" si="8"/>
        <v>-394759.27280148963</v>
      </c>
      <c r="P60" s="12">
        <f t="shared" si="9"/>
        <v>-499185.34246175608</v>
      </c>
      <c r="Q60" s="12">
        <f t="shared" si="10"/>
        <v>104426.06966026645</v>
      </c>
      <c r="R60" s="13">
        <f t="shared" si="11"/>
        <v>6655.0949836016744</v>
      </c>
      <c r="S60" s="12">
        <f t="shared" si="15"/>
        <v>-2893.8656025998794</v>
      </c>
      <c r="T60" s="12"/>
    </row>
    <row r="61" spans="1:20" x14ac:dyDescent="0.2">
      <c r="A61" s="12">
        <f t="shared" si="12"/>
        <v>230</v>
      </c>
      <c r="B61" s="12">
        <f t="shared" si="2"/>
        <v>4.0142572795869578</v>
      </c>
      <c r="C61" s="13">
        <f t="shared" si="3"/>
        <v>0.87691289154775554</v>
      </c>
      <c r="D61" s="13">
        <f t="shared" si="4"/>
        <v>-33.013464301324355</v>
      </c>
      <c r="E61" s="12">
        <f t="shared" si="5"/>
        <v>2.2021163503106722</v>
      </c>
      <c r="F61" s="12">
        <f t="shared" si="6"/>
        <v>216.95106785077814</v>
      </c>
      <c r="G61" s="12">
        <f t="shared" si="16"/>
        <v>0.54963408365244304</v>
      </c>
      <c r="H61" s="12">
        <f t="shared" si="17"/>
        <v>-0.57799036564701822</v>
      </c>
      <c r="I61" s="12"/>
      <c r="J61" s="12">
        <f t="shared" si="7"/>
        <v>88.312909364908307</v>
      </c>
      <c r="K61" s="12">
        <f t="shared" si="13"/>
        <v>-1.6145122554667333</v>
      </c>
      <c r="L61" s="14">
        <f t="shared" si="14"/>
        <v>-1.3827600053980078</v>
      </c>
      <c r="N61" s="6">
        <v>14000</v>
      </c>
      <c r="O61" s="12">
        <f t="shared" si="8"/>
        <v>-444031.09485281259</v>
      </c>
      <c r="P61" s="12">
        <f t="shared" si="9"/>
        <v>-540792.66081651219</v>
      </c>
      <c r="Q61" s="12">
        <f t="shared" si="10"/>
        <v>96761.565963699599</v>
      </c>
      <c r="R61" s="13">
        <f t="shared" si="11"/>
        <v>7237.9579435004935</v>
      </c>
      <c r="S61" s="12">
        <f t="shared" si="15"/>
        <v>-3176.3872367248828</v>
      </c>
      <c r="T61" s="12"/>
    </row>
    <row r="62" spans="1:20" x14ac:dyDescent="0.2">
      <c r="A62" s="12">
        <f t="shared" si="12"/>
        <v>235</v>
      </c>
      <c r="B62" s="12">
        <f t="shared" si="2"/>
        <v>4.1015237421866741</v>
      </c>
      <c r="C62" s="13">
        <f t="shared" si="3"/>
        <v>0.84680167291160469</v>
      </c>
      <c r="D62" s="13">
        <f t="shared" si="4"/>
        <v>-36.441549075672725</v>
      </c>
      <c r="E62" s="12">
        <f t="shared" si="5"/>
        <v>2.1896884182902441</v>
      </c>
      <c r="F62" s="12">
        <f t="shared" si="6"/>
        <v>216.26894256512509</v>
      </c>
      <c r="G62" s="12">
        <f t="shared" si="16"/>
        <v>0.57314157904087892</v>
      </c>
      <c r="H62" s="12">
        <f t="shared" si="17"/>
        <v>-0.65417726487872674</v>
      </c>
      <c r="I62" s="12"/>
      <c r="J62" s="12">
        <f t="shared" si="7"/>
        <v>85.280442459800071</v>
      </c>
      <c r="K62" s="12">
        <f t="shared" si="13"/>
        <v>-1.7982528747291842</v>
      </c>
      <c r="L62" s="14">
        <f t="shared" si="14"/>
        <v>-1.307459685209452</v>
      </c>
      <c r="N62" s="6">
        <v>14000</v>
      </c>
      <c r="O62" s="12">
        <f t="shared" si="8"/>
        <v>-490138.83506779815</v>
      </c>
      <c r="P62" s="12">
        <f t="shared" si="9"/>
        <v>-578284.22048291797</v>
      </c>
      <c r="Q62" s="12">
        <f t="shared" si="10"/>
        <v>88145.385415119817</v>
      </c>
      <c r="R62" s="13">
        <f t="shared" si="11"/>
        <v>7637.6301099763259</v>
      </c>
      <c r="S62" s="12">
        <f t="shared" si="15"/>
        <v>-3537.8780559596094</v>
      </c>
      <c r="T62" s="12"/>
    </row>
    <row r="63" spans="1:20" x14ac:dyDescent="0.2">
      <c r="A63" s="12">
        <f t="shared" si="12"/>
        <v>240</v>
      </c>
      <c r="B63" s="12">
        <f t="shared" si="2"/>
        <v>4.1887902047863905</v>
      </c>
      <c r="C63" s="13">
        <f t="shared" si="3"/>
        <v>0.81384166588737916</v>
      </c>
      <c r="D63" s="13">
        <f t="shared" si="4"/>
        <v>-39.580625859381399</v>
      </c>
      <c r="E63" s="12">
        <f t="shared" si="5"/>
        <v>2.1728937411833558</v>
      </c>
      <c r="F63" s="12">
        <f t="shared" si="6"/>
        <v>215.33403650835885</v>
      </c>
      <c r="G63" s="12">
        <f t="shared" si="16"/>
        <v>0.59887309201905436</v>
      </c>
      <c r="H63" s="12">
        <f t="shared" si="17"/>
        <v>-0.73250689160715599</v>
      </c>
      <c r="I63" s="12"/>
      <c r="J63" s="12">
        <f t="shared" si="7"/>
        <v>81.961077285615445</v>
      </c>
      <c r="K63" s="12">
        <f t="shared" si="13"/>
        <v>-1.9683835482914827</v>
      </c>
      <c r="L63" s="14">
        <f t="shared" si="14"/>
        <v>-1.2106141679130189</v>
      </c>
      <c r="N63" s="6">
        <v>12500</v>
      </c>
      <c r="O63" s="12">
        <f t="shared" si="8"/>
        <v>-472988.47901960771</v>
      </c>
      <c r="P63" s="12">
        <f t="shared" si="9"/>
        <v>-611374.68805388967</v>
      </c>
      <c r="Q63" s="12">
        <f t="shared" si="10"/>
        <v>138386.20903428196</v>
      </c>
      <c r="R63" s="13">
        <f t="shared" si="11"/>
        <v>7911.5482758928647</v>
      </c>
      <c r="S63" s="12">
        <f t="shared" si="15"/>
        <v>-3665.1323798288572</v>
      </c>
      <c r="T63" s="12"/>
    </row>
    <row r="64" spans="1:20" x14ac:dyDescent="0.2">
      <c r="A64" s="12">
        <f t="shared" si="12"/>
        <v>245</v>
      </c>
      <c r="B64" s="12">
        <f t="shared" si="2"/>
        <v>4.2760566673861069</v>
      </c>
      <c r="C64" s="13">
        <f t="shared" si="3"/>
        <v>0.77830255299850826</v>
      </c>
      <c r="D64" s="13">
        <f t="shared" si="4"/>
        <v>-42.38825508831593</v>
      </c>
      <c r="E64" s="12">
        <f t="shared" si="5"/>
        <v>2.1520033734069326</v>
      </c>
      <c r="F64" s="12">
        <f t="shared" si="6"/>
        <v>214.15020911775017</v>
      </c>
      <c r="G64" s="12">
        <f t="shared" si="16"/>
        <v>0.62661808442335476</v>
      </c>
      <c r="H64" s="12">
        <f t="shared" si="17"/>
        <v>-0.81291872957899525</v>
      </c>
      <c r="I64" s="12"/>
      <c r="J64" s="12">
        <f t="shared" si="7"/>
        <v>78.381973265460701</v>
      </c>
      <c r="K64" s="12">
        <f t="shared" si="13"/>
        <v>-2.1224086839517633</v>
      </c>
      <c r="L64" s="14">
        <f t="shared" si="14"/>
        <v>-1.0960105402555802</v>
      </c>
      <c r="N64" s="6">
        <v>12000</v>
      </c>
      <c r="O64" s="12">
        <f t="shared" si="8"/>
        <v>-485345.5207612174</v>
      </c>
      <c r="P64" s="12">
        <f t="shared" si="9"/>
        <v>-639812.22509064176</v>
      </c>
      <c r="Q64" s="12">
        <f t="shared" si="10"/>
        <v>154466.70432942436</v>
      </c>
      <c r="R64" s="13">
        <f t="shared" si="11"/>
        <v>8094.8310958852398</v>
      </c>
      <c r="S64" s="12">
        <f t="shared" si="15"/>
        <v>-3653.6686872413015</v>
      </c>
      <c r="T64" s="12"/>
    </row>
    <row r="65" spans="1:20" x14ac:dyDescent="0.2">
      <c r="A65" s="12">
        <f t="shared" si="12"/>
        <v>250</v>
      </c>
      <c r="B65" s="12">
        <f t="shared" si="2"/>
        <v>4.3633231299858233</v>
      </c>
      <c r="C65" s="13">
        <f t="shared" si="3"/>
        <v>0.74048558682378707</v>
      </c>
      <c r="D65" s="13">
        <f t="shared" si="4"/>
        <v>-44.833989748543061</v>
      </c>
      <c r="E65" s="12">
        <f t="shared" si="5"/>
        <v>2.1273318493127404</v>
      </c>
      <c r="F65" s="12">
        <f t="shared" si="6"/>
        <v>212.72239979794031</v>
      </c>
      <c r="G65" s="12">
        <f t="shared" si="16"/>
        <v>0.65614137169707543</v>
      </c>
      <c r="H65" s="12">
        <f t="shared" si="17"/>
        <v>-0.89533342899918322</v>
      </c>
      <c r="I65" s="12"/>
      <c r="J65" s="12">
        <f t="shared" si="7"/>
        <v>74.573469207150723</v>
      </c>
      <c r="K65" s="12">
        <f t="shared" si="13"/>
        <v>-2.2584429065778169</v>
      </c>
      <c r="L65" s="14">
        <f t="shared" si="14"/>
        <v>-0.96799097883915597</v>
      </c>
      <c r="N65" s="6">
        <v>11500</v>
      </c>
      <c r="O65" s="12">
        <f t="shared" si="8"/>
        <v>-490932.18774654652</v>
      </c>
      <c r="P65" s="12">
        <f t="shared" si="9"/>
        <v>-663380.4047652696</v>
      </c>
      <c r="Q65" s="12">
        <f t="shared" si="10"/>
        <v>172448.21701872308</v>
      </c>
      <c r="R65" s="13">
        <f t="shared" si="11"/>
        <v>8208.930349298842</v>
      </c>
      <c r="S65" s="12">
        <f t="shared" si="15"/>
        <v>-3729.1602237618536</v>
      </c>
      <c r="T65" s="12"/>
    </row>
    <row r="66" spans="1:20" x14ac:dyDescent="0.2">
      <c r="A66" s="12">
        <f t="shared" si="12"/>
        <v>255</v>
      </c>
      <c r="B66" s="12">
        <f t="shared" si="2"/>
        <v>4.4505895925855405</v>
      </c>
      <c r="C66" s="13">
        <f t="shared" si="3"/>
        <v>0.70071344510108502</v>
      </c>
      <c r="D66" s="13">
        <f t="shared" si="4"/>
        <v>-46.898597723998719</v>
      </c>
      <c r="E66" s="12">
        <f t="shared" si="5"/>
        <v>2.0992216698951243</v>
      </c>
      <c r="F66" s="12">
        <f t="shared" si="6"/>
        <v>211.05664599397727</v>
      </c>
      <c r="G66" s="12">
        <f t="shared" si="16"/>
        <v>0.68719104289876387</v>
      </c>
      <c r="H66" s="12">
        <f t="shared" si="17"/>
        <v>-0.97966039981482789</v>
      </c>
      <c r="I66" s="12"/>
      <c r="J66" s="12">
        <f t="shared" si="7"/>
        <v>70.568061622132916</v>
      </c>
      <c r="K66" s="12">
        <f t="shared" si="13"/>
        <v>-2.3752066979155591</v>
      </c>
      <c r="L66" s="14">
        <f t="shared" si="14"/>
        <v>-0.83086663405789052</v>
      </c>
      <c r="N66" s="6">
        <v>10700</v>
      </c>
      <c r="O66" s="12">
        <f t="shared" si="8"/>
        <v>-476020.766898587</v>
      </c>
      <c r="P66" s="12">
        <f t="shared" si="9"/>
        <v>-681899.85899959377</v>
      </c>
      <c r="Q66" s="12">
        <f t="shared" si="10"/>
        <v>205879.09210100677</v>
      </c>
      <c r="R66" s="13">
        <f t="shared" si="11"/>
        <v>8266.6456261527874</v>
      </c>
      <c r="S66" s="12">
        <f t="shared" si="15"/>
        <v>-3705.0020161414709</v>
      </c>
      <c r="T66" s="12"/>
    </row>
    <row r="67" spans="1:20" x14ac:dyDescent="0.2">
      <c r="A67" s="12">
        <f t="shared" si="12"/>
        <v>260</v>
      </c>
      <c r="B67" s="12">
        <f t="shared" si="2"/>
        <v>4.5378560551852569</v>
      </c>
      <c r="C67" s="13">
        <f t="shared" si="3"/>
        <v>0.65932122777333946</v>
      </c>
      <c r="D67" s="13">
        <f t="shared" si="4"/>
        <v>-48.57228823542264</v>
      </c>
      <c r="E67" s="12">
        <f t="shared" si="5"/>
        <v>2.06802941404437</v>
      </c>
      <c r="F67" s="12">
        <f t="shared" si="6"/>
        <v>209.16010567425889</v>
      </c>
      <c r="G67" s="12">
        <f t="shared" si="16"/>
        <v>0.71950548920884838</v>
      </c>
      <c r="H67" s="12">
        <f t="shared" si="17"/>
        <v>-1.0658046719552141</v>
      </c>
      <c r="I67" s="12"/>
      <c r="J67" s="12">
        <f t="shared" si="7"/>
        <v>66.399498048132017</v>
      </c>
      <c r="K67" s="12">
        <f t="shared" si="13"/>
        <v>-2.471958199382533</v>
      </c>
      <c r="L67" s="14">
        <f t="shared" si="14"/>
        <v>-0.68846337929700674</v>
      </c>
      <c r="N67" s="6">
        <v>10200</v>
      </c>
      <c r="O67" s="12">
        <f t="shared" si="8"/>
        <v>-468722.58147182845</v>
      </c>
      <c r="P67" s="12">
        <f t="shared" si="9"/>
        <v>-695229.64356453856</v>
      </c>
      <c r="Q67" s="12">
        <f t="shared" si="10"/>
        <v>226507.06209271011</v>
      </c>
      <c r="R67" s="13">
        <f t="shared" si="11"/>
        <v>8275.1794633568934</v>
      </c>
      <c r="S67" s="12">
        <f t="shared" si="15"/>
        <v>-3630.1241123591167</v>
      </c>
      <c r="T67" s="12"/>
    </row>
    <row r="68" spans="1:20" x14ac:dyDescent="0.2">
      <c r="A68" s="12">
        <f t="shared" si="12"/>
        <v>265</v>
      </c>
      <c r="B68" s="12">
        <f t="shared" si="2"/>
        <v>4.6251225177849733</v>
      </c>
      <c r="C68" s="13">
        <f t="shared" si="3"/>
        <v>0.61664923953350814</v>
      </c>
      <c r="D68" s="13">
        <f t="shared" si="4"/>
        <v>-49.852444301169811</v>
      </c>
      <c r="E68" s="12">
        <f t="shared" si="5"/>
        <v>2.0341144070657586</v>
      </c>
      <c r="F68" s="12">
        <f t="shared" si="6"/>
        <v>207.04108449727323</v>
      </c>
      <c r="G68" s="12">
        <f t="shared" si="16"/>
        <v>0.75281903851697607</v>
      </c>
      <c r="H68" s="12">
        <f t="shared" si="17"/>
        <v>-1.1536725922254143</v>
      </c>
      <c r="I68" s="12"/>
      <c r="J68" s="12">
        <f t="shared" si="7"/>
        <v>62.102050187383547</v>
      </c>
      <c r="K68" s="12">
        <f t="shared" si="13"/>
        <v>-2.5483865814238427</v>
      </c>
      <c r="L68" s="14">
        <f t="shared" si="14"/>
        <v>-0.54384832665696503</v>
      </c>
      <c r="N68" s="6">
        <v>9155</v>
      </c>
      <c r="O68" s="12">
        <f t="shared" si="8"/>
        <v>-428980.28321156622</v>
      </c>
      <c r="P68" s="12">
        <f t="shared" si="9"/>
        <v>-703268.31075082114</v>
      </c>
      <c r="Q68" s="12">
        <f t="shared" si="10"/>
        <v>274288.02753925492</v>
      </c>
      <c r="R68" s="13">
        <f t="shared" si="11"/>
        <v>8238.0545402229673</v>
      </c>
      <c r="S68" s="12">
        <f t="shared" si="15"/>
        <v>-3465.7126393661097</v>
      </c>
      <c r="T68" s="12"/>
    </row>
    <row r="69" spans="1:20" x14ac:dyDescent="0.2">
      <c r="A69" s="12">
        <f t="shared" si="12"/>
        <v>270</v>
      </c>
      <c r="B69" s="12">
        <f t="shared" si="2"/>
        <v>4.7123889803846897</v>
      </c>
      <c r="C69" s="13">
        <f t="shared" si="3"/>
        <v>0.57303779362612217</v>
      </c>
      <c r="D69" s="13">
        <f t="shared" si="4"/>
        <v>-50.741285179975442</v>
      </c>
      <c r="E69" s="12">
        <f t="shared" si="5"/>
        <v>1.9978302940512853</v>
      </c>
      <c r="F69" s="12">
        <f t="shared" si="6"/>
        <v>204.7090679476608</v>
      </c>
      <c r="G69" s="12">
        <f t="shared" si="16"/>
        <v>0.78686601203667506</v>
      </c>
      <c r="H69" s="12">
        <f t="shared" si="17"/>
        <v>-1.2431761943199051</v>
      </c>
      <c r="I69" s="12"/>
      <c r="J69" s="12">
        <f t="shared" si="7"/>
        <v>57.709990603342376</v>
      </c>
      <c r="K69" s="12">
        <f t="shared" si="13"/>
        <v>-2.6044913333364144</v>
      </c>
      <c r="L69" s="14">
        <f t="shared" si="14"/>
        <v>-0.39922963996103228</v>
      </c>
      <c r="N69" s="6">
        <v>9900</v>
      </c>
      <c r="O69" s="12">
        <f t="shared" si="8"/>
        <v>-474431.01643277041</v>
      </c>
      <c r="P69" s="12">
        <f t="shared" si="9"/>
        <v>-705954.68144727359</v>
      </c>
      <c r="Q69" s="12">
        <f t="shared" si="10"/>
        <v>231523.66501450317</v>
      </c>
      <c r="R69" s="13">
        <f t="shared" si="11"/>
        <v>8156.324516186809</v>
      </c>
      <c r="S69" s="12">
        <f t="shared" si="15"/>
        <v>-3487.1123072460214</v>
      </c>
      <c r="T69" s="12"/>
    </row>
    <row r="70" spans="1:20" x14ac:dyDescent="0.2">
      <c r="A70" s="12">
        <f t="shared" si="12"/>
        <v>275</v>
      </c>
      <c r="B70" s="12">
        <f t="shared" si="2"/>
        <v>4.7996554429844061</v>
      </c>
      <c r="C70" s="13">
        <f t="shared" si="3"/>
        <v>0.52882396211105409</v>
      </c>
      <c r="D70" s="13">
        <f t="shared" si="4"/>
        <v>-51.243747544448333</v>
      </c>
      <c r="E70" s="12">
        <f t="shared" si="5"/>
        <v>1.9595194216256269</v>
      </c>
      <c r="F70" s="12">
        <f t="shared" si="6"/>
        <v>202.17475871188236</v>
      </c>
      <c r="G70" s="12">
        <f t="shared" si="16"/>
        <v>0.82138326133849227</v>
      </c>
      <c r="H70" s="12">
        <f t="shared" si="17"/>
        <v>-1.3342362800434628</v>
      </c>
      <c r="I70" s="12"/>
      <c r="J70" s="12">
        <f t="shared" si="7"/>
        <v>53.25726544340796</v>
      </c>
      <c r="K70" s="12">
        <f t="shared" si="13"/>
        <v>-2.6404660198411092</v>
      </c>
      <c r="L70" s="14">
        <f t="shared" si="14"/>
        <v>-0.25598831919551029</v>
      </c>
      <c r="N70" s="6">
        <v>10200</v>
      </c>
      <c r="O70" s="12">
        <f t="shared" si="8"/>
        <v>-494502.16380392644</v>
      </c>
      <c r="P70" s="12">
        <f t="shared" si="9"/>
        <v>-703268.31075082114</v>
      </c>
      <c r="Q70" s="12">
        <f t="shared" si="10"/>
        <v>208766.1469468947</v>
      </c>
      <c r="R70" s="13">
        <f t="shared" si="11"/>
        <v>8029.3185338050835</v>
      </c>
      <c r="S70" s="12">
        <f t="shared" si="15"/>
        <v>-3729.1573214450741</v>
      </c>
      <c r="T70" s="12"/>
    </row>
    <row r="71" spans="1:20" x14ac:dyDescent="0.2">
      <c r="A71" s="12">
        <f t="shared" si="12"/>
        <v>280</v>
      </c>
      <c r="B71" s="12">
        <f t="shared" si="2"/>
        <v>4.8869219055841224</v>
      </c>
      <c r="C71" s="13">
        <f t="shared" si="3"/>
        <v>0.48434000770339741</v>
      </c>
      <c r="D71" s="13">
        <f t="shared" si="4"/>
        <v>-51.365738789865524</v>
      </c>
      <c r="E71" s="12">
        <f t="shared" si="5"/>
        <v>1.919509662552475</v>
      </c>
      <c r="F71" s="12">
        <f t="shared" si="6"/>
        <v>199.45011950987777</v>
      </c>
      <c r="G71" s="12">
        <f t="shared" si="16"/>
        <v>0.85611139259525681</v>
      </c>
      <c r="H71" s="12">
        <f t="shared" si="17"/>
        <v>-1.4267843704595666</v>
      </c>
      <c r="I71" s="12"/>
      <c r="J71" s="12">
        <f t="shared" si="7"/>
        <v>48.777336511285327</v>
      </c>
      <c r="K71" s="12">
        <f t="shared" si="13"/>
        <v>-2.656597856748721</v>
      </c>
      <c r="L71" s="14">
        <f t="shared" si="14"/>
        <v>-0.1147907658618989</v>
      </c>
      <c r="N71" s="6">
        <v>10600</v>
      </c>
      <c r="O71" s="12">
        <f t="shared" si="8"/>
        <v>-516225.67483814852</v>
      </c>
      <c r="P71" s="12">
        <f t="shared" si="9"/>
        <v>-695229.64356453868</v>
      </c>
      <c r="Q71" s="12">
        <f t="shared" si="10"/>
        <v>179003.96872639016</v>
      </c>
      <c r="R71" s="13">
        <f t="shared" si="11"/>
        <v>7855.056880415621</v>
      </c>
      <c r="S71" s="12">
        <f t="shared" si="15"/>
        <v>-3882.6050745062817</v>
      </c>
      <c r="T71" s="12"/>
    </row>
    <row r="72" spans="1:20" x14ac:dyDescent="0.2">
      <c r="A72" s="12">
        <f t="shared" si="12"/>
        <v>285</v>
      </c>
      <c r="B72" s="12">
        <f t="shared" si="2"/>
        <v>4.9741883681838397</v>
      </c>
      <c r="C72" s="13">
        <f t="shared" si="3"/>
        <v>0.43991314729229447</v>
      </c>
      <c r="D72" s="13">
        <f t="shared" si="4"/>
        <v>-51.112811761624947</v>
      </c>
      <c r="E72" s="12">
        <f t="shared" si="5"/>
        <v>1.878113202097871</v>
      </c>
      <c r="F72" s="12">
        <f t="shared" si="6"/>
        <v>196.5484214905108</v>
      </c>
      <c r="G72" s="12">
        <f t="shared" si="16"/>
        <v>0.89079495120031593</v>
      </c>
      <c r="H72" s="12">
        <f t="shared" si="17"/>
        <v>-1.5207637349088285</v>
      </c>
      <c r="I72" s="12"/>
      <c r="J72" s="12">
        <f t="shared" si="7"/>
        <v>44.303157451232707</v>
      </c>
      <c r="K72" s="12">
        <f t="shared" si="13"/>
        <v>-2.6531881826112036</v>
      </c>
      <c r="L72" s="14">
        <f t="shared" si="14"/>
        <v>2.4262525577632296E-2</v>
      </c>
      <c r="N72" s="6">
        <v>11000</v>
      </c>
      <c r="O72" s="12">
        <f t="shared" si="8"/>
        <v>-534128.88290898071</v>
      </c>
      <c r="P72" s="12">
        <f t="shared" si="9"/>
        <v>-681899.85899959377</v>
      </c>
      <c r="Q72" s="12">
        <f t="shared" si="10"/>
        <v>147770.97609061305</v>
      </c>
      <c r="R72" s="13">
        <f t="shared" si="11"/>
        <v>7630.4138243731886</v>
      </c>
      <c r="S72" s="12">
        <f t="shared" si="15"/>
        <v>-4026.7611540473576</v>
      </c>
      <c r="T72" s="12"/>
    </row>
    <row r="73" spans="1:20" x14ac:dyDescent="0.2">
      <c r="A73" s="12">
        <f t="shared" si="12"/>
        <v>290</v>
      </c>
      <c r="B73" s="12">
        <f t="shared" si="2"/>
        <v>5.0614548307835552</v>
      </c>
      <c r="C73" s="13">
        <f t="shared" si="3"/>
        <v>0.3958662852585364</v>
      </c>
      <c r="D73" s="13">
        <f t="shared" si="4"/>
        <v>-50.489245721594855</v>
      </c>
      <c r="E73" s="12">
        <f t="shared" si="5"/>
        <v>1.835626797336892</v>
      </c>
      <c r="F73" s="12">
        <f t="shared" si="6"/>
        <v>193.48429811388021</v>
      </c>
      <c r="G73" s="12">
        <f t="shared" si="16"/>
        <v>0.92518184927459457</v>
      </c>
      <c r="H73" s="12">
        <f t="shared" si="17"/>
        <v>-1.6161297041952447</v>
      </c>
      <c r="I73" s="12"/>
      <c r="J73" s="12">
        <f t="shared" si="7"/>
        <v>39.86724759965076</v>
      </c>
      <c r="K73" s="12">
        <f t="shared" si="13"/>
        <v>-2.6304945419880941</v>
      </c>
      <c r="L73" s="14">
        <f t="shared" si="14"/>
        <v>0.16148318398212266</v>
      </c>
      <c r="N73" s="6">
        <v>11600</v>
      </c>
      <c r="O73" s="12">
        <f t="shared" si="8"/>
        <v>-557906.16522362316</v>
      </c>
      <c r="P73" s="12">
        <f t="shared" si="9"/>
        <v>-663380.4047652696</v>
      </c>
      <c r="Q73" s="12">
        <f t="shared" si="10"/>
        <v>105474.23954164644</v>
      </c>
      <c r="R73" s="13">
        <f t="shared" si="11"/>
        <v>7351.0603022021714</v>
      </c>
      <c r="S73" s="12">
        <f t="shared" si="15"/>
        <v>-4177.1484435729999</v>
      </c>
      <c r="T73" s="12"/>
    </row>
    <row r="74" spans="1:20" x14ac:dyDescent="0.2">
      <c r="A74" s="12">
        <f t="shared" si="12"/>
        <v>295</v>
      </c>
      <c r="B74" s="12">
        <f t="shared" si="2"/>
        <v>5.1487212933832724</v>
      </c>
      <c r="C74" s="13">
        <f t="shared" si="3"/>
        <v>0.35251938298781099</v>
      </c>
      <c r="D74" s="13">
        <f t="shared" si="4"/>
        <v>-49.497488426968573</v>
      </c>
      <c r="E74" s="12">
        <f t="shared" si="5"/>
        <v>1.7923330741952337</v>
      </c>
      <c r="F74" s="12">
        <f t="shared" si="6"/>
        <v>190.27380415465322</v>
      </c>
      <c r="G74" s="12">
        <f t="shared" si="16"/>
        <v>0.95902229650274817</v>
      </c>
      <c r="H74" s="12">
        <f t="shared" si="17"/>
        <v>-1.7128494427084666</v>
      </c>
      <c r="I74" s="12"/>
      <c r="J74" s="12">
        <f t="shared" si="7"/>
        <v>35.501829907218948</v>
      </c>
      <c r="K74" s="12">
        <f t="shared" si="13"/>
        <v>-2.5886926916120645</v>
      </c>
      <c r="L74" s="14">
        <f t="shared" si="14"/>
        <v>0.29745319436280349</v>
      </c>
      <c r="N74" s="6">
        <v>12000</v>
      </c>
      <c r="O74" s="12">
        <f t="shared" si="8"/>
        <v>-566746.24248879019</v>
      </c>
      <c r="P74" s="12">
        <f t="shared" si="9"/>
        <v>-639812.22509064164</v>
      </c>
      <c r="Q74" s="12">
        <f t="shared" si="10"/>
        <v>73065.982601851458</v>
      </c>
      <c r="R74" s="13">
        <f t="shared" si="11"/>
        <v>7011.1808650152198</v>
      </c>
      <c r="S74" s="12">
        <f t="shared" si="15"/>
        <v>-4292.6607308912817</v>
      </c>
      <c r="T74" s="12"/>
    </row>
    <row r="75" spans="1:20" x14ac:dyDescent="0.2">
      <c r="A75" s="12">
        <f t="shared" si="12"/>
        <v>300</v>
      </c>
      <c r="B75" s="12">
        <f t="shared" si="2"/>
        <v>5.2359877559829888</v>
      </c>
      <c r="C75" s="13">
        <f t="shared" si="3"/>
        <v>0.31019117385996459</v>
      </c>
      <c r="D75" s="13">
        <f t="shared" si="4"/>
        <v>-48.137908662641486</v>
      </c>
      <c r="E75" s="12">
        <f t="shared" si="5"/>
        <v>1.7485025056424175</v>
      </c>
      <c r="F75" s="12">
        <f t="shared" si="6"/>
        <v>186.93447903152858</v>
      </c>
      <c r="G75" s="12">
        <f t="shared" si="16"/>
        <v>0.992067461260012</v>
      </c>
      <c r="H75" s="12">
        <f t="shared" si="17"/>
        <v>-1.8109013091037354</v>
      </c>
      <c r="I75" s="12"/>
      <c r="J75" s="12">
        <f t="shared" si="7"/>
        <v>31.23900365353191</v>
      </c>
      <c r="K75" s="12">
        <f t="shared" si="13"/>
        <v>-2.5278559684364135</v>
      </c>
      <c r="L75" s="14">
        <f t="shared" si="14"/>
        <v>0.43290135437497312</v>
      </c>
      <c r="N75" s="6">
        <v>12000</v>
      </c>
      <c r="O75" s="12">
        <f t="shared" si="8"/>
        <v>-551179.05418724497</v>
      </c>
      <c r="P75" s="12">
        <f t="shared" si="9"/>
        <v>-611374.68805388978</v>
      </c>
      <c r="Q75" s="12">
        <f t="shared" si="10"/>
        <v>60195.633866644814</v>
      </c>
      <c r="R75" s="13">
        <f t="shared" si="11"/>
        <v>6602.9153872448496</v>
      </c>
      <c r="S75" s="12">
        <f t="shared" si="15"/>
        <v>-4262.8262536870379</v>
      </c>
      <c r="T75" s="12"/>
    </row>
    <row r="76" spans="1:20" x14ac:dyDescent="0.2">
      <c r="A76" s="12">
        <f t="shared" si="12"/>
        <v>305</v>
      </c>
      <c r="B76" s="12">
        <f t="shared" si="2"/>
        <v>5.3232542185827052</v>
      </c>
      <c r="C76" s="13">
        <f t="shared" si="3"/>
        <v>0.269200973720648</v>
      </c>
      <c r="D76" s="13">
        <f t="shared" si="4"/>
        <v>-46.408817609187615</v>
      </c>
      <c r="E76" s="12">
        <f t="shared" si="5"/>
        <v>1.7043957945789736</v>
      </c>
      <c r="F76" s="12">
        <f t="shared" si="6"/>
        <v>183.48541305418189</v>
      </c>
      <c r="G76" s="12">
        <f t="shared" si="16"/>
        <v>1.0240680571970093</v>
      </c>
      <c r="H76" s="12">
        <f t="shared" si="17"/>
        <v>-1.9102738868298985</v>
      </c>
      <c r="I76" s="12"/>
      <c r="J76" s="12">
        <f t="shared" si="7"/>
        <v>27.110926777659255</v>
      </c>
      <c r="K76" s="12">
        <f t="shared" si="13"/>
        <v>-2.4479495873924839</v>
      </c>
      <c r="L76" s="14">
        <f t="shared" si="14"/>
        <v>0.56859703763539549</v>
      </c>
      <c r="N76" s="6">
        <v>11700</v>
      </c>
      <c r="O76" s="12">
        <f t="shared" si="8"/>
        <v>-517458.31634244189</v>
      </c>
      <c r="P76" s="12">
        <f t="shared" si="9"/>
        <v>-578284.2204829182</v>
      </c>
      <c r="Q76" s="12">
        <f t="shared" si="10"/>
        <v>60825.904140476312</v>
      </c>
      <c r="R76" s="13">
        <f t="shared" si="11"/>
        <v>6115.4126476125803</v>
      </c>
      <c r="S76" s="12">
        <f t="shared" si="15"/>
        <v>-4076.4759149242459</v>
      </c>
      <c r="T76" s="12"/>
    </row>
    <row r="77" spans="1:20" x14ac:dyDescent="0.2">
      <c r="A77" s="12">
        <f t="shared" si="12"/>
        <v>310</v>
      </c>
      <c r="B77" s="12">
        <f t="shared" si="2"/>
        <v>5.4105206811824216</v>
      </c>
      <c r="C77" s="13">
        <f t="shared" si="3"/>
        <v>0.22987036622316034</v>
      </c>
      <c r="D77" s="13">
        <f t="shared" si="4"/>
        <v>-44.306733542614694</v>
      </c>
      <c r="E77" s="12">
        <f t="shared" si="5"/>
        <v>1.660266453831821</v>
      </c>
      <c r="F77" s="12">
        <f t="shared" si="6"/>
        <v>179.94731432752687</v>
      </c>
      <c r="G77" s="12">
        <f t="shared" si="16"/>
        <v>1.0547730275120122</v>
      </c>
      <c r="H77" s="12">
        <f t="shared" si="17"/>
        <v>-2.0109647198617644</v>
      </c>
      <c r="I77" s="12"/>
      <c r="J77" s="12">
        <f t="shared" si="7"/>
        <v>23.149985607023886</v>
      </c>
      <c r="K77" s="12">
        <f t="shared" si="13"/>
        <v>-2.348838114186774</v>
      </c>
      <c r="L77" s="14">
        <f t="shared" si="14"/>
        <v>0.70525644290491529</v>
      </c>
      <c r="N77" s="6">
        <v>11500</v>
      </c>
      <c r="O77" s="12">
        <f t="shared" si="8"/>
        <v>-485158.73229163088</v>
      </c>
      <c r="P77" s="12">
        <f t="shared" si="9"/>
        <v>-540792.6608165123</v>
      </c>
      <c r="Q77" s="12">
        <f t="shared" si="10"/>
        <v>55633.928524881427</v>
      </c>
      <c r="R77" s="13">
        <f t="shared" si="11"/>
        <v>5533.2755241176046</v>
      </c>
      <c r="S77" s="12">
        <f t="shared" si="15"/>
        <v>-3828.9097982808566</v>
      </c>
      <c r="T77" s="12"/>
    </row>
    <row r="78" spans="1:20" x14ac:dyDescent="0.2">
      <c r="A78" s="12">
        <f t="shared" si="12"/>
        <v>315</v>
      </c>
      <c r="B78" s="12">
        <f t="shared" si="2"/>
        <v>5.497787143782138</v>
      </c>
      <c r="C78" s="13">
        <f t="shared" si="3"/>
        <v>0.19252455667130694</v>
      </c>
      <c r="D78" s="13">
        <f t="shared" si="4"/>
        <v>-41.826882525277419</v>
      </c>
      <c r="E78" s="12">
        <f t="shared" si="5"/>
        <v>1.6163634279348371</v>
      </c>
      <c r="F78" s="12">
        <f t="shared" si="6"/>
        <v>176.34257290430907</v>
      </c>
      <c r="G78" s="12">
        <f t="shared" si="16"/>
        <v>1.0839284880207942</v>
      </c>
      <c r="H78" s="12">
        <f t="shared" si="17"/>
        <v>-2.1129787478496826</v>
      </c>
      <c r="I78" s="12"/>
      <c r="J78" s="12">
        <f t="shared" si="7"/>
        <v>19.388931201391003</v>
      </c>
      <c r="K78" s="12">
        <f t="shared" si="13"/>
        <v>-2.2303052625402997</v>
      </c>
      <c r="L78" s="14">
        <f t="shared" si="14"/>
        <v>0.84345489594389833</v>
      </c>
      <c r="N78" s="6">
        <v>11200</v>
      </c>
      <c r="O78" s="12">
        <f t="shared" si="8"/>
        <v>-445456.29889420449</v>
      </c>
      <c r="P78" s="12">
        <f t="shared" si="9"/>
        <v>-499185.34246175626</v>
      </c>
      <c r="Q78" s="12">
        <f t="shared" si="10"/>
        <v>53729.043567551766</v>
      </c>
      <c r="R78" s="13">
        <f t="shared" si="11"/>
        <v>4833.9755593419713</v>
      </c>
      <c r="S78" s="12">
        <f t="shared" si="15"/>
        <v>-3557.3306253277692</v>
      </c>
      <c r="T78" s="12"/>
    </row>
    <row r="79" spans="1:20" x14ac:dyDescent="0.2">
      <c r="A79" s="12">
        <f t="shared" si="12"/>
        <v>320</v>
      </c>
      <c r="B79" s="12">
        <f t="shared" si="2"/>
        <v>5.5850536063818543</v>
      </c>
      <c r="C79" s="13">
        <f t="shared" si="3"/>
        <v>0.1574931868340978</v>
      </c>
      <c r="D79" s="13">
        <f t="shared" si="4"/>
        <v>-38.963944685792669</v>
      </c>
      <c r="E79" s="12">
        <f t="shared" si="5"/>
        <v>1.5729336360169104</v>
      </c>
      <c r="F79" s="12">
        <f t="shared" si="6"/>
        <v>172.69531727037381</v>
      </c>
      <c r="G79" s="12">
        <f t="shared" ref="G79:G87" si="18">ACOS(($C$5^2+F79^2-$C$4^2)/(2*$C$5*F79))-ASIN($C$8*SIN(B79-$C$10)/F79)</f>
        <v>1.1112770910398069</v>
      </c>
      <c r="H79" s="12">
        <f t="shared" ref="H79:H87" si="19">E79+G79-(B79-$C$10)</f>
        <v>-2.2163263993483131</v>
      </c>
      <c r="I79" s="12"/>
      <c r="J79" s="12">
        <f t="shared" si="7"/>
        <v>15.860961411938371</v>
      </c>
      <c r="K79" s="12">
        <f t="shared" si="13"/>
        <v>-2.0920860851454104</v>
      </c>
      <c r="L79" s="14">
        <f t="shared" si="14"/>
        <v>0.98353865841989352</v>
      </c>
      <c r="N79" s="6">
        <v>11000</v>
      </c>
      <c r="O79" s="12">
        <f t="shared" si="8"/>
        <v>-407173.2219665334</v>
      </c>
      <c r="P79" s="12">
        <f t="shared" si="9"/>
        <v>-453778.92223451548</v>
      </c>
      <c r="Q79" s="12">
        <f t="shared" si="10"/>
        <v>46605.700267982087</v>
      </c>
      <c r="R79" s="13">
        <f t="shared" si="11"/>
        <v>3983.4029399054912</v>
      </c>
      <c r="S79" s="12">
        <f t="shared" si="15"/>
        <v>-3263.3720552436844</v>
      </c>
      <c r="T79" s="12"/>
    </row>
    <row r="80" spans="1:20" x14ac:dyDescent="0.2">
      <c r="A80" s="12">
        <f t="shared" si="12"/>
        <v>325</v>
      </c>
      <c r="B80" s="12">
        <f t="shared" ref="B80:B87" si="20">A80*2*PI()/360</f>
        <v>5.6723200689815707</v>
      </c>
      <c r="C80" s="13">
        <f t="shared" ref="C80:C87" si="21">($C$11-G80)/($C$11-$C$12)</f>
        <v>0.12511038879453659</v>
      </c>
      <c r="D80" s="13">
        <f t="shared" ref="D80:D87" si="22">$C$9*$C$8*$C$3/$C$5*SIN(H80)/SIN(E80)</f>
        <v>-35.713068935075839</v>
      </c>
      <c r="E80" s="12">
        <f t="shared" ref="E80:E87" si="23">ACOS(($C$5^2+$C$4^2-$C$7^2-$C$8^2+2*$C$7*$C$8*COS(B80-$C$10))/(2*$C$5*$C$4))</f>
        <v>1.5302243333306922</v>
      </c>
      <c r="F80" s="12">
        <f t="shared" ref="F80:F87" si="24">SQRT($C$8^2+$C$7^2-2*$C$8*$C$7*COS(B80-$C$10))</f>
        <v>169.0314563316775</v>
      </c>
      <c r="G80" s="12">
        <f t="shared" si="18"/>
        <v>1.1365579833470252</v>
      </c>
      <c r="H80" s="12">
        <f t="shared" si="19"/>
        <v>-2.3210212723270294</v>
      </c>
      <c r="I80" s="12"/>
      <c r="J80" s="12">
        <f t="shared" ref="J80:J87" si="25">$C$3*($C$11-G80)</f>
        <v>12.599726304307211</v>
      </c>
      <c r="K80" s="12">
        <f t="shared" si="13"/>
        <v>-1.9339124188252779</v>
      </c>
      <c r="L80" s="14">
        <f t="shared" si="14"/>
        <v>1.1255306137830572</v>
      </c>
      <c r="N80" s="6">
        <v>10900</v>
      </c>
      <c r="O80" s="12">
        <f t="shared" ref="O80:O87" si="26">D80*(N80-$M$9)</f>
        <v>-369630.26347803493</v>
      </c>
      <c r="P80" s="12">
        <f t="shared" ref="P80:P87" si="27">$M$10*SIN(RADIANS(A80))*$C$9</f>
        <v>-404918.97040986543</v>
      </c>
      <c r="Q80" s="12">
        <f t="shared" ref="Q80:Q87" si="28">O80-P80</f>
        <v>35288.7069318305</v>
      </c>
      <c r="R80" s="13">
        <f t="shared" ref="R80:R87" si="29">IF(($F$3+P80)/D80+$M$9&lt;$F$4,($F$3+P80)/D80+$M$9,$F$4)</f>
        <v>2927.8121831042549</v>
      </c>
      <c r="S80" s="12">
        <f t="shared" si="15"/>
        <v>-2975.877035713434</v>
      </c>
      <c r="T80" s="12"/>
    </row>
    <row r="81" spans="1:22" x14ac:dyDescent="0.2">
      <c r="A81" s="12">
        <f t="shared" ref="A81:A87" si="30">A80+$C$9*5</f>
        <v>330</v>
      </c>
      <c r="B81" s="12">
        <f t="shared" si="20"/>
        <v>5.7595865315812871</v>
      </c>
      <c r="C81" s="13">
        <f t="shared" si="21"/>
        <v>9.5713832491641643E-2</v>
      </c>
      <c r="D81" s="13">
        <f t="shared" si="22"/>
        <v>-32.071186016573535</v>
      </c>
      <c r="E81" s="12">
        <f t="shared" si="23"/>
        <v>1.4884851928705762</v>
      </c>
      <c r="F81" s="12">
        <f t="shared" si="24"/>
        <v>165.37869772632334</v>
      </c>
      <c r="G81" s="12">
        <f t="shared" si="18"/>
        <v>1.1595075497553589</v>
      </c>
      <c r="H81" s="12">
        <f t="shared" si="19"/>
        <v>-2.4270773089785278</v>
      </c>
      <c r="I81" s="12"/>
      <c r="J81" s="12">
        <f t="shared" si="25"/>
        <v>9.6392322376321662</v>
      </c>
      <c r="K81" s="12">
        <f t="shared" ref="K81:K87" si="31">(J81-J80)/10*$E$11</f>
        <v>-1.7555729815383014</v>
      </c>
      <c r="L81" s="14">
        <f t="shared" ref="L81:L87" si="32">(K81-K80)/(B81-B80)*$E$11*2*3.1415/60*$C$9</f>
        <v>1.2690260078126983</v>
      </c>
      <c r="N81" s="6">
        <v>10800</v>
      </c>
      <c r="O81" s="12">
        <f t="shared" si="26"/>
        <v>-328729.65666987875</v>
      </c>
      <c r="P81" s="12">
        <f t="shared" si="27"/>
        <v>-352977.34072363708</v>
      </c>
      <c r="Q81" s="12">
        <f t="shared" si="28"/>
        <v>24247.684053758334</v>
      </c>
      <c r="R81" s="13">
        <f t="shared" si="29"/>
        <v>1578.2544807228294</v>
      </c>
      <c r="S81" s="12">
        <f t="shared" ref="S81:S87" si="33">(N81+N80)/2*(J81-J80)/12</f>
        <v>-2676.7800519520197</v>
      </c>
      <c r="T81" s="12"/>
    </row>
    <row r="82" spans="1:22" x14ac:dyDescent="0.2">
      <c r="A82" s="12">
        <f t="shared" si="30"/>
        <v>335</v>
      </c>
      <c r="B82" s="12">
        <f t="shared" si="20"/>
        <v>5.8468529941810035</v>
      </c>
      <c r="C82" s="13">
        <f t="shared" si="21"/>
        <v>6.9642495906022631E-2</v>
      </c>
      <c r="D82" s="13">
        <f t="shared" si="22"/>
        <v>-28.038647446922237</v>
      </c>
      <c r="E82" s="12">
        <f t="shared" si="23"/>
        <v>1.4479700007438967</v>
      </c>
      <c r="F82" s="12">
        <f t="shared" si="24"/>
        <v>161.76653054554069</v>
      </c>
      <c r="G82" s="12">
        <f t="shared" si="18"/>
        <v>1.1798611539041128</v>
      </c>
      <c r="H82" s="12">
        <f t="shared" si="19"/>
        <v>-2.53450535955617</v>
      </c>
      <c r="I82" s="12"/>
      <c r="J82" s="12">
        <f t="shared" si="25"/>
        <v>7.0136173024429027</v>
      </c>
      <c r="K82" s="12">
        <f t="shared" si="31"/>
        <v>-1.556989656567233</v>
      </c>
      <c r="L82" s="14">
        <f t="shared" si="32"/>
        <v>1.4130772640079987</v>
      </c>
      <c r="N82" s="6">
        <v>11300</v>
      </c>
      <c r="O82" s="12">
        <f t="shared" si="26"/>
        <v>-301415.46005441406</v>
      </c>
      <c r="P82" s="12">
        <f t="shared" si="27"/>
        <v>-298349.34034095582</v>
      </c>
      <c r="Q82" s="12">
        <f t="shared" si="28"/>
        <v>-3066.1197134582326</v>
      </c>
      <c r="R82" s="13">
        <f t="shared" si="29"/>
        <v>-222.17204217961444</v>
      </c>
      <c r="S82" s="12">
        <f t="shared" si="33"/>
        <v>-2417.7537528201133</v>
      </c>
      <c r="T82" s="12"/>
    </row>
    <row r="83" spans="1:22" x14ac:dyDescent="0.2">
      <c r="A83" s="12">
        <f t="shared" si="30"/>
        <v>340</v>
      </c>
      <c r="B83" s="12">
        <f t="shared" si="20"/>
        <v>5.9341194567807207</v>
      </c>
      <c r="C83" s="13">
        <f t="shared" si="21"/>
        <v>4.7232868710169414E-2</v>
      </c>
      <c r="D83" s="13">
        <f t="shared" si="22"/>
        <v>-23.62120196531243</v>
      </c>
      <c r="E83" s="12">
        <f t="shared" si="23"/>
        <v>1.4089378425627339</v>
      </c>
      <c r="F83" s="12">
        <f t="shared" si="24"/>
        <v>158.22615755362636</v>
      </c>
      <c r="G83" s="12">
        <f t="shared" si="18"/>
        <v>1.197356102027223</v>
      </c>
      <c r="H83" s="12">
        <f t="shared" si="19"/>
        <v>-2.6433090322139399</v>
      </c>
      <c r="I83" s="12"/>
      <c r="J83" s="12">
        <f t="shared" si="25"/>
        <v>4.7567689945616944</v>
      </c>
      <c r="K83" s="12">
        <f t="shared" si="31"/>
        <v>-1.3383110465735564</v>
      </c>
      <c r="L83" s="14">
        <f t="shared" si="32"/>
        <v>1.5560710948512577</v>
      </c>
      <c r="N83" s="6">
        <v>11800</v>
      </c>
      <c r="O83" s="12">
        <f t="shared" si="26"/>
        <v>-265738.52210976486</v>
      </c>
      <c r="P83" s="12">
        <f t="shared" si="27"/>
        <v>-241450.72133002323</v>
      </c>
      <c r="Q83" s="12">
        <f t="shared" si="28"/>
        <v>-24287.800779741636</v>
      </c>
      <c r="R83" s="13">
        <f t="shared" si="29"/>
        <v>-2775.3717903655302</v>
      </c>
      <c r="S83" s="12">
        <f t="shared" si="33"/>
        <v>-2172.2164963356631</v>
      </c>
      <c r="T83" s="12"/>
    </row>
    <row r="84" spans="1:22" x14ac:dyDescent="0.2">
      <c r="A84" s="12">
        <f t="shared" si="30"/>
        <v>345</v>
      </c>
      <c r="B84" s="12">
        <f t="shared" si="20"/>
        <v>6.0213859193804371</v>
      </c>
      <c r="C84" s="13">
        <f t="shared" si="21"/>
        <v>2.8813303580889696E-2</v>
      </c>
      <c r="D84" s="13">
        <f t="shared" si="22"/>
        <v>-18.832286538370784</v>
      </c>
      <c r="E84" s="12">
        <f t="shared" si="23"/>
        <v>1.3716536370873469</v>
      </c>
      <c r="F84" s="12">
        <f t="shared" si="24"/>
        <v>154.7903590452465</v>
      </c>
      <c r="G84" s="12">
        <f t="shared" si="18"/>
        <v>1.2117360528211669</v>
      </c>
      <c r="H84" s="12">
        <f t="shared" si="19"/>
        <v>-2.7534797494950993</v>
      </c>
      <c r="I84" s="12"/>
      <c r="J84" s="12">
        <f t="shared" si="25"/>
        <v>2.9017553421429261</v>
      </c>
      <c r="K84" s="12">
        <f t="shared" si="31"/>
        <v>-1.1000230958843296</v>
      </c>
      <c r="L84" s="14">
        <f t="shared" si="32"/>
        <v>1.6956070478478593</v>
      </c>
      <c r="N84" s="6">
        <v>12100</v>
      </c>
      <c r="O84" s="12">
        <f t="shared" si="26"/>
        <v>-217512.90951818257</v>
      </c>
      <c r="P84" s="12">
        <f t="shared" si="27"/>
        <v>-182714.51653783754</v>
      </c>
      <c r="Q84" s="12">
        <f t="shared" si="28"/>
        <v>-34798.39298034503</v>
      </c>
      <c r="R84" s="13">
        <f t="shared" si="29"/>
        <v>-6739.8998845649085</v>
      </c>
      <c r="S84" s="12">
        <f t="shared" si="33"/>
        <v>-1847.2844288670233</v>
      </c>
      <c r="T84" s="12"/>
    </row>
    <row r="85" spans="1:22" x14ac:dyDescent="0.2">
      <c r="A85" s="12">
        <f t="shared" si="30"/>
        <v>350</v>
      </c>
      <c r="B85" s="12">
        <f t="shared" si="20"/>
        <v>6.1086523819801526</v>
      </c>
      <c r="C85" s="13">
        <f t="shared" si="21"/>
        <v>1.4696272591569857E-2</v>
      </c>
      <c r="D85" s="13">
        <f t="shared" si="22"/>
        <v>-13.695550862275383</v>
      </c>
      <c r="E85" s="12">
        <f t="shared" si="23"/>
        <v>1.3363878531145827</v>
      </c>
      <c r="F85" s="12">
        <f t="shared" si="24"/>
        <v>151.49326808484903</v>
      </c>
      <c r="G85" s="12">
        <f t="shared" si="18"/>
        <v>1.2227570627938893</v>
      </c>
      <c r="H85" s="12">
        <f t="shared" si="19"/>
        <v>-2.8649909860948566</v>
      </c>
      <c r="I85" s="12"/>
      <c r="J85" s="12">
        <f t="shared" si="25"/>
        <v>1.4800450556617397</v>
      </c>
      <c r="K85" s="12">
        <f t="shared" si="31"/>
        <v>-0.84307419988334353</v>
      </c>
      <c r="L85" s="14">
        <f t="shared" si="32"/>
        <v>1.8283944183322092</v>
      </c>
      <c r="N85" s="6">
        <v>12400</v>
      </c>
      <c r="O85" s="12">
        <f t="shared" si="26"/>
        <v>-162292.2777179633</v>
      </c>
      <c r="P85" s="12">
        <f t="shared" si="27"/>
        <v>-122587.74394875742</v>
      </c>
      <c r="Q85" s="12">
        <f t="shared" si="28"/>
        <v>-39704.533769205882</v>
      </c>
      <c r="R85" s="13">
        <f t="shared" si="29"/>
        <v>-13864.334847604987</v>
      </c>
      <c r="S85" s="12">
        <f t="shared" si="33"/>
        <v>-1451.3292507828776</v>
      </c>
      <c r="T85" s="12"/>
    </row>
    <row r="86" spans="1:22" x14ac:dyDescent="0.2">
      <c r="A86" s="12">
        <f t="shared" si="30"/>
        <v>355</v>
      </c>
      <c r="B86" s="12">
        <f t="shared" si="20"/>
        <v>6.1959188445798699</v>
      </c>
      <c r="C86" s="13">
        <f t="shared" si="21"/>
        <v>5.1683909705750293E-3</v>
      </c>
      <c r="D86" s="13">
        <f t="shared" si="22"/>
        <v>-8.2474500358109104</v>
      </c>
      <c r="E86" s="12">
        <f t="shared" si="23"/>
        <v>1.3034152336251121</v>
      </c>
      <c r="F86" s="12">
        <f t="shared" si="24"/>
        <v>148.37003582006025</v>
      </c>
      <c r="G86" s="12">
        <f t="shared" si="18"/>
        <v>1.2301953746062912</v>
      </c>
      <c r="H86" s="12">
        <f t="shared" si="19"/>
        <v>-2.9777917563716425</v>
      </c>
      <c r="I86" s="12"/>
      <c r="J86" s="12">
        <f t="shared" si="25"/>
        <v>0.52050283186188762</v>
      </c>
      <c r="K86" s="12">
        <f t="shared" si="31"/>
        <v>-0.56900853871331225</v>
      </c>
      <c r="L86" s="14">
        <f t="shared" si="32"/>
        <v>1.9501937269965095</v>
      </c>
      <c r="N86" s="6">
        <v>12700</v>
      </c>
      <c r="O86" s="12">
        <f t="shared" si="26"/>
        <v>-100206.51793510256</v>
      </c>
      <c r="P86" s="12">
        <f t="shared" si="27"/>
        <v>-61528.004607723655</v>
      </c>
      <c r="Q86" s="12">
        <f t="shared" si="28"/>
        <v>-38678.513327378903</v>
      </c>
      <c r="R86" s="13">
        <f t="shared" si="29"/>
        <v>-30789.625492725125</v>
      </c>
      <c r="S86" s="12">
        <f t="shared" si="33"/>
        <v>-1003.5212423906787</v>
      </c>
      <c r="T86" s="12"/>
    </row>
    <row r="87" spans="1:22" x14ac:dyDescent="0.2">
      <c r="A87" s="12">
        <f t="shared" si="30"/>
        <v>360</v>
      </c>
      <c r="B87" s="12">
        <f t="shared" si="20"/>
        <v>6.2831853071795862</v>
      </c>
      <c r="C87" s="13">
        <f t="shared" si="21"/>
        <v>4.7825890414021009E-4</v>
      </c>
      <c r="D87" s="13">
        <f t="shared" si="22"/>
        <v>-2.5396328117981009</v>
      </c>
      <c r="E87" s="12">
        <f t="shared" si="23"/>
        <v>1.2730123571637884</v>
      </c>
      <c r="F87" s="12">
        <f t="shared" si="24"/>
        <v>145.45636690020069</v>
      </c>
      <c r="G87" s="12">
        <f t="shared" si="18"/>
        <v>1.2338569088422555</v>
      </c>
      <c r="H87" s="12">
        <f t="shared" si="19"/>
        <v>-3.0917995611967184</v>
      </c>
      <c r="I87" s="12"/>
      <c r="J87" s="12">
        <f t="shared" si="25"/>
        <v>4.816491542249679E-2</v>
      </c>
      <c r="K87" s="12">
        <f t="shared" si="31"/>
        <v>-0.28009638444855872</v>
      </c>
      <c r="L87" s="14">
        <f t="shared" si="32"/>
        <v>2.0558382560397424</v>
      </c>
      <c r="N87" s="6">
        <v>13000</v>
      </c>
      <c r="O87" s="12">
        <f t="shared" si="26"/>
        <v>-31618.428506886357</v>
      </c>
      <c r="P87" s="12">
        <f t="shared" si="27"/>
        <v>-1.7297985744212684E-10</v>
      </c>
      <c r="Q87" s="12">
        <f t="shared" si="28"/>
        <v>-31618.428506886183</v>
      </c>
      <c r="R87" s="13">
        <f t="shared" si="29"/>
        <v>-125452.46717297478</v>
      </c>
      <c r="S87" s="12">
        <f t="shared" si="33"/>
        <v>-505.79518552051439</v>
      </c>
      <c r="T87" s="12"/>
    </row>
    <row r="88" spans="1:22" x14ac:dyDescent="0.2">
      <c r="O88" s="12"/>
      <c r="P88" s="12"/>
      <c r="Q88" s="12"/>
      <c r="R88" s="12"/>
      <c r="S88" s="12"/>
      <c r="T88" s="12"/>
    </row>
    <row r="89" spans="1:22" x14ac:dyDescent="0.2">
      <c r="O89" s="12"/>
      <c r="P89" s="12"/>
      <c r="Q89" s="12"/>
      <c r="R89" s="15" t="s">
        <v>84</v>
      </c>
      <c r="S89" s="12">
        <f>SUM(S16:S87)</f>
        <v>42776.662660554066</v>
      </c>
      <c r="T89" s="12" t="s">
        <v>72</v>
      </c>
    </row>
    <row r="90" spans="1:22" x14ac:dyDescent="0.2">
      <c r="O90" s="12"/>
      <c r="P90" s="12"/>
      <c r="Q90" s="12"/>
      <c r="R90" s="15" t="s">
        <v>74</v>
      </c>
      <c r="S90" s="16">
        <f>S89*E11/33000</f>
        <v>7.6868366538510786</v>
      </c>
      <c r="T90" s="12" t="s">
        <v>73</v>
      </c>
      <c r="V90" s="11"/>
    </row>
    <row r="91" spans="1:22" x14ac:dyDescent="0.2">
      <c r="O91" s="12"/>
      <c r="P91" s="12"/>
      <c r="Q91" s="12"/>
      <c r="R91" s="17" t="s">
        <v>95</v>
      </c>
      <c r="S91" s="16">
        <f>S90*1.5/0.9</f>
        <v>12.811394423085131</v>
      </c>
      <c r="T91" s="12"/>
    </row>
    <row r="92" spans="1:22" x14ac:dyDescent="0.2">
      <c r="T92" s="10"/>
    </row>
    <row r="93" spans="1:22" x14ac:dyDescent="0.2">
      <c r="T93" s="10"/>
    </row>
  </sheetData>
  <sheetProtection sheet="1"/>
  <mergeCells count="3">
    <mergeCell ref="E1:H1"/>
    <mergeCell ref="F2:G2"/>
    <mergeCell ref="J12:L12"/>
  </mergeCells>
  <phoneticPr fontId="1" type="noConversion"/>
  <printOptions gridLines="1"/>
  <pageMargins left="0.75" right="0.75" top="1" bottom="1" header="0.5" footer="0.5"/>
  <pageSetup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workbookViewId="0">
      <selection activeCell="Q3" sqref="Q3"/>
    </sheetView>
  </sheetViews>
  <sheetFormatPr defaultRowHeight="12.75" x14ac:dyDescent="0.2"/>
  <cols>
    <col min="1" max="1" width="9.140625" style="4"/>
    <col min="2" max="2" width="12.42578125" style="4" bestFit="1" customWidth="1"/>
    <col min="3" max="3" width="9.140625" style="4"/>
    <col min="4" max="4" width="9.28515625" style="4" customWidth="1"/>
    <col min="5" max="9" width="9.140625" style="4"/>
    <col min="10" max="10" width="9.140625" style="18"/>
    <col min="11" max="11" width="11.140625" style="18" customWidth="1"/>
    <col min="12" max="14" width="9.140625" style="18"/>
    <col min="15" max="16" width="9.140625" style="4"/>
    <col min="17" max="17" width="11" style="4" customWidth="1"/>
    <col min="18" max="16384" width="9.140625" style="4"/>
  </cols>
  <sheetData>
    <row r="1" spans="1:19" x14ac:dyDescent="0.2">
      <c r="A1" s="4" t="s">
        <v>22</v>
      </c>
      <c r="D1" s="29" t="s">
        <v>91</v>
      </c>
      <c r="E1" s="30"/>
      <c r="F1" s="31"/>
    </row>
    <row r="2" spans="1:19" x14ac:dyDescent="0.2">
      <c r="A2" s="4" t="s">
        <v>0</v>
      </c>
      <c r="D2" s="7" t="s">
        <v>23</v>
      </c>
      <c r="E2" s="29" t="s">
        <v>65</v>
      </c>
      <c r="F2" s="31"/>
    </row>
    <row r="3" spans="1:19" x14ac:dyDescent="0.2">
      <c r="A3" s="4" t="s">
        <v>1</v>
      </c>
      <c r="B3" s="8">
        <v>312</v>
      </c>
      <c r="C3" s="4" t="s">
        <v>7</v>
      </c>
      <c r="D3" s="7" t="s">
        <v>34</v>
      </c>
      <c r="E3" s="8">
        <v>320000</v>
      </c>
      <c r="F3" s="7" t="s">
        <v>75</v>
      </c>
    </row>
    <row r="4" spans="1:19" x14ac:dyDescent="0.2">
      <c r="A4" s="4" t="s">
        <v>2</v>
      </c>
      <c r="B4" s="8">
        <v>173.75</v>
      </c>
      <c r="C4" s="4" t="s">
        <v>7</v>
      </c>
      <c r="D4" s="7" t="s">
        <v>96</v>
      </c>
      <c r="E4" s="8">
        <v>29800</v>
      </c>
      <c r="F4" s="7" t="s">
        <v>97</v>
      </c>
    </row>
    <row r="5" spans="1:19" x14ac:dyDescent="0.2">
      <c r="A5" s="4" t="s">
        <v>3</v>
      </c>
      <c r="B5" s="8">
        <v>258</v>
      </c>
      <c r="C5" s="4" t="s">
        <v>7</v>
      </c>
      <c r="K5" s="18" t="s">
        <v>31</v>
      </c>
      <c r="L5" s="8">
        <v>5200</v>
      </c>
      <c r="M5" s="18" t="s">
        <v>37</v>
      </c>
    </row>
    <row r="6" spans="1:19" x14ac:dyDescent="0.2">
      <c r="A6" s="4" t="s">
        <v>4</v>
      </c>
      <c r="B6" s="8">
        <v>186</v>
      </c>
      <c r="C6" s="4" t="s">
        <v>7</v>
      </c>
      <c r="K6" s="18" t="s">
        <v>38</v>
      </c>
      <c r="L6" s="19">
        <f>C33</f>
        <v>45.956166902822851</v>
      </c>
      <c r="M6" s="18" t="s">
        <v>39</v>
      </c>
      <c r="N6" s="20">
        <f>A33</f>
        <v>90</v>
      </c>
      <c r="O6" s="4" t="s">
        <v>28</v>
      </c>
    </row>
    <row r="7" spans="1:19" x14ac:dyDescent="0.2">
      <c r="A7" s="4" t="s">
        <v>5</v>
      </c>
      <c r="B7" s="8">
        <v>244.6978</v>
      </c>
      <c r="C7" s="4" t="s">
        <v>7</v>
      </c>
      <c r="D7" s="4" t="s">
        <v>24</v>
      </c>
      <c r="K7" s="18" t="s">
        <v>40</v>
      </c>
      <c r="L7" s="8">
        <v>-1535</v>
      </c>
      <c r="M7" s="18" t="s">
        <v>37</v>
      </c>
    </row>
    <row r="8" spans="1:19" x14ac:dyDescent="0.2">
      <c r="A8" s="4" t="s">
        <v>6</v>
      </c>
      <c r="B8" s="8">
        <v>37.630000000000003</v>
      </c>
      <c r="C8" s="4" t="s">
        <v>7</v>
      </c>
      <c r="K8" s="18" t="s">
        <v>41</v>
      </c>
      <c r="L8" s="20">
        <f>ABS(L6*(L5-L7)/SIN(RADIANS((N6+B9))))</f>
        <v>338806.1113994405</v>
      </c>
      <c r="M8" s="18" t="s">
        <v>33</v>
      </c>
    </row>
    <row r="9" spans="1:19" x14ac:dyDescent="0.2">
      <c r="A9" s="4" t="s">
        <v>27</v>
      </c>
      <c r="B9" s="8">
        <v>24</v>
      </c>
      <c r="C9" s="4" t="s">
        <v>28</v>
      </c>
      <c r="D9" s="4" t="s">
        <v>70</v>
      </c>
      <c r="E9" s="8">
        <v>7.22</v>
      </c>
      <c r="F9" s="4" t="s">
        <v>71</v>
      </c>
    </row>
    <row r="10" spans="1:19" x14ac:dyDescent="0.2">
      <c r="A10" s="4" t="s">
        <v>8</v>
      </c>
      <c r="B10" s="12">
        <f>DEGREES(ASIN($B$6/B7))+180</f>
        <v>229.47488904845318</v>
      </c>
      <c r="D10" s="4" t="s">
        <v>68</v>
      </c>
      <c r="E10" s="8">
        <v>1</v>
      </c>
    </row>
    <row r="11" spans="1:19" x14ac:dyDescent="0.2">
      <c r="A11" s="4" t="s">
        <v>9</v>
      </c>
      <c r="B11" s="12">
        <f>DEGREES(ACOS((B5^2+B7^2-(B4-B8)^2)/(2*B5*B7)))</f>
        <v>31.278232050654246</v>
      </c>
      <c r="D11" s="7" t="s">
        <v>100</v>
      </c>
      <c r="M11" s="21" t="s">
        <v>13</v>
      </c>
      <c r="N11" s="18" t="s">
        <v>29</v>
      </c>
      <c r="O11" s="4" t="s">
        <v>31</v>
      </c>
      <c r="P11" s="4" t="s">
        <v>34</v>
      </c>
      <c r="Q11" s="7" t="s">
        <v>87</v>
      </c>
      <c r="R11" s="7" t="s">
        <v>84</v>
      </c>
    </row>
    <row r="12" spans="1:19" x14ac:dyDescent="0.2">
      <c r="A12" s="4" t="s">
        <v>10</v>
      </c>
      <c r="B12" s="12">
        <f>DEGREES(ACOS((B5^2+B7^2-(B4+B8)^2)/(2*B5*B7)))</f>
        <v>49.644523102909204</v>
      </c>
      <c r="D12" s="4" t="s">
        <v>69</v>
      </c>
      <c r="I12" s="32" t="s">
        <v>86</v>
      </c>
      <c r="J12" s="33"/>
      <c r="K12" s="34"/>
      <c r="M12" s="21" t="s">
        <v>80</v>
      </c>
      <c r="N12" s="18" t="s">
        <v>32</v>
      </c>
      <c r="O12" s="4" t="s">
        <v>32</v>
      </c>
      <c r="P12" s="4" t="s">
        <v>32</v>
      </c>
      <c r="Q12" s="7" t="s">
        <v>80</v>
      </c>
      <c r="R12" s="7" t="s">
        <v>83</v>
      </c>
    </row>
    <row r="13" spans="1:19" x14ac:dyDescent="0.2">
      <c r="A13" s="4" t="s">
        <v>11</v>
      </c>
      <c r="B13" s="7" t="s">
        <v>77</v>
      </c>
      <c r="C13" s="7" t="s">
        <v>32</v>
      </c>
      <c r="I13" s="4" t="s">
        <v>18</v>
      </c>
      <c r="J13" s="18" t="s">
        <v>19</v>
      </c>
      <c r="K13" s="18" t="s">
        <v>21</v>
      </c>
      <c r="M13" s="21" t="s">
        <v>89</v>
      </c>
      <c r="N13" s="21" t="s">
        <v>93</v>
      </c>
      <c r="O13" s="7" t="s">
        <v>93</v>
      </c>
      <c r="P13" s="7" t="s">
        <v>93</v>
      </c>
      <c r="Q13" s="7" t="s">
        <v>89</v>
      </c>
    </row>
    <row r="14" spans="1:19" x14ac:dyDescent="0.2">
      <c r="A14" s="4" t="s">
        <v>12</v>
      </c>
      <c r="B14" s="7" t="s">
        <v>18</v>
      </c>
      <c r="C14" s="7" t="s">
        <v>98</v>
      </c>
      <c r="D14" s="4" t="s">
        <v>14</v>
      </c>
      <c r="E14" s="4" t="s">
        <v>15</v>
      </c>
      <c r="F14" s="4" t="s">
        <v>16</v>
      </c>
      <c r="G14" s="4" t="s">
        <v>17</v>
      </c>
      <c r="I14" s="7" t="s">
        <v>92</v>
      </c>
      <c r="J14" s="18" t="s">
        <v>20</v>
      </c>
      <c r="K14" s="18" t="s">
        <v>26</v>
      </c>
    </row>
    <row r="15" spans="1:19" x14ac:dyDescent="0.2">
      <c r="A15" s="12">
        <f>IF(E10&gt;0,0,360)</f>
        <v>0</v>
      </c>
      <c r="B15" s="13">
        <f t="shared" ref="B15:B46" si="0">($B$11-F15)/($B$11-$B$12)</f>
        <v>5.0940781755596409E-2</v>
      </c>
      <c r="C15" s="13">
        <f>$E$10*$B$8*$B$3/$B$5*SIN(RADIANS(G15))/SIN(RADIANS(D15))</f>
        <v>18.804617959305595</v>
      </c>
      <c r="D15" s="12">
        <f t="shared" ref="D15:D46" si="1">DEGREES(ACOS(($B$5^2+$B$4^2-$B$7^2-$B$8^2+2*$B$7*$B$8*COS(RADIANS(A15-$B$10)))/(2*$B$5*$B$4)))</f>
        <v>74.808530557666487</v>
      </c>
      <c r="E15" s="12">
        <f>SQRT($B$8^2+$B$7^2-2*$B$8*$B$7*COS(RADIANS($B$10-A15)))</f>
        <v>270.66468808912822</v>
      </c>
      <c r="F15" s="12">
        <f t="shared" ref="F15:F46" si="2">DEGREES(ASIN($B$4*SIN(RADIANS(D15))/E15))-DEGREES(ASIN($B$8*SIN(RADIANS(A15-$B$10))/E15))</f>
        <v>32.213825274806929</v>
      </c>
      <c r="G15" s="12">
        <f>-D15-F15+(A15-$B$10)</f>
        <v>-336.49724488092659</v>
      </c>
      <c r="H15" s="12"/>
      <c r="I15" s="12">
        <f>-$B$3*B15*($B$11-$B$12)*2*3.1415/360</f>
        <v>5.0945545970377992</v>
      </c>
      <c r="J15" s="20">
        <f>(I15-I86)/10*$E$9</f>
        <v>1.0936779180151897</v>
      </c>
      <c r="K15" s="20">
        <f>(J15-J86)/0.8333*$E$9</f>
        <v>1.608748403075444</v>
      </c>
      <c r="M15" s="8">
        <v>5940</v>
      </c>
      <c r="N15" s="20">
        <f>C15*(M15-$L$7)</f>
        <v>140564.51924580932</v>
      </c>
      <c r="O15" s="12">
        <f>$E$10*$L$8*SIN(RADIANS((A15+$B$9)))</f>
        <v>137804.86040417405</v>
      </c>
      <c r="P15" s="12">
        <f>N15-O15</f>
        <v>2759.6588416352752</v>
      </c>
      <c r="Q15" s="12">
        <f>IF(($E$3+O15)/C15+$L$7&lt;$E$4,($E$3+O15)/C15+$L$7,$E$4)</f>
        <v>22810.342266186599</v>
      </c>
      <c r="R15" s="12"/>
      <c r="S15" s="12"/>
    </row>
    <row r="16" spans="1:19" x14ac:dyDescent="0.2">
      <c r="A16" s="12">
        <f>A15+$E$10*5</f>
        <v>5</v>
      </c>
      <c r="B16" s="13">
        <f t="shared" si="0"/>
        <v>6.8585494314282069E-2</v>
      </c>
      <c r="C16" s="13">
        <f t="shared" ref="C16:C79" si="3">$E$10*$B$8*$B$3/$B$5*SIN(RADIANS(G16))/SIN(RADIANS(D16))</f>
        <v>21.624297653322749</v>
      </c>
      <c r="D16" s="12">
        <f t="shared" si="1"/>
        <v>75.584893159763865</v>
      </c>
      <c r="E16" s="12">
        <f t="shared" ref="E16:E79" si="4">SQRT($B$8^2+$B$7^2-2*$B$8*$B$7*COS(RADIANS($B$10-A16)))</f>
        <v>272.82572329785393</v>
      </c>
      <c r="F16" s="12">
        <f t="shared" si="2"/>
        <v>32.537893201193128</v>
      </c>
      <c r="G16" s="12">
        <f t="shared" ref="G16:G79" si="5">-D16-F16+(A16-$B$10)</f>
        <v>-332.59767540941016</v>
      </c>
      <c r="H16" s="12"/>
      <c r="I16" s="12">
        <f>-$B$3*B16*($B$11-$B$12)*2*3.1415/360</f>
        <v>6.8591908743243568</v>
      </c>
      <c r="J16" s="20">
        <f>(I16-I15)/10*$E$9</f>
        <v>1.2740673922008945</v>
      </c>
      <c r="K16" s="20">
        <f>(J16-J15)/0.8333*$E$9</f>
        <v>1.5629569226218514</v>
      </c>
      <c r="M16" s="8">
        <v>6360</v>
      </c>
      <c r="N16" s="20">
        <f t="shared" ref="N16:N79" si="6">C16*(M16-$L$7)</f>
        <v>170723.82997298311</v>
      </c>
      <c r="O16" s="12">
        <f t="shared" ref="O16:O79" si="7">$E$10*$L$8*SIN(RADIANS((A16+$B$9)))</f>
        <v>164256.46220470092</v>
      </c>
      <c r="P16" s="12">
        <f t="shared" ref="P16:P79" si="8">N16-O16</f>
        <v>6467.3677682821872</v>
      </c>
      <c r="Q16" s="12">
        <f t="shared" ref="Q16:Q79" si="9">IF(($E$3+O16)/C16+$L$7&lt;$E$4,($E$3+O16)/C16+$L$7,$E$4)</f>
        <v>20859.089739617091</v>
      </c>
      <c r="R16" s="12">
        <f>(M16+M15)/2*(I16-I15)/12</f>
        <v>904.3760921093608</v>
      </c>
      <c r="S16" s="12"/>
    </row>
    <row r="17" spans="1:19" x14ac:dyDescent="0.2">
      <c r="A17" s="12">
        <f t="shared" ref="A17:A80" si="10">A16+$E$10*5</f>
        <v>10</v>
      </c>
      <c r="B17" s="13">
        <f t="shared" si="0"/>
        <v>8.8651040563654485E-2</v>
      </c>
      <c r="C17" s="13">
        <f t="shared" si="3"/>
        <v>24.352412622209993</v>
      </c>
      <c r="D17" s="12">
        <f t="shared" si="1"/>
        <v>76.292783292411215</v>
      </c>
      <c r="E17" s="12">
        <f t="shared" si="4"/>
        <v>274.78785897848792</v>
      </c>
      <c r="F17" s="12">
        <f t="shared" si="2"/>
        <v>32.906422863731585</v>
      </c>
      <c r="G17" s="12">
        <f t="shared" si="5"/>
        <v>-328.67409520459597</v>
      </c>
      <c r="H17" s="12"/>
      <c r="I17" s="12">
        <f t="shared" ref="I17:I80" si="11">-$B$3*B17*($B$11-$B$12)*2*3.1415/360</f>
        <v>8.8659331614229302</v>
      </c>
      <c r="J17" s="20">
        <f t="shared" ref="J17:J80" si="12">(I17-I16)/10*$E$9</f>
        <v>1.44886793128517</v>
      </c>
      <c r="K17" s="20">
        <f t="shared" ref="K17:K80" si="13">(J17-J16)/0.8333*$E$9</f>
        <v>1.5145324519242398</v>
      </c>
      <c r="M17" s="8">
        <v>6780</v>
      </c>
      <c r="N17" s="20">
        <f t="shared" si="6"/>
        <v>202490.31095367609</v>
      </c>
      <c r="O17" s="12">
        <f t="shared" si="7"/>
        <v>189457.97314708645</v>
      </c>
      <c r="P17" s="12">
        <f t="shared" si="8"/>
        <v>13032.33780658964</v>
      </c>
      <c r="Q17" s="12">
        <f t="shared" si="9"/>
        <v>19385.225895090509</v>
      </c>
      <c r="R17" s="12">
        <f t="shared" ref="R17:R80" si="14">(M17+M16)/2*(I17-I16)/12</f>
        <v>1098.6914021864688</v>
      </c>
      <c r="S17" s="12"/>
    </row>
    <row r="18" spans="1:19" x14ac:dyDescent="0.2">
      <c r="A18" s="12">
        <f t="shared" si="10"/>
        <v>15</v>
      </c>
      <c r="B18" s="13">
        <f t="shared" si="0"/>
        <v>0.11105461859150867</v>
      </c>
      <c r="C18" s="13">
        <f t="shared" si="3"/>
        <v>26.982057946182241</v>
      </c>
      <c r="D18" s="12">
        <f t="shared" si="1"/>
        <v>76.927578044946614</v>
      </c>
      <c r="E18" s="12">
        <f t="shared" si="4"/>
        <v>276.54054366636342</v>
      </c>
      <c r="F18" s="12">
        <f t="shared" si="2"/>
        <v>33.317893498403059</v>
      </c>
      <c r="G18" s="12">
        <f t="shared" si="5"/>
        <v>-324.72036059180289</v>
      </c>
      <c r="H18" s="12"/>
      <c r="I18" s="12">
        <f t="shared" si="11"/>
        <v>11.106500492711687</v>
      </c>
      <c r="J18" s="20">
        <f t="shared" si="12"/>
        <v>1.6176896131904825</v>
      </c>
      <c r="K18" s="20">
        <f t="shared" si="13"/>
        <v>1.4627295612100761</v>
      </c>
      <c r="M18" s="8">
        <v>7200</v>
      </c>
      <c r="N18" s="20">
        <f t="shared" si="6"/>
        <v>235688.27615990187</v>
      </c>
      <c r="O18" s="12">
        <f t="shared" si="7"/>
        <v>213217.59451597068</v>
      </c>
      <c r="P18" s="12">
        <f t="shared" si="8"/>
        <v>22470.681643931195</v>
      </c>
      <c r="Q18" s="12">
        <f t="shared" si="9"/>
        <v>18226.93200605801</v>
      </c>
      <c r="R18" s="12">
        <f t="shared" si="14"/>
        <v>1305.1304704757008</v>
      </c>
      <c r="S18" s="12"/>
    </row>
    <row r="19" spans="1:19" x14ac:dyDescent="0.2">
      <c r="A19" s="12">
        <f t="shared" si="10"/>
        <v>20</v>
      </c>
      <c r="B19" s="13">
        <f t="shared" si="0"/>
        <v>0.13570675832636475</v>
      </c>
      <c r="C19" s="13">
        <f t="shared" si="3"/>
        <v>29.504847833384755</v>
      </c>
      <c r="D19" s="12">
        <f t="shared" si="1"/>
        <v>77.485118717847016</v>
      </c>
      <c r="E19" s="12">
        <f t="shared" si="4"/>
        <v>278.0745146135161</v>
      </c>
      <c r="F19" s="12">
        <f t="shared" si="2"/>
        <v>33.770661871834285</v>
      </c>
      <c r="G19" s="12">
        <f t="shared" si="5"/>
        <v>-320.73066963813449</v>
      </c>
      <c r="H19" s="12"/>
      <c r="I19" s="12">
        <f t="shared" si="11"/>
        <v>13.571945024277627</v>
      </c>
      <c r="J19" s="20">
        <f t="shared" si="12"/>
        <v>1.7800509517906082</v>
      </c>
      <c r="K19" s="20">
        <f t="shared" si="13"/>
        <v>1.4067549078278021</v>
      </c>
      <c r="M19" s="8">
        <v>7640</v>
      </c>
      <c r="N19" s="20">
        <f t="shared" si="6"/>
        <v>270706.97887130512</v>
      </c>
      <c r="O19" s="12">
        <f t="shared" si="7"/>
        <v>235354.50124628484</v>
      </c>
      <c r="P19" s="12">
        <f t="shared" si="8"/>
        <v>35352.477625020285</v>
      </c>
      <c r="Q19" s="12">
        <f t="shared" si="9"/>
        <v>17287.483152002595</v>
      </c>
      <c r="R19" s="12">
        <f t="shared" si="14"/>
        <v>1524.4665353516059</v>
      </c>
      <c r="S19" s="12"/>
    </row>
    <row r="20" spans="1:19" x14ac:dyDescent="0.2">
      <c r="A20" s="12">
        <f t="shared" si="10"/>
        <v>25</v>
      </c>
      <c r="B20" s="13">
        <f t="shared" si="0"/>
        <v>0.16251001902802992</v>
      </c>
      <c r="C20" s="13">
        <f t="shared" si="3"/>
        <v>31.910899514583196</v>
      </c>
      <c r="D20" s="12">
        <f t="shared" si="1"/>
        <v>77.961739203545136</v>
      </c>
      <c r="E20" s="12">
        <f t="shared" si="4"/>
        <v>279.38178676798373</v>
      </c>
      <c r="F20" s="12">
        <f t="shared" si="2"/>
        <v>34.262938359030535</v>
      </c>
      <c r="G20" s="12">
        <f t="shared" si="5"/>
        <v>-316.69956661102884</v>
      </c>
      <c r="H20" s="12"/>
      <c r="I20" s="12">
        <f t="shared" si="11"/>
        <v>16.252521770791127</v>
      </c>
      <c r="J20" s="20">
        <f t="shared" si="12"/>
        <v>1.9353764109827469</v>
      </c>
      <c r="K20" s="20">
        <f t="shared" si="13"/>
        <v>1.3457936101850969</v>
      </c>
      <c r="M20" s="8">
        <v>8100</v>
      </c>
      <c r="N20" s="20">
        <f t="shared" si="6"/>
        <v>307461.51682300912</v>
      </c>
      <c r="O20" s="12">
        <f t="shared" si="7"/>
        <v>255700.21811118149</v>
      </c>
      <c r="P20" s="12">
        <f t="shared" si="8"/>
        <v>51761.298711827636</v>
      </c>
      <c r="Q20" s="12">
        <f t="shared" si="9"/>
        <v>16505.864622073346</v>
      </c>
      <c r="R20" s="12">
        <f t="shared" si="14"/>
        <v>1758.0115829217705</v>
      </c>
      <c r="S20" s="12"/>
    </row>
    <row r="21" spans="1:19" x14ac:dyDescent="0.2">
      <c r="A21" s="12">
        <f t="shared" si="10"/>
        <v>30</v>
      </c>
      <c r="B21" s="13">
        <f t="shared" si="0"/>
        <v>0.19135769237814765</v>
      </c>
      <c r="C21" s="13">
        <f t="shared" si="3"/>
        <v>34.188861745964601</v>
      </c>
      <c r="D21" s="12">
        <f t="shared" si="1"/>
        <v>78.35429334522091</v>
      </c>
      <c r="E21" s="12">
        <f t="shared" si="4"/>
        <v>280.4556424574339</v>
      </c>
      <c r="F21" s="12">
        <f t="shared" si="2"/>
        <v>34.792763123959176</v>
      </c>
      <c r="G21" s="12">
        <f t="shared" si="5"/>
        <v>-312.62194551763326</v>
      </c>
      <c r="H21" s="12"/>
      <c r="I21" s="12">
        <f t="shared" si="11"/>
        <v>19.137558902431557</v>
      </c>
      <c r="J21" s="20">
        <f t="shared" si="12"/>
        <v>2.0829968090443907</v>
      </c>
      <c r="K21" s="20">
        <f t="shared" si="13"/>
        <v>1.2790342901776883</v>
      </c>
      <c r="M21" s="8">
        <v>8540</v>
      </c>
      <c r="N21" s="20">
        <f t="shared" si="6"/>
        <v>344452.78209059336</v>
      </c>
      <c r="O21" s="12">
        <f t="shared" si="7"/>
        <v>274099.90192023898</v>
      </c>
      <c r="P21" s="12">
        <f t="shared" si="8"/>
        <v>70352.880170354387</v>
      </c>
      <c r="Q21" s="12">
        <f t="shared" si="9"/>
        <v>15842.001502261541</v>
      </c>
      <c r="R21" s="12">
        <f t="shared" si="14"/>
        <v>2000.2924112706987</v>
      </c>
      <c r="S21" s="12"/>
    </row>
    <row r="22" spans="1:19" x14ac:dyDescent="0.2">
      <c r="A22" s="12">
        <f t="shared" si="10"/>
        <v>35</v>
      </c>
      <c r="B22" s="13">
        <f t="shared" si="0"/>
        <v>0.22213254887836073</v>
      </c>
      <c r="C22" s="13">
        <f t="shared" si="3"/>
        <v>36.325985047756873</v>
      </c>
      <c r="D22" s="12">
        <f t="shared" si="1"/>
        <v>78.660180254278274</v>
      </c>
      <c r="E22" s="12">
        <f t="shared" si="4"/>
        <v>281.29062217800481</v>
      </c>
      <c r="F22" s="12">
        <f t="shared" si="2"/>
        <v>35.35798309553347</v>
      </c>
      <c r="G22" s="12">
        <f t="shared" si="5"/>
        <v>-308.49305239826492</v>
      </c>
      <c r="H22" s="12"/>
      <c r="I22" s="12">
        <f t="shared" si="11"/>
        <v>22.21533237297934</v>
      </c>
      <c r="J22" s="20">
        <f t="shared" si="12"/>
        <v>2.2221524457354991</v>
      </c>
      <c r="K22" s="20">
        <f t="shared" si="13"/>
        <v>1.2056926639983232</v>
      </c>
      <c r="M22" s="8">
        <v>8160</v>
      </c>
      <c r="N22" s="20">
        <f t="shared" si="6"/>
        <v>352180.4250380029</v>
      </c>
      <c r="O22" s="12">
        <f t="shared" si="7"/>
        <v>290413.51996963756</v>
      </c>
      <c r="P22" s="12">
        <f t="shared" si="8"/>
        <v>61766.905068365333</v>
      </c>
      <c r="Q22" s="12">
        <f t="shared" si="9"/>
        <v>15268.770611234409</v>
      </c>
      <c r="R22" s="12">
        <f t="shared" si="14"/>
        <v>2141.6173732561651</v>
      </c>
      <c r="S22" s="12"/>
    </row>
    <row r="23" spans="1:19" x14ac:dyDescent="0.2">
      <c r="A23" s="12">
        <f t="shared" si="10"/>
        <v>40</v>
      </c>
      <c r="B23" s="13">
        <f t="shared" si="0"/>
        <v>0.25470566250167848</v>
      </c>
      <c r="C23" s="13">
        <f t="shared" si="3"/>
        <v>38.308230189809507</v>
      </c>
      <c r="D23" s="12">
        <f t="shared" si="1"/>
        <v>78.877366575296847</v>
      </c>
      <c r="E23" s="12">
        <f t="shared" si="4"/>
        <v>281.88251677959681</v>
      </c>
      <c r="F23" s="12">
        <f t="shared" si="2"/>
        <v>35.956230380817495</v>
      </c>
      <c r="G23" s="12">
        <f t="shared" si="5"/>
        <v>-304.3084860045675</v>
      </c>
      <c r="H23" s="12"/>
      <c r="I23" s="12">
        <f t="shared" si="11"/>
        <v>25.472948373960268</v>
      </c>
      <c r="J23" s="20">
        <f t="shared" si="12"/>
        <v>2.35199875270823</v>
      </c>
      <c r="K23" s="20">
        <f t="shared" si="13"/>
        <v>1.1250334049479387</v>
      </c>
      <c r="M23" s="8">
        <v>7800</v>
      </c>
      <c r="N23" s="20">
        <f t="shared" si="6"/>
        <v>357607.32882187172</v>
      </c>
      <c r="O23" s="12">
        <f t="shared" si="7"/>
        <v>304516.91577558947</v>
      </c>
      <c r="P23" s="12">
        <f t="shared" si="8"/>
        <v>53090.41304628225</v>
      </c>
      <c r="Q23" s="12">
        <f t="shared" si="9"/>
        <v>14767.421507890989</v>
      </c>
      <c r="R23" s="12">
        <f t="shared" si="14"/>
        <v>2166.3146406523169</v>
      </c>
      <c r="S23" s="12"/>
    </row>
    <row r="24" spans="1:19" x14ac:dyDescent="0.2">
      <c r="A24" s="12">
        <f t="shared" si="10"/>
        <v>45</v>
      </c>
      <c r="B24" s="13">
        <f t="shared" si="0"/>
        <v>0.28893534518309638</v>
      </c>
      <c r="C24" s="13">
        <f t="shared" si="3"/>
        <v>40.12041070561866</v>
      </c>
      <c r="D24" s="12">
        <f t="shared" si="1"/>
        <v>79.004404761266144</v>
      </c>
      <c r="E24" s="12">
        <f t="shared" si="4"/>
        <v>282.2283612541579</v>
      </c>
      <c r="F24" s="12">
        <f t="shared" si="2"/>
        <v>36.584902695570747</v>
      </c>
      <c r="G24" s="12">
        <f t="shared" si="5"/>
        <v>-300.06419650529006</v>
      </c>
      <c r="H24" s="12"/>
      <c r="I24" s="12">
        <f t="shared" si="11"/>
        <v>28.896236773742331</v>
      </c>
      <c r="J24" s="20">
        <f t="shared" si="12"/>
        <v>2.4716142246426491</v>
      </c>
      <c r="K24" s="20">
        <f t="shared" si="13"/>
        <v>1.0363899044359848</v>
      </c>
      <c r="M24" s="8">
        <v>7420</v>
      </c>
      <c r="N24" s="20">
        <f t="shared" si="6"/>
        <v>359278.27786881512</v>
      </c>
      <c r="O24" s="12">
        <f t="shared" si="7"/>
        <v>316302.75398014812</v>
      </c>
      <c r="P24" s="12">
        <f t="shared" si="8"/>
        <v>42975.523888666998</v>
      </c>
      <c r="Q24" s="12">
        <f t="shared" si="9"/>
        <v>14324.826526926285</v>
      </c>
      <c r="R24" s="12">
        <f t="shared" si="14"/>
        <v>2170.9353935284585</v>
      </c>
      <c r="S24" s="12"/>
    </row>
    <row r="25" spans="1:19" x14ac:dyDescent="0.2">
      <c r="A25" s="12">
        <f t="shared" si="10"/>
        <v>50</v>
      </c>
      <c r="B25" s="13">
        <f t="shared" si="0"/>
        <v>0.32466621874375085</v>
      </c>
      <c r="C25" s="13">
        <f t="shared" si="3"/>
        <v>41.746364522860482</v>
      </c>
      <c r="D25" s="12">
        <f t="shared" si="1"/>
        <v>79.040446559239896</v>
      </c>
      <c r="E25" s="12">
        <f t="shared" si="4"/>
        <v>282.32643026818283</v>
      </c>
      <c r="F25" s="12">
        <f t="shared" si="2"/>
        <v>37.241146318937048</v>
      </c>
      <c r="G25" s="12">
        <f t="shared" si="5"/>
        <v>-295.75648192663016</v>
      </c>
      <c r="H25" s="12"/>
      <c r="I25" s="12">
        <f t="shared" si="11"/>
        <v>32.469658301271402</v>
      </c>
      <c r="J25" s="20">
        <f t="shared" si="12"/>
        <v>2.5800103428759891</v>
      </c>
      <c r="K25" s="20">
        <f t="shared" si="13"/>
        <v>0.93918153563508255</v>
      </c>
      <c r="M25" s="8">
        <v>7420</v>
      </c>
      <c r="N25" s="20">
        <f t="shared" si="6"/>
        <v>373838.69430221559</v>
      </c>
      <c r="O25" s="12">
        <f t="shared" si="7"/>
        <v>325681.3372380932</v>
      </c>
      <c r="P25" s="12">
        <f t="shared" si="8"/>
        <v>48157.357064122392</v>
      </c>
      <c r="Q25" s="12">
        <f t="shared" si="9"/>
        <v>13931.768055563625</v>
      </c>
      <c r="R25" s="12">
        <f t="shared" si="14"/>
        <v>2209.5656445221421</v>
      </c>
      <c r="S25" s="12"/>
    </row>
    <row r="26" spans="1:19" x14ac:dyDescent="0.2">
      <c r="A26" s="12">
        <f t="shared" si="10"/>
        <v>55</v>
      </c>
      <c r="B26" s="13">
        <f t="shared" si="0"/>
        <v>0.36172844731852444</v>
      </c>
      <c r="C26" s="13">
        <f t="shared" si="3"/>
        <v>43.169149296393279</v>
      </c>
      <c r="D26" s="12">
        <f t="shared" si="1"/>
        <v>78.985251099598969</v>
      </c>
      <c r="E26" s="12">
        <f t="shared" si="4"/>
        <v>282.17623552967279</v>
      </c>
      <c r="F26" s="12">
        <f t="shared" si="2"/>
        <v>37.92184199598654</v>
      </c>
      <c r="G26" s="12">
        <f t="shared" si="5"/>
        <v>-291.38198214403872</v>
      </c>
      <c r="H26" s="12"/>
      <c r="I26" s="12">
        <f t="shared" si="11"/>
        <v>36.176227781653097</v>
      </c>
      <c r="J26" s="20">
        <f t="shared" si="12"/>
        <v>2.6761431648355836</v>
      </c>
      <c r="K26" s="20">
        <f t="shared" si="13"/>
        <v>0.83292808658138984</v>
      </c>
      <c r="M26" s="8">
        <v>7420</v>
      </c>
      <c r="N26" s="20">
        <f t="shared" si="6"/>
        <v>386579.73194920179</v>
      </c>
      <c r="O26" s="12">
        <f t="shared" si="7"/>
        <v>332581.28886788827</v>
      </c>
      <c r="P26" s="12">
        <f t="shared" si="8"/>
        <v>53998.443081313511</v>
      </c>
      <c r="Q26" s="12">
        <f t="shared" si="9"/>
        <v>13581.843845760253</v>
      </c>
      <c r="R26" s="12">
        <f t="shared" si="14"/>
        <v>2291.895462036015</v>
      </c>
      <c r="S26" s="12"/>
    </row>
    <row r="27" spans="1:19" x14ac:dyDescent="0.2">
      <c r="A27" s="12">
        <f t="shared" si="10"/>
        <v>60</v>
      </c>
      <c r="B27" s="13">
        <f t="shared" si="0"/>
        <v>0.39993714853035711</v>
      </c>
      <c r="C27" s="13">
        <f t="shared" si="3"/>
        <v>44.371255860213509</v>
      </c>
      <c r="D27" s="12">
        <f t="shared" si="1"/>
        <v>78.839187218467089</v>
      </c>
      <c r="E27" s="12">
        <f t="shared" si="4"/>
        <v>281.77852503860629</v>
      </c>
      <c r="F27" s="12">
        <f t="shared" si="2"/>
        <v>38.623594123171706</v>
      </c>
      <c r="G27" s="12">
        <f t="shared" si="5"/>
        <v>-286.93767039009197</v>
      </c>
      <c r="H27" s="12"/>
      <c r="I27" s="12">
        <f t="shared" si="11"/>
        <v>39.997455248076911</v>
      </c>
      <c r="J27" s="20">
        <f t="shared" si="12"/>
        <v>2.7589262307579934</v>
      </c>
      <c r="K27" s="20">
        <f t="shared" si="13"/>
        <v>0.71726117359870245</v>
      </c>
      <c r="M27" s="8">
        <v>7420</v>
      </c>
      <c r="N27" s="20">
        <f t="shared" si="6"/>
        <v>397344.596228212</v>
      </c>
      <c r="O27" s="12">
        <f t="shared" si="7"/>
        <v>336950.09607132588</v>
      </c>
      <c r="P27" s="12">
        <f t="shared" si="8"/>
        <v>60394.500156886119</v>
      </c>
      <c r="Q27" s="12">
        <f t="shared" si="9"/>
        <v>13270.758442829992</v>
      </c>
      <c r="R27" s="12">
        <f t="shared" si="14"/>
        <v>2362.7923167387248</v>
      </c>
      <c r="S27" s="12"/>
    </row>
    <row r="28" spans="1:19" x14ac:dyDescent="0.2">
      <c r="A28" s="12">
        <f t="shared" si="10"/>
        <v>65</v>
      </c>
      <c r="B28" s="13">
        <f t="shared" si="0"/>
        <v>0.43909199686621098</v>
      </c>
      <c r="C28" s="13">
        <f t="shared" si="3"/>
        <v>45.334834487046507</v>
      </c>
      <c r="D28" s="12">
        <f t="shared" si="1"/>
        <v>78.603229906048369</v>
      </c>
      <c r="E28" s="12">
        <f t="shared" si="4"/>
        <v>281.13528423434559</v>
      </c>
      <c r="F28" s="12">
        <f t="shared" si="2"/>
        <v>39.342723463814899</v>
      </c>
      <c r="G28" s="12">
        <f t="shared" si="5"/>
        <v>-282.42084241831645</v>
      </c>
      <c r="H28" s="12"/>
      <c r="I28" s="12">
        <f t="shared" si="11"/>
        <v>43.91330627570327</v>
      </c>
      <c r="J28" s="20">
        <f t="shared" si="12"/>
        <v>2.8272444419462315</v>
      </c>
      <c r="K28" s="20">
        <f t="shared" si="13"/>
        <v>0.59193265904125658</v>
      </c>
      <c r="M28" s="8">
        <v>7660</v>
      </c>
      <c r="N28" s="20">
        <f t="shared" si="6"/>
        <v>416853.80310839263</v>
      </c>
      <c r="O28" s="12">
        <f t="shared" si="7"/>
        <v>338754.50958763011</v>
      </c>
      <c r="P28" s="12">
        <f t="shared" si="8"/>
        <v>78099.293520762527</v>
      </c>
      <c r="Q28" s="12">
        <f t="shared" si="9"/>
        <v>12995.868305604065</v>
      </c>
      <c r="R28" s="12">
        <f t="shared" si="14"/>
        <v>2460.4597290252295</v>
      </c>
      <c r="S28" s="12"/>
    </row>
    <row r="29" spans="1:19" x14ac:dyDescent="0.2">
      <c r="A29" s="12">
        <f t="shared" si="10"/>
        <v>70</v>
      </c>
      <c r="B29" s="13">
        <f t="shared" si="0"/>
        <v>0.47897702837614958</v>
      </c>
      <c r="C29" s="13">
        <f t="shared" si="3"/>
        <v>46.041929420218452</v>
      </c>
      <c r="D29" s="12">
        <f t="shared" si="1"/>
        <v>78.278951044717957</v>
      </c>
      <c r="E29" s="12">
        <f t="shared" si="4"/>
        <v>280.24973901933299</v>
      </c>
      <c r="F29" s="12">
        <f t="shared" si="2"/>
        <v>40.075263561154792</v>
      </c>
      <c r="G29" s="12">
        <f t="shared" si="5"/>
        <v>-277.82910365432593</v>
      </c>
      <c r="H29" s="12"/>
      <c r="I29" s="12">
        <f t="shared" si="11"/>
        <v>47.902182449744934</v>
      </c>
      <c r="J29" s="20">
        <f t="shared" si="12"/>
        <v>2.8799685976580811</v>
      </c>
      <c r="K29" s="20">
        <f t="shared" si="13"/>
        <v>0.45682035790178116</v>
      </c>
      <c r="M29" s="8">
        <v>7920</v>
      </c>
      <c r="N29" s="20">
        <f t="shared" si="6"/>
        <v>435326.44266816549</v>
      </c>
      <c r="O29" s="12">
        <f t="shared" si="7"/>
        <v>337980.79674040707</v>
      </c>
      <c r="P29" s="12">
        <f t="shared" si="8"/>
        <v>97345.645927758422</v>
      </c>
      <c r="Q29" s="12">
        <f t="shared" si="9"/>
        <v>12755.904074308128</v>
      </c>
      <c r="R29" s="12">
        <f t="shared" si="14"/>
        <v>2589.4454496487137</v>
      </c>
      <c r="S29" s="12"/>
    </row>
    <row r="30" spans="1:19" x14ac:dyDescent="0.2">
      <c r="A30" s="12">
        <f t="shared" si="10"/>
        <v>75</v>
      </c>
      <c r="B30" s="13">
        <f t="shared" si="0"/>
        <v>0.51936065238480622</v>
      </c>
      <c r="C30" s="13">
        <f t="shared" si="3"/>
        <v>46.474718428860108</v>
      </c>
      <c r="D30" s="12">
        <f t="shared" si="1"/>
        <v>77.868504859795976</v>
      </c>
      <c r="E30" s="12">
        <f t="shared" si="4"/>
        <v>279.12636060197087</v>
      </c>
      <c r="F30" s="12">
        <f t="shared" si="2"/>
        <v>40.81696095344261</v>
      </c>
      <c r="G30" s="12">
        <f t="shared" si="5"/>
        <v>-273.16035486169176</v>
      </c>
      <c r="H30" s="12"/>
      <c r="I30" s="12">
        <f t="shared" si="11"/>
        <v>51.940922536723392</v>
      </c>
      <c r="J30" s="20">
        <f t="shared" si="12"/>
        <v>2.9159703427984462</v>
      </c>
      <c r="K30" s="20">
        <f t="shared" si="13"/>
        <v>0.3119315971600099</v>
      </c>
      <c r="M30" s="8">
        <v>8160</v>
      </c>
      <c r="N30" s="20">
        <f t="shared" si="6"/>
        <v>450572.39516779874</v>
      </c>
      <c r="O30" s="12">
        <f t="shared" si="7"/>
        <v>334634.84595160477</v>
      </c>
      <c r="P30" s="12">
        <f t="shared" si="8"/>
        <v>115937.54921619396</v>
      </c>
      <c r="Q30" s="12">
        <f t="shared" si="9"/>
        <v>12550.827049251928</v>
      </c>
      <c r="R30" s="12">
        <f t="shared" si="14"/>
        <v>2705.9558582755662</v>
      </c>
      <c r="S30" s="12"/>
    </row>
    <row r="31" spans="1:19" x14ac:dyDescent="0.2">
      <c r="A31" s="12">
        <f t="shared" si="10"/>
        <v>80</v>
      </c>
      <c r="B31" s="13">
        <f t="shared" si="0"/>
        <v>0.55999587380133042</v>
      </c>
      <c r="C31" s="13">
        <f t="shared" si="3"/>
        <v>46.615755884404358</v>
      </c>
      <c r="D31" s="12">
        <f t="shared" si="1"/>
        <v>77.37460873444104</v>
      </c>
      <c r="E31" s="12">
        <f t="shared" si="4"/>
        <v>277.77087205869196</v>
      </c>
      <c r="F31" s="12">
        <f t="shared" si="2"/>
        <v>41.563279256951319</v>
      </c>
      <c r="G31" s="12">
        <f t="shared" si="5"/>
        <v>-268.41277703984554</v>
      </c>
      <c r="H31" s="12"/>
      <c r="I31" s="12">
        <f t="shared" si="11"/>
        <v>56.004824717542576</v>
      </c>
      <c r="J31" s="20">
        <f t="shared" si="12"/>
        <v>2.934137374551451</v>
      </c>
      <c r="K31" s="20">
        <f t="shared" si="13"/>
        <v>0.15740545932640587</v>
      </c>
      <c r="M31" s="8">
        <v>7920</v>
      </c>
      <c r="N31" s="20">
        <f t="shared" si="6"/>
        <v>440751.97188704321</v>
      </c>
      <c r="O31" s="12">
        <f t="shared" si="7"/>
        <v>328742.1219270663</v>
      </c>
      <c r="P31" s="12">
        <f t="shared" si="8"/>
        <v>112009.84995997691</v>
      </c>
      <c r="Q31" s="12">
        <f t="shared" si="9"/>
        <v>12381.799365772114</v>
      </c>
      <c r="R31" s="12">
        <f t="shared" si="14"/>
        <v>2722.8144611488533</v>
      </c>
      <c r="S31" s="12"/>
    </row>
    <row r="32" spans="1:19" x14ac:dyDescent="0.2">
      <c r="A32" s="12">
        <f t="shared" si="10"/>
        <v>85</v>
      </c>
      <c r="B32" s="13">
        <f t="shared" si="0"/>
        <v>0.60062072920087073</v>
      </c>
      <c r="C32" s="13">
        <f t="shared" si="3"/>
        <v>46.448219962916916</v>
      </c>
      <c r="D32" s="12">
        <f t="shared" si="1"/>
        <v>76.800520222323442</v>
      </c>
      <c r="E32" s="12">
        <f t="shared" si="4"/>
        <v>276.19025646162856</v>
      </c>
      <c r="F32" s="12">
        <f t="shared" si="2"/>
        <v>42.309407175175046</v>
      </c>
      <c r="G32" s="12">
        <f t="shared" si="5"/>
        <v>-263.58481644595167</v>
      </c>
      <c r="H32" s="12"/>
      <c r="I32" s="12">
        <f t="shared" si="11"/>
        <v>60.067690199715628</v>
      </c>
      <c r="J32" s="20">
        <f t="shared" si="12"/>
        <v>2.9333888781289432</v>
      </c>
      <c r="K32" s="20">
        <f t="shared" si="13"/>
        <v>-6.4852324139036011E-3</v>
      </c>
      <c r="M32" s="8">
        <v>7680</v>
      </c>
      <c r="N32" s="20">
        <f t="shared" si="6"/>
        <v>428020.34695827938</v>
      </c>
      <c r="O32" s="12">
        <f t="shared" si="7"/>
        <v>320347.47185474244</v>
      </c>
      <c r="P32" s="12">
        <f t="shared" si="8"/>
        <v>107672.87510353694</v>
      </c>
      <c r="Q32" s="12">
        <f t="shared" si="9"/>
        <v>12251.265057433409</v>
      </c>
      <c r="R32" s="12">
        <f t="shared" si="14"/>
        <v>2640.8625634124837</v>
      </c>
      <c r="S32" s="12"/>
    </row>
    <row r="33" spans="1:19" x14ac:dyDescent="0.2">
      <c r="A33" s="12">
        <f t="shared" si="10"/>
        <v>90</v>
      </c>
      <c r="B33" s="13">
        <f t="shared" si="0"/>
        <v>0.6409589413824921</v>
      </c>
      <c r="C33" s="13">
        <f t="shared" si="3"/>
        <v>45.956166902822851</v>
      </c>
      <c r="D33" s="12">
        <f t="shared" si="1"/>
        <v>76.150011216230581</v>
      </c>
      <c r="E33" s="12">
        <f t="shared" si="4"/>
        <v>274.39276634933367</v>
      </c>
      <c r="F33" s="12">
        <f t="shared" si="2"/>
        <v>43.05027052063032</v>
      </c>
      <c r="G33" s="12">
        <f t="shared" si="5"/>
        <v>-258.67517078531409</v>
      </c>
      <c r="H33" s="12"/>
      <c r="I33" s="12">
        <f t="shared" si="11"/>
        <v>64.101888679278389</v>
      </c>
      <c r="J33" s="20">
        <f t="shared" si="12"/>
        <v>2.9126913022443133</v>
      </c>
      <c r="K33" s="20">
        <f t="shared" si="13"/>
        <v>-0.17933097070326198</v>
      </c>
      <c r="M33" s="8">
        <v>7420</v>
      </c>
      <c r="N33" s="20">
        <f t="shared" si="6"/>
        <v>411537.47461477865</v>
      </c>
      <c r="O33" s="12">
        <f t="shared" si="7"/>
        <v>309514.78409051191</v>
      </c>
      <c r="P33" s="12">
        <f t="shared" si="8"/>
        <v>102022.69052426674</v>
      </c>
      <c r="Q33" s="12">
        <f t="shared" si="9"/>
        <v>12163.15688548742</v>
      </c>
      <c r="R33" s="12">
        <f t="shared" si="14"/>
        <v>2538.1832100582374</v>
      </c>
      <c r="S33" s="12"/>
    </row>
    <row r="34" spans="1:19" x14ac:dyDescent="0.2">
      <c r="A34" s="12">
        <f t="shared" si="10"/>
        <v>95</v>
      </c>
      <c r="B34" s="13">
        <f t="shared" si="0"/>
        <v>0.68072080070342711</v>
      </c>
      <c r="C34" s="13">
        <f t="shared" si="3"/>
        <v>45.124797621703152</v>
      </c>
      <c r="D34" s="12">
        <f t="shared" si="1"/>
        <v>75.427340290982642</v>
      </c>
      <c r="E34" s="12">
        <f t="shared" si="4"/>
        <v>272.38793422855389</v>
      </c>
      <c r="F34" s="12">
        <f t="shared" si="2"/>
        <v>43.78054840169743</v>
      </c>
      <c r="G34" s="12">
        <f t="shared" si="5"/>
        <v>-253.68277774113324</v>
      </c>
      <c r="H34" s="12"/>
      <c r="I34" s="12">
        <f t="shared" si="11"/>
        <v>68.078446482457082</v>
      </c>
      <c r="J34" s="20">
        <f t="shared" si="12"/>
        <v>2.8710747338950164</v>
      </c>
      <c r="K34" s="20">
        <f t="shared" si="13"/>
        <v>-0.36058037139316346</v>
      </c>
      <c r="M34" s="8">
        <v>7240</v>
      </c>
      <c r="N34" s="20">
        <f t="shared" si="6"/>
        <v>395970.09913044516</v>
      </c>
      <c r="O34" s="12">
        <f t="shared" si="7"/>
        <v>296326.5019292162</v>
      </c>
      <c r="P34" s="12">
        <f t="shared" si="8"/>
        <v>99643.597201228957</v>
      </c>
      <c r="Q34" s="12">
        <f t="shared" si="9"/>
        <v>12123.266284008525</v>
      </c>
      <c r="R34" s="12">
        <f t="shared" si="14"/>
        <v>2429.0140581083183</v>
      </c>
      <c r="S34" s="12"/>
    </row>
    <row r="35" spans="1:19" x14ac:dyDescent="0.2">
      <c r="A35" s="12">
        <f t="shared" si="10"/>
        <v>100</v>
      </c>
      <c r="B35" s="13">
        <f t="shared" si="0"/>
        <v>0.71960428711009461</v>
      </c>
      <c r="C35" s="13">
        <f t="shared" si="3"/>
        <v>43.940744232046015</v>
      </c>
      <c r="D35" s="12">
        <f t="shared" si="1"/>
        <v>74.637224233363852</v>
      </c>
      <c r="E35" s="12">
        <f t="shared" si="4"/>
        <v>270.1865836794006</v>
      </c>
      <c r="F35" s="12">
        <f t="shared" si="2"/>
        <v>44.494693830168686</v>
      </c>
      <c r="G35" s="12">
        <f t="shared" si="5"/>
        <v>-248.60680711198572</v>
      </c>
      <c r="H35" s="12"/>
      <c r="I35" s="12">
        <f t="shared" si="11"/>
        <v>71.967158779263997</v>
      </c>
      <c r="J35" s="20">
        <f t="shared" si="12"/>
        <v>2.8076502782945925</v>
      </c>
      <c r="K35" s="20">
        <f t="shared" si="13"/>
        <v>-0.54953146458065649</v>
      </c>
      <c r="M35" s="8">
        <v>7060</v>
      </c>
      <c r="N35" s="20">
        <f t="shared" si="6"/>
        <v>377670.69667443552</v>
      </c>
      <c r="O35" s="12">
        <f t="shared" si="7"/>
        <v>280882.99616140523</v>
      </c>
      <c r="P35" s="12">
        <f t="shared" si="8"/>
        <v>96787.700513030286</v>
      </c>
      <c r="Q35" s="12">
        <f t="shared" si="9"/>
        <v>12139.847949506982</v>
      </c>
      <c r="R35" s="12">
        <f t="shared" si="14"/>
        <v>2317.0244101807871</v>
      </c>
      <c r="S35" s="12"/>
    </row>
    <row r="36" spans="1:19" x14ac:dyDescent="0.2">
      <c r="A36" s="12">
        <f t="shared" si="10"/>
        <v>105</v>
      </c>
      <c r="B36" s="13">
        <f t="shared" si="0"/>
        <v>0.75729645422590919</v>
      </c>
      <c r="C36" s="13">
        <f t="shared" si="3"/>
        <v>42.392385895277741</v>
      </c>
      <c r="D36" s="12">
        <f t="shared" si="1"/>
        <v>73.784809702835105</v>
      </c>
      <c r="E36" s="12">
        <f t="shared" si="4"/>
        <v>267.80084048815496</v>
      </c>
      <c r="F36" s="12">
        <f t="shared" si="2"/>
        <v>45.186959141807968</v>
      </c>
      <c r="G36" s="12">
        <f t="shared" si="5"/>
        <v>-243.44665789309624</v>
      </c>
      <c r="H36" s="12"/>
      <c r="I36" s="12">
        <f t="shared" si="11"/>
        <v>75.736728005223</v>
      </c>
      <c r="J36" s="20">
        <f t="shared" si="12"/>
        <v>2.7216289811424001</v>
      </c>
      <c r="K36" s="20">
        <f t="shared" si="13"/>
        <v>-0.74531833125984448</v>
      </c>
      <c r="M36" s="8">
        <v>6860</v>
      </c>
      <c r="N36" s="20">
        <f t="shared" si="6"/>
        <v>355884.07959085662</v>
      </c>
      <c r="O36" s="12">
        <f t="shared" si="7"/>
        <v>263301.80119101581</v>
      </c>
      <c r="P36" s="12">
        <f t="shared" si="8"/>
        <v>92582.278399840812</v>
      </c>
      <c r="Q36" s="12">
        <f t="shared" si="9"/>
        <v>12224.58887126455</v>
      </c>
      <c r="R36" s="12">
        <f t="shared" si="14"/>
        <v>2186.3501510562219</v>
      </c>
      <c r="S36" s="12"/>
    </row>
    <row r="37" spans="1:19" x14ac:dyDescent="0.2">
      <c r="A37" s="12">
        <f t="shared" si="10"/>
        <v>110</v>
      </c>
      <c r="B37" s="13">
        <f t="shared" si="0"/>
        <v>0.7934751057297218</v>
      </c>
      <c r="C37" s="13">
        <f t="shared" si="3"/>
        <v>40.470204804546022</v>
      </c>
      <c r="D37" s="12">
        <f t="shared" si="1"/>
        <v>72.875645840409803</v>
      </c>
      <c r="E37" s="12">
        <f t="shared" si="4"/>
        <v>265.2441430446392</v>
      </c>
      <c r="F37" s="12">
        <f t="shared" si="2"/>
        <v>45.851426785205092</v>
      </c>
      <c r="G37" s="12">
        <f t="shared" si="5"/>
        <v>-238.20196167406806</v>
      </c>
      <c r="H37" s="12"/>
      <c r="I37" s="12">
        <f t="shared" si="11"/>
        <v>79.354931514891902</v>
      </c>
      <c r="J37" s="20">
        <f t="shared" si="12"/>
        <v>2.6123429339809472</v>
      </c>
      <c r="K37" s="20">
        <f t="shared" si="13"/>
        <v>-0.94689218829436006</v>
      </c>
      <c r="M37" s="8">
        <v>7000</v>
      </c>
      <c r="N37" s="20">
        <f t="shared" si="6"/>
        <v>345413.19800680032</v>
      </c>
      <c r="O37" s="12">
        <f t="shared" si="7"/>
        <v>243716.7205275883</v>
      </c>
      <c r="P37" s="12">
        <f t="shared" si="8"/>
        <v>101696.47747921202</v>
      </c>
      <c r="Q37" s="12">
        <f t="shared" si="9"/>
        <v>12394.17884280798</v>
      </c>
      <c r="R37" s="12">
        <f t="shared" si="14"/>
        <v>2089.5125268337911</v>
      </c>
      <c r="S37" s="12"/>
    </row>
    <row r="38" spans="1:19" x14ac:dyDescent="0.2">
      <c r="A38" s="12">
        <f t="shared" si="10"/>
        <v>115</v>
      </c>
      <c r="B38" s="13">
        <f t="shared" si="0"/>
        <v>0.82781080398902451</v>
      </c>
      <c r="C38" s="13">
        <f t="shared" si="3"/>
        <v>38.16719365794814</v>
      </c>
      <c r="D38" s="12">
        <f t="shared" si="1"/>
        <v>71.915658466944677</v>
      </c>
      <c r="E38" s="12">
        <f t="shared" si="4"/>
        <v>262.53125100764373</v>
      </c>
      <c r="F38" s="12">
        <f t="shared" si="2"/>
        <v>46.482046212917851</v>
      </c>
      <c r="G38" s="12">
        <f t="shared" si="5"/>
        <v>-232.87259372831571</v>
      </c>
      <c r="H38" s="12"/>
      <c r="I38" s="12">
        <f t="shared" si="11"/>
        <v>82.7888224639686</v>
      </c>
      <c r="J38" s="20">
        <f t="shared" si="12"/>
        <v>2.4792692652333757</v>
      </c>
      <c r="K38" s="20">
        <f t="shared" si="13"/>
        <v>-1.152996385884395</v>
      </c>
      <c r="M38" s="8">
        <v>7120</v>
      </c>
      <c r="N38" s="20">
        <f t="shared" si="6"/>
        <v>330337.06110954116</v>
      </c>
      <c r="O38" s="12">
        <f t="shared" si="7"/>
        <v>222276.80846076657</v>
      </c>
      <c r="P38" s="12">
        <f t="shared" si="8"/>
        <v>108060.25264877459</v>
      </c>
      <c r="Q38" s="12">
        <f t="shared" si="9"/>
        <v>12672.929808007771</v>
      </c>
      <c r="R38" s="12">
        <f t="shared" si="14"/>
        <v>2020.2725083734574</v>
      </c>
      <c r="S38" s="12"/>
    </row>
    <row r="39" spans="1:19" x14ac:dyDescent="0.2">
      <c r="A39" s="12">
        <f t="shared" si="10"/>
        <v>120</v>
      </c>
      <c r="B39" s="13">
        <f t="shared" si="0"/>
        <v>0.85996926070598445</v>
      </c>
      <c r="C39" s="13">
        <f t="shared" si="3"/>
        <v>35.479325511148545</v>
      </c>
      <c r="D39" s="12">
        <f t="shared" si="1"/>
        <v>70.911126294515455</v>
      </c>
      <c r="E39" s="12">
        <f t="shared" si="4"/>
        <v>259.67825095565365</v>
      </c>
      <c r="F39" s="12">
        <f t="shared" si="2"/>
        <v>47.072677788772879</v>
      </c>
      <c r="G39" s="12">
        <f t="shared" si="5"/>
        <v>-227.45869313174151</v>
      </c>
      <c r="H39" s="12"/>
      <c r="I39" s="12">
        <f t="shared" si="11"/>
        <v>86.004968896252805</v>
      </c>
      <c r="J39" s="20">
        <f t="shared" si="12"/>
        <v>2.3220577241091958</v>
      </c>
      <c r="K39" s="20">
        <f t="shared" si="13"/>
        <v>-1.362135277711003</v>
      </c>
      <c r="M39" s="8">
        <v>7240</v>
      </c>
      <c r="N39" s="20">
        <f t="shared" si="6"/>
        <v>311331.08136032848</v>
      </c>
      <c r="O39" s="12">
        <f t="shared" si="7"/>
        <v>199145.23566715192</v>
      </c>
      <c r="P39" s="12">
        <f t="shared" si="8"/>
        <v>112185.84569317655</v>
      </c>
      <c r="Q39" s="12">
        <f t="shared" si="9"/>
        <v>13097.331031885675</v>
      </c>
      <c r="R39" s="12">
        <f t="shared" si="14"/>
        <v>1924.327615316716</v>
      </c>
      <c r="S39" s="12"/>
    </row>
    <row r="40" spans="1:19" x14ac:dyDescent="0.2">
      <c r="A40" s="12">
        <f t="shared" si="10"/>
        <v>125</v>
      </c>
      <c r="B40" s="13">
        <f t="shared" si="0"/>
        <v>0.8896141681497467</v>
      </c>
      <c r="C40" s="13">
        <f t="shared" si="3"/>
        <v>32.406095071931603</v>
      </c>
      <c r="D40" s="12">
        <f t="shared" si="1"/>
        <v>69.868659323343422</v>
      </c>
      <c r="E40" s="12">
        <f t="shared" si="4"/>
        <v>256.70255739545945</v>
      </c>
      <c r="F40" s="12">
        <f t="shared" si="2"/>
        <v>47.617144787102177</v>
      </c>
      <c r="G40" s="12">
        <f t="shared" si="5"/>
        <v>-221.96069315889878</v>
      </c>
      <c r="H40" s="12"/>
      <c r="I40" s="12">
        <f t="shared" si="11"/>
        <v>88.969736893355361</v>
      </c>
      <c r="J40" s="20">
        <f t="shared" si="12"/>
        <v>2.1405624939080448</v>
      </c>
      <c r="K40" s="20">
        <f t="shared" si="13"/>
        <v>-1.5725375759658107</v>
      </c>
      <c r="M40" s="8">
        <v>7200</v>
      </c>
      <c r="N40" s="20">
        <f t="shared" si="6"/>
        <v>283067.24045332253</v>
      </c>
      <c r="O40" s="12">
        <f t="shared" si="7"/>
        <v>174498.04738292928</v>
      </c>
      <c r="P40" s="12">
        <f t="shared" si="8"/>
        <v>108569.19307039326</v>
      </c>
      <c r="Q40" s="12">
        <f t="shared" si="9"/>
        <v>13724.414819505253</v>
      </c>
      <c r="R40" s="12">
        <f t="shared" si="14"/>
        <v>1783.8020782567039</v>
      </c>
      <c r="S40" s="12"/>
    </row>
    <row r="41" spans="1:19" x14ac:dyDescent="0.2">
      <c r="A41" s="12">
        <f t="shared" si="10"/>
        <v>130</v>
      </c>
      <c r="B41" s="13">
        <f t="shared" si="0"/>
        <v>0.91641053604934619</v>
      </c>
      <c r="C41" s="13">
        <f t="shared" si="3"/>
        <v>28.951136955827444</v>
      </c>
      <c r="D41" s="12">
        <f t="shared" si="1"/>
        <v>68.795179318631881</v>
      </c>
      <c r="E41" s="12">
        <f t="shared" si="4"/>
        <v>253.62290709488937</v>
      </c>
      <c r="F41" s="12">
        <f t="shared" si="2"/>
        <v>48.109294679089523</v>
      </c>
      <c r="G41" s="12">
        <f t="shared" si="5"/>
        <v>-216.37936304617457</v>
      </c>
      <c r="H41" s="12"/>
      <c r="I41" s="12">
        <f t="shared" si="11"/>
        <v>91.649624295197668</v>
      </c>
      <c r="J41" s="20">
        <f t="shared" si="12"/>
        <v>1.9348787041301463</v>
      </c>
      <c r="K41" s="20">
        <f t="shared" si="13"/>
        <v>-1.7821156392612827</v>
      </c>
      <c r="M41" s="8">
        <v>7120</v>
      </c>
      <c r="N41" s="20">
        <f t="shared" si="6"/>
        <v>250572.09035268653</v>
      </c>
      <c r="O41" s="12">
        <f t="shared" si="7"/>
        <v>148522.82359332062</v>
      </c>
      <c r="P41" s="12">
        <f t="shared" si="8"/>
        <v>102049.26675936591</v>
      </c>
      <c r="Q41" s="12">
        <f t="shared" si="9"/>
        <v>14648.22708044852</v>
      </c>
      <c r="R41" s="12">
        <f t="shared" si="14"/>
        <v>1598.9994830992437</v>
      </c>
      <c r="S41" s="12"/>
    </row>
    <row r="42" spans="1:19" x14ac:dyDescent="0.2">
      <c r="A42" s="12">
        <f t="shared" si="10"/>
        <v>135</v>
      </c>
      <c r="B42" s="13">
        <f t="shared" si="0"/>
        <v>0.94002860173335145</v>
      </c>
      <c r="C42" s="13">
        <f t="shared" si="3"/>
        <v>25.122920750187713</v>
      </c>
      <c r="D42" s="12">
        <f t="shared" si="1"/>
        <v>67.697901962141742</v>
      </c>
      <c r="E42" s="12">
        <f t="shared" si="4"/>
        <v>250.45934423864804</v>
      </c>
      <c r="F42" s="12">
        <f t="shared" si="2"/>
        <v>48.543070947533238</v>
      </c>
      <c r="G42" s="12">
        <f t="shared" si="5"/>
        <v>-210.71586195812816</v>
      </c>
      <c r="H42" s="12"/>
      <c r="I42" s="12">
        <f t="shared" si="11"/>
        <v>94.011651750545312</v>
      </c>
      <c r="J42" s="20">
        <f t="shared" si="12"/>
        <v>1.7053838227609985</v>
      </c>
      <c r="K42" s="20">
        <f t="shared" si="13"/>
        <v>-1.9884231891098605</v>
      </c>
      <c r="M42" s="8">
        <v>7060</v>
      </c>
      <c r="N42" s="20">
        <f t="shared" si="6"/>
        <v>215931.50384786341</v>
      </c>
      <c r="O42" s="12">
        <f t="shared" si="7"/>
        <v>121417.25143563405</v>
      </c>
      <c r="P42" s="12">
        <f t="shared" si="8"/>
        <v>94514.252412229354</v>
      </c>
      <c r="Q42" s="12">
        <f t="shared" si="9"/>
        <v>16035.299879735754</v>
      </c>
      <c r="R42" s="12">
        <f t="shared" si="14"/>
        <v>1395.5645548678995</v>
      </c>
      <c r="S42" s="12"/>
    </row>
    <row r="43" spans="1:19" x14ac:dyDescent="0.2">
      <c r="A43" s="12">
        <f t="shared" si="10"/>
        <v>140</v>
      </c>
      <c r="B43" s="13">
        <f t="shared" si="0"/>
        <v>0.96014837758003246</v>
      </c>
      <c r="C43" s="13">
        <f t="shared" si="3"/>
        <v>20.935514505011067</v>
      </c>
      <c r="D43" s="12">
        <f t="shared" si="1"/>
        <v>66.584319957098216</v>
      </c>
      <c r="E43" s="12">
        <f t="shared" si="4"/>
        <v>247.23319338540216</v>
      </c>
      <c r="F43" s="12">
        <f t="shared" si="2"/>
        <v>48.912596606639511</v>
      </c>
      <c r="G43" s="12">
        <f t="shared" si="5"/>
        <v>-204.97180561219091</v>
      </c>
      <c r="H43" s="12"/>
      <c r="I43" s="12">
        <f t="shared" si="11"/>
        <v>96.023817504554714</v>
      </c>
      <c r="J43" s="20">
        <f t="shared" si="12"/>
        <v>1.4527836743947882</v>
      </c>
      <c r="K43" s="20">
        <f t="shared" si="13"/>
        <v>-2.1886152300540487</v>
      </c>
      <c r="M43" s="8">
        <v>6740</v>
      </c>
      <c r="N43" s="20">
        <f t="shared" si="6"/>
        <v>173241.38252896658</v>
      </c>
      <c r="O43" s="12">
        <f t="shared" si="7"/>
        <v>93387.62068078146</v>
      </c>
      <c r="P43" s="12">
        <f t="shared" si="8"/>
        <v>79853.761848185124</v>
      </c>
      <c r="Q43" s="12">
        <f t="shared" si="9"/>
        <v>18210.758843511303</v>
      </c>
      <c r="R43" s="12">
        <f t="shared" si="14"/>
        <v>1156.9953085554062</v>
      </c>
      <c r="S43" s="12"/>
    </row>
    <row r="44" spans="1:19" x14ac:dyDescent="0.2">
      <c r="A44" s="12">
        <f t="shared" si="10"/>
        <v>145</v>
      </c>
      <c r="B44" s="13">
        <f t="shared" si="0"/>
        <v>0.97646488788167873</v>
      </c>
      <c r="C44" s="13">
        <f t="shared" si="3"/>
        <v>16.409397103918792</v>
      </c>
      <c r="D44" s="12">
        <f t="shared" si="1"/>
        <v>65.46218603712137</v>
      </c>
      <c r="E44" s="12">
        <f t="shared" si="4"/>
        <v>243.96701664673657</v>
      </c>
      <c r="F44" s="12">
        <f t="shared" si="2"/>
        <v>49.212270383796664</v>
      </c>
      <c r="G44" s="12">
        <f t="shared" si="5"/>
        <v>-199.14934546937121</v>
      </c>
      <c r="H44" s="12"/>
      <c r="I44" s="12">
        <f t="shared" si="11"/>
        <v>97.655621134182624</v>
      </c>
      <c r="J44" s="20">
        <f t="shared" si="12"/>
        <v>1.1781622205913513</v>
      </c>
      <c r="K44" s="20">
        <f t="shared" si="13"/>
        <v>-2.3794154523710715</v>
      </c>
      <c r="M44" s="8">
        <v>6440</v>
      </c>
      <c r="N44" s="20">
        <f t="shared" si="6"/>
        <v>130864.94190375236</v>
      </c>
      <c r="O44" s="12">
        <f t="shared" si="7"/>
        <v>64647.253743561021</v>
      </c>
      <c r="P44" s="12">
        <f t="shared" si="8"/>
        <v>66217.688160191348</v>
      </c>
      <c r="Q44" s="12">
        <f t="shared" si="9"/>
        <v>21905.669471744452</v>
      </c>
      <c r="R44" s="12">
        <f t="shared" si="14"/>
        <v>896.1321599373274</v>
      </c>
      <c r="S44" s="12"/>
    </row>
    <row r="45" spans="1:19" x14ac:dyDescent="0.2">
      <c r="A45" s="12">
        <f t="shared" si="10"/>
        <v>150</v>
      </c>
      <c r="B45" s="13">
        <f t="shared" si="0"/>
        <v>0.98869412415783142</v>
      </c>
      <c r="C45" s="13">
        <f t="shared" si="3"/>
        <v>11.572285659164031</v>
      </c>
      <c r="D45" s="12">
        <f t="shared" si="1"/>
        <v>64.339494497414421</v>
      </c>
      <c r="E45" s="12">
        <f t="shared" si="4"/>
        <v>240.68455094473347</v>
      </c>
      <c r="F45" s="12">
        <f t="shared" si="2"/>
        <v>49.436876096591277</v>
      </c>
      <c r="G45" s="12">
        <f t="shared" si="5"/>
        <v>-193.25125964245888</v>
      </c>
      <c r="H45" s="12"/>
      <c r="I45" s="12">
        <f t="shared" si="11"/>
        <v>98.878659135206078</v>
      </c>
      <c r="J45" s="20">
        <f t="shared" si="12"/>
        <v>0.88303343673893375</v>
      </c>
      <c r="K45" s="20">
        <f t="shared" si="13"/>
        <v>-2.5570980672200347</v>
      </c>
      <c r="M45" s="8">
        <v>6120</v>
      </c>
      <c r="N45" s="20">
        <f t="shared" si="6"/>
        <v>88585.846720900663</v>
      </c>
      <c r="O45" s="12">
        <f t="shared" si="7"/>
        <v>35414.882170273013</v>
      </c>
      <c r="P45" s="12">
        <f t="shared" si="8"/>
        <v>53170.96455062765</v>
      </c>
      <c r="Q45" s="12">
        <f t="shared" si="9"/>
        <v>29177.591499918763</v>
      </c>
      <c r="R45" s="12">
        <f t="shared" si="14"/>
        <v>640.05655386894102</v>
      </c>
      <c r="S45" s="12"/>
    </row>
    <row r="46" spans="1:19" x14ac:dyDescent="0.2">
      <c r="A46" s="12">
        <f t="shared" si="10"/>
        <v>155</v>
      </c>
      <c r="B46" s="13">
        <f t="shared" si="0"/>
        <v>0.99657971105917587</v>
      </c>
      <c r="C46" s="13">
        <f t="shared" si="3"/>
        <v>6.4599267620172682</v>
      </c>
      <c r="D46" s="12">
        <f t="shared" si="1"/>
        <v>63.224459540856714</v>
      </c>
      <c r="E46" s="12">
        <f t="shared" si="4"/>
        <v>237.41062068250014</v>
      </c>
      <c r="F46" s="12">
        <f t="shared" si="2"/>
        <v>49.581705080739219</v>
      </c>
      <c r="G46" s="12">
        <f t="shared" si="5"/>
        <v>-187.28105367004912</v>
      </c>
      <c r="H46" s="12"/>
      <c r="I46" s="12">
        <f t="shared" si="11"/>
        <v>99.667291574954049</v>
      </c>
      <c r="J46" s="20">
        <f t="shared" si="12"/>
        <v>0.56939262149803516</v>
      </c>
      <c r="K46" s="20">
        <f t="shared" si="13"/>
        <v>-2.7174927229560635</v>
      </c>
      <c r="M46" s="8">
        <v>6020</v>
      </c>
      <c r="N46" s="20">
        <f t="shared" si="6"/>
        <v>48804.746687040461</v>
      </c>
      <c r="O46" s="12">
        <f t="shared" si="7"/>
        <v>5912.9819595785657</v>
      </c>
      <c r="P46" s="12">
        <f t="shared" si="8"/>
        <v>42891.764727461894</v>
      </c>
      <c r="Q46" s="12">
        <f t="shared" si="9"/>
        <v>29800</v>
      </c>
      <c r="R46" s="12">
        <f t="shared" si="14"/>
        <v>398.91657577251544</v>
      </c>
      <c r="S46" s="12"/>
    </row>
    <row r="47" spans="1:19" x14ac:dyDescent="0.2">
      <c r="A47" s="12">
        <f t="shared" si="10"/>
        <v>160</v>
      </c>
      <c r="B47" s="13">
        <f t="shared" ref="B47:B78" si="15">($B$11-F47)/($B$11-$B$12)</f>
        <v>0.99990022193322969</v>
      </c>
      <c r="C47" s="13">
        <f t="shared" si="3"/>
        <v>1.1167808383843989</v>
      </c>
      <c r="D47" s="12">
        <f t="shared" ref="D47:D78" si="16">DEGREES(ACOS(($B$5^2+$B$4^2-$B$7^2-$B$8^2+2*$B$7*$B$8*COS(RADIANS(A47-$B$10)))/(2*$B$5*$B$4)))</f>
        <v>62.125488431369547</v>
      </c>
      <c r="E47" s="12">
        <f t="shared" si="4"/>
        <v>234.17102075019031</v>
      </c>
      <c r="F47" s="12">
        <f t="shared" ref="F47:F78" si="17">DEGREES(ASIN($B$4*SIN(RADIANS(D47))/E47))-DEGREES(ASIN($B$8*SIN(RADIANS(A47-$B$10))/E47))</f>
        <v>49.642690549894269</v>
      </c>
      <c r="G47" s="12">
        <f t="shared" si="5"/>
        <v>-181.24306802971699</v>
      </c>
      <c r="H47" s="12"/>
      <c r="I47" s="12">
        <f t="shared" si="11"/>
        <v>99.999373717295057</v>
      </c>
      <c r="J47" s="20">
        <f t="shared" si="12"/>
        <v>0.23976330677020782</v>
      </c>
      <c r="K47" s="20">
        <f t="shared" si="13"/>
        <v>-2.8560226237068438</v>
      </c>
      <c r="M47" s="8">
        <v>5920</v>
      </c>
      <c r="N47" s="20">
        <f t="shared" si="6"/>
        <v>8325.6011501556932</v>
      </c>
      <c r="O47" s="12">
        <f t="shared" si="7"/>
        <v>-23633.919614184255</v>
      </c>
      <c r="P47" s="12">
        <f t="shared" si="8"/>
        <v>31959.520764339948</v>
      </c>
      <c r="Q47" s="12">
        <f t="shared" si="9"/>
        <v>29800</v>
      </c>
      <c r="R47" s="12">
        <f t="shared" si="14"/>
        <v>165.21086581465153</v>
      </c>
      <c r="S47" s="12"/>
    </row>
    <row r="48" spans="1:19" x14ac:dyDescent="0.2">
      <c r="A48" s="12">
        <f t="shared" si="10"/>
        <v>165</v>
      </c>
      <c r="B48" s="13">
        <f t="shared" si="15"/>
        <v>0.99847701252336263</v>
      </c>
      <c r="C48" s="13">
        <f t="shared" si="3"/>
        <v>-4.4034913818187018</v>
      </c>
      <c r="D48" s="12">
        <f t="shared" si="16"/>
        <v>61.051147200129009</v>
      </c>
      <c r="E48" s="12">
        <f t="shared" si="4"/>
        <v>230.99236458115837</v>
      </c>
      <c r="F48" s="12">
        <f t="shared" si="17"/>
        <v>49.616551471644343</v>
      </c>
      <c r="G48" s="12">
        <f t="shared" si="5"/>
        <v>-175.14258772022652</v>
      </c>
      <c r="H48" s="12"/>
      <c r="I48" s="12">
        <f t="shared" si="11"/>
        <v>99.857039465803354</v>
      </c>
      <c r="J48" s="20">
        <f t="shared" si="12"/>
        <v>-0.10276532957701019</v>
      </c>
      <c r="K48" s="20">
        <f t="shared" si="13"/>
        <v>-2.9677868167849684</v>
      </c>
      <c r="M48" s="8">
        <v>5820</v>
      </c>
      <c r="N48" s="20">
        <f t="shared" si="6"/>
        <v>-32387.67911327655</v>
      </c>
      <c r="O48" s="12">
        <f t="shared" si="7"/>
        <v>-53000.952789132294</v>
      </c>
      <c r="P48" s="12">
        <f t="shared" si="8"/>
        <v>20613.273675855744</v>
      </c>
      <c r="Q48" s="12">
        <f t="shared" si="9"/>
        <v>-62168.48921568536</v>
      </c>
      <c r="R48" s="12">
        <f t="shared" si="14"/>
        <v>-69.625171354691801</v>
      </c>
      <c r="S48" s="12"/>
    </row>
    <row r="49" spans="1:19" x14ac:dyDescent="0.2">
      <c r="A49" s="12">
        <f t="shared" si="10"/>
        <v>170</v>
      </c>
      <c r="B49" s="13">
        <f t="shared" si="15"/>
        <v>0.99218235367717533</v>
      </c>
      <c r="C49" s="13">
        <f t="shared" si="3"/>
        <v>-10.037849423008092</v>
      </c>
      <c r="D49" s="12">
        <f t="shared" si="16"/>
        <v>60.010116497010365</v>
      </c>
      <c r="E49" s="12">
        <f t="shared" si="4"/>
        <v>227.90189208593671</v>
      </c>
      <c r="F49" s="12">
        <f t="shared" si="17"/>
        <v>49.500941935200615</v>
      </c>
      <c r="G49" s="12">
        <f t="shared" si="5"/>
        <v>-168.98594748066415</v>
      </c>
      <c r="H49" s="12"/>
      <c r="I49" s="12">
        <f t="shared" si="11"/>
        <v>99.22751471065753</v>
      </c>
      <c r="J49" s="20">
        <f t="shared" si="12"/>
        <v>-0.45451687321528428</v>
      </c>
      <c r="K49" s="20">
        <f t="shared" si="13"/>
        <v>-3.0476972819732855</v>
      </c>
      <c r="M49" s="8">
        <v>5440</v>
      </c>
      <c r="N49" s="20">
        <f t="shared" si="6"/>
        <v>-70013.999725481437</v>
      </c>
      <c r="O49" s="12">
        <f t="shared" si="7"/>
        <v>-81964.616710504764</v>
      </c>
      <c r="P49" s="12">
        <f t="shared" si="8"/>
        <v>11950.616985023327</v>
      </c>
      <c r="Q49" s="12">
        <f t="shared" si="9"/>
        <v>-25248.783028452923</v>
      </c>
      <c r="R49" s="12">
        <f t="shared" si="14"/>
        <v>-295.35203095591538</v>
      </c>
      <c r="S49" s="12"/>
    </row>
    <row r="50" spans="1:19" x14ac:dyDescent="0.2">
      <c r="A50" s="12">
        <f t="shared" si="10"/>
        <v>175</v>
      </c>
      <c r="B50" s="13">
        <f t="shared" si="15"/>
        <v>0.98094754284337371</v>
      </c>
      <c r="C50" s="13">
        <f t="shared" si="3"/>
        <v>-15.714121808459568</v>
      </c>
      <c r="D50" s="12">
        <f t="shared" si="16"/>
        <v>59.011135172888331</v>
      </c>
      <c r="E50" s="12">
        <f t="shared" si="4"/>
        <v>224.92723286161032</v>
      </c>
      <c r="F50" s="12">
        <f t="shared" si="17"/>
        <v>49.294600129509988</v>
      </c>
      <c r="G50" s="12">
        <f t="shared" si="5"/>
        <v>-162.7806243508515</v>
      </c>
      <c r="H50" s="12"/>
      <c r="I50" s="12">
        <f t="shared" si="11"/>
        <v>98.10392855419056</v>
      </c>
      <c r="J50" s="20">
        <f t="shared" si="12"/>
        <v>-0.81122920496915274</v>
      </c>
      <c r="K50" s="20">
        <f t="shared" si="13"/>
        <v>-3.0906792694862957</v>
      </c>
      <c r="M50" s="8">
        <v>5040</v>
      </c>
      <c r="N50" s="20">
        <f t="shared" si="6"/>
        <v>-103320.35089062166</v>
      </c>
      <c r="O50" s="12">
        <f t="shared" si="7"/>
        <v>-110304.48040712171</v>
      </c>
      <c r="P50" s="12">
        <f t="shared" si="8"/>
        <v>6984.1295165000483</v>
      </c>
      <c r="Q50" s="12">
        <f t="shared" si="9"/>
        <v>-14879.399524763161</v>
      </c>
      <c r="R50" s="12">
        <f t="shared" si="14"/>
        <v>-490.63262165724376</v>
      </c>
      <c r="S50" s="12"/>
    </row>
    <row r="51" spans="1:19" x14ac:dyDescent="0.2">
      <c r="A51" s="12">
        <f t="shared" si="10"/>
        <v>180</v>
      </c>
      <c r="B51" s="13">
        <f t="shared" si="15"/>
        <v>0.96477056708995312</v>
      </c>
      <c r="C51" s="13">
        <f t="shared" si="3"/>
        <v>-21.351804825276897</v>
      </c>
      <c r="D51" s="12">
        <f t="shared" si="16"/>
        <v>58.062929381616783</v>
      </c>
      <c r="E51" s="12">
        <f t="shared" si="4"/>
        <v>222.09612124324673</v>
      </c>
      <c r="F51" s="12">
        <f t="shared" si="17"/>
        <v>48.997489084477394</v>
      </c>
      <c r="G51" s="12">
        <f t="shared" si="5"/>
        <v>-156.53530751454736</v>
      </c>
      <c r="H51" s="12"/>
      <c r="I51" s="12">
        <f t="shared" si="11"/>
        <v>96.486079684376051</v>
      </c>
      <c r="J51" s="20">
        <f t="shared" si="12"/>
        <v>-1.1680868840060754</v>
      </c>
      <c r="K51" s="20">
        <f t="shared" si="13"/>
        <v>-3.0919386087202465</v>
      </c>
      <c r="M51" s="8">
        <v>4640</v>
      </c>
      <c r="N51" s="20">
        <f t="shared" si="6"/>
        <v>-131847.39479608485</v>
      </c>
      <c r="O51" s="12">
        <f t="shared" si="7"/>
        <v>-137804.86040417405</v>
      </c>
      <c r="P51" s="12">
        <f t="shared" si="8"/>
        <v>5957.4656080892019</v>
      </c>
      <c r="Q51" s="12">
        <f t="shared" si="9"/>
        <v>-10068.008852728832</v>
      </c>
      <c r="R51" s="12">
        <f t="shared" si="14"/>
        <v>-652.53237749185189</v>
      </c>
      <c r="S51" s="12"/>
    </row>
    <row r="52" spans="1:19" x14ac:dyDescent="0.2">
      <c r="A52" s="12">
        <f t="shared" si="10"/>
        <v>185</v>
      </c>
      <c r="B52" s="13">
        <f t="shared" si="15"/>
        <v>0.94372278979750313</v>
      </c>
      <c r="C52" s="13">
        <f t="shared" si="3"/>
        <v>-26.863516682557453</v>
      </c>
      <c r="D52" s="12">
        <f t="shared" si="16"/>
        <v>57.174125471672923</v>
      </c>
      <c r="E52" s="12">
        <f t="shared" si="4"/>
        <v>219.43606165961614</v>
      </c>
      <c r="F52" s="12">
        <f t="shared" si="17"/>
        <v>48.610919480721215</v>
      </c>
      <c r="G52" s="12">
        <f t="shared" si="5"/>
        <v>-150.25993400084732</v>
      </c>
      <c r="H52" s="12"/>
      <c r="I52" s="12">
        <f t="shared" si="11"/>
        <v>94.381105106695983</v>
      </c>
      <c r="J52" s="20">
        <f t="shared" si="12"/>
        <v>-1.5197916450850089</v>
      </c>
      <c r="K52" s="20">
        <f t="shared" si="13"/>
        <v>-3.0472919416655455</v>
      </c>
      <c r="M52" s="8">
        <v>4000</v>
      </c>
      <c r="N52" s="20">
        <f t="shared" si="6"/>
        <v>-148689.56483795549</v>
      </c>
      <c r="O52" s="12">
        <f t="shared" si="7"/>
        <v>-164256.46220470089</v>
      </c>
      <c r="P52" s="12">
        <f t="shared" si="8"/>
        <v>15566.897366745397</v>
      </c>
      <c r="Q52" s="12">
        <f t="shared" si="9"/>
        <v>-7332.5856115824099</v>
      </c>
      <c r="R52" s="12">
        <f t="shared" si="14"/>
        <v>-757.79084796482437</v>
      </c>
      <c r="S52" s="12"/>
    </row>
    <row r="53" spans="1:19" x14ac:dyDescent="0.2">
      <c r="A53" s="12">
        <f t="shared" si="10"/>
        <v>190</v>
      </c>
      <c r="B53" s="13">
        <f t="shared" si="15"/>
        <v>0.91795405639231897</v>
      </c>
      <c r="C53" s="13">
        <f t="shared" si="3"/>
        <v>-32.157173637814246</v>
      </c>
      <c r="D53" s="12">
        <f t="shared" si="16"/>
        <v>56.353145757194852</v>
      </c>
      <c r="E53" s="12">
        <f t="shared" si="4"/>
        <v>216.97394545820157</v>
      </c>
      <c r="F53" s="12">
        <f t="shared" si="17"/>
        <v>48.137643422953637</v>
      </c>
      <c r="G53" s="12">
        <f t="shared" si="5"/>
        <v>-143.96567822860166</v>
      </c>
      <c r="H53" s="12"/>
      <c r="I53" s="12">
        <f t="shared" si="11"/>
        <v>91.803990765202812</v>
      </c>
      <c r="J53" s="20">
        <f t="shared" si="12"/>
        <v>-1.8606765545580697</v>
      </c>
      <c r="K53" s="20">
        <f t="shared" si="13"/>
        <v>-2.9535449974744981</v>
      </c>
      <c r="M53" s="8">
        <v>3400</v>
      </c>
      <c r="N53" s="20">
        <f t="shared" si="6"/>
        <v>-158695.65190261332</v>
      </c>
      <c r="O53" s="12">
        <f t="shared" si="7"/>
        <v>-189457.97314708639</v>
      </c>
      <c r="P53" s="12">
        <f t="shared" si="8"/>
        <v>30762.321244473074</v>
      </c>
      <c r="Q53" s="12">
        <f t="shared" si="9"/>
        <v>-5594.499392676933</v>
      </c>
      <c r="R53" s="12">
        <f t="shared" si="14"/>
        <v>-794.61025529372785</v>
      </c>
      <c r="S53" s="12"/>
    </row>
    <row r="54" spans="1:19" x14ac:dyDescent="0.2">
      <c r="A54" s="12">
        <f t="shared" si="10"/>
        <v>195</v>
      </c>
      <c r="B54" s="13">
        <f t="shared" si="15"/>
        <v>0.88769558244642743</v>
      </c>
      <c r="C54" s="13">
        <f t="shared" si="3"/>
        <v>-37.138890736321741</v>
      </c>
      <c r="D54" s="12">
        <f t="shared" si="16"/>
        <v>55.608087451790979</v>
      </c>
      <c r="E54" s="12">
        <f t="shared" si="4"/>
        <v>214.7356238689616</v>
      </c>
      <c r="F54" s="12">
        <f t="shared" si="17"/>
        <v>47.581907483666321</v>
      </c>
      <c r="G54" s="12">
        <f t="shared" si="5"/>
        <v>-137.66488398391047</v>
      </c>
      <c r="H54" s="12"/>
      <c r="I54" s="12">
        <f t="shared" si="11"/>
        <v>88.777860379532882</v>
      </c>
      <c r="J54" s="20">
        <f t="shared" si="12"/>
        <v>-2.1848661384536894</v>
      </c>
      <c r="K54" s="20">
        <f t="shared" si="13"/>
        <v>-2.8088909105080693</v>
      </c>
      <c r="M54" s="8">
        <v>2800</v>
      </c>
      <c r="N54" s="20">
        <f t="shared" si="6"/>
        <v>-160997.09134195474</v>
      </c>
      <c r="O54" s="12">
        <f t="shared" si="7"/>
        <v>-213217.59451597073</v>
      </c>
      <c r="P54" s="12">
        <f t="shared" si="8"/>
        <v>52220.50317401599</v>
      </c>
      <c r="Q54" s="12">
        <f t="shared" si="9"/>
        <v>-4410.2179552739399</v>
      </c>
      <c r="R54" s="12">
        <f t="shared" si="14"/>
        <v>-781.75034963139854</v>
      </c>
      <c r="S54" s="12"/>
    </row>
    <row r="55" spans="1:19" x14ac:dyDescent="0.2">
      <c r="A55" s="12">
        <f t="shared" si="10"/>
        <v>200</v>
      </c>
      <c r="B55" s="13">
        <f t="shared" si="15"/>
        <v>0.85326002175163684</v>
      </c>
      <c r="C55" s="13">
        <f t="shared" si="3"/>
        <v>-41.716522520852358</v>
      </c>
      <c r="D55" s="12">
        <f t="shared" si="16"/>
        <v>54.946586603505196</v>
      </c>
      <c r="E55" s="12">
        <f t="shared" si="4"/>
        <v>212.74544594923162</v>
      </c>
      <c r="F55" s="12">
        <f t="shared" si="17"/>
        <v>46.949453953398205</v>
      </c>
      <c r="G55" s="12">
        <f t="shared" si="5"/>
        <v>-131.37092960535659</v>
      </c>
      <c r="H55" s="12"/>
      <c r="I55" s="12">
        <f t="shared" si="11"/>
        <v>85.33398225294826</v>
      </c>
      <c r="J55" s="20">
        <f t="shared" si="12"/>
        <v>-2.4864800073940971</v>
      </c>
      <c r="K55" s="20">
        <f t="shared" si="13"/>
        <v>-2.6132870919833717</v>
      </c>
      <c r="M55" s="8">
        <v>2420</v>
      </c>
      <c r="N55" s="20">
        <f t="shared" si="6"/>
        <v>-164988.84656997107</v>
      </c>
      <c r="O55" s="12">
        <f t="shared" si="7"/>
        <v>-235354.50124628487</v>
      </c>
      <c r="P55" s="12">
        <f t="shared" si="8"/>
        <v>70365.654676313803</v>
      </c>
      <c r="Q55" s="12">
        <f t="shared" si="9"/>
        <v>-3564.0641127002946</v>
      </c>
      <c r="R55" s="12">
        <f t="shared" si="14"/>
        <v>-749.04349253215514</v>
      </c>
      <c r="S55" s="12"/>
    </row>
    <row r="56" spans="1:19" x14ac:dyDescent="0.2">
      <c r="A56" s="12">
        <f t="shared" si="10"/>
        <v>205</v>
      </c>
      <c r="B56" s="13">
        <f t="shared" si="15"/>
        <v>0.81503822986887642</v>
      </c>
      <c r="C56" s="13">
        <f t="shared" si="3"/>
        <v>-45.803656685264215</v>
      </c>
      <c r="D56" s="12">
        <f t="shared" si="16"/>
        <v>54.375670702316143</v>
      </c>
      <c r="E56" s="12">
        <f t="shared" si="4"/>
        <v>211.02577489967638</v>
      </c>
      <c r="F56" s="12">
        <f t="shared" si="17"/>
        <v>46.247461399140711</v>
      </c>
      <c r="G56" s="12">
        <f t="shared" si="5"/>
        <v>-125.09802114991004</v>
      </c>
      <c r="H56" s="12"/>
      <c r="I56" s="12">
        <f t="shared" si="11"/>
        <v>81.511445597001739</v>
      </c>
      <c r="J56" s="20">
        <f t="shared" si="12"/>
        <v>-2.7598714655933883</v>
      </c>
      <c r="K56" s="20">
        <f t="shared" si="13"/>
        <v>-2.3687583441724249</v>
      </c>
      <c r="M56" s="8">
        <v>2040</v>
      </c>
      <c r="N56" s="20">
        <f t="shared" si="6"/>
        <v>-163748.07264981957</v>
      </c>
      <c r="O56" s="12">
        <f t="shared" si="7"/>
        <v>-255700.21811118149</v>
      </c>
      <c r="P56" s="12">
        <f t="shared" si="8"/>
        <v>91952.145461361913</v>
      </c>
      <c r="Q56" s="12">
        <f t="shared" si="9"/>
        <v>-2938.8132878920296</v>
      </c>
      <c r="R56" s="12">
        <f t="shared" si="14"/>
        <v>-710.35472856339527</v>
      </c>
      <c r="S56" s="12"/>
    </row>
    <row r="57" spans="1:19" x14ac:dyDescent="0.2">
      <c r="A57" s="12">
        <f t="shared" si="10"/>
        <v>210</v>
      </c>
      <c r="B57" s="13">
        <f t="shared" si="15"/>
        <v>0.77349244709905685</v>
      </c>
      <c r="C57" s="13">
        <f t="shared" si="3"/>
        <v>-49.323771612300149</v>
      </c>
      <c r="D57" s="12">
        <f t="shared" si="16"/>
        <v>53.901605572570411</v>
      </c>
      <c r="E57" s="12">
        <f t="shared" si="4"/>
        <v>209.59650059928958</v>
      </c>
      <c r="F57" s="12">
        <f t="shared" si="17"/>
        <v>45.484419460796445</v>
      </c>
      <c r="G57" s="12">
        <f t="shared" si="5"/>
        <v>-118.86091408182003</v>
      </c>
      <c r="H57" s="12"/>
      <c r="I57" s="12">
        <f t="shared" si="11"/>
        <v>77.356478764866978</v>
      </c>
      <c r="J57" s="20">
        <f t="shared" si="12"/>
        <v>-2.9998860528012972</v>
      </c>
      <c r="K57" s="20">
        <f t="shared" si="13"/>
        <v>-2.0795695663519767</v>
      </c>
      <c r="M57" s="8">
        <v>1680</v>
      </c>
      <c r="N57" s="20">
        <f t="shared" si="6"/>
        <v>-158575.92573354498</v>
      </c>
      <c r="O57" s="12">
        <f t="shared" si="7"/>
        <v>-274099.90192023892</v>
      </c>
      <c r="P57" s="12">
        <f t="shared" si="8"/>
        <v>115523.97618669394</v>
      </c>
      <c r="Q57" s="12">
        <f t="shared" si="9"/>
        <v>-2465.5877587900177</v>
      </c>
      <c r="R57" s="12">
        <f t="shared" si="14"/>
        <v>-644.01985898088799</v>
      </c>
      <c r="S57" s="12"/>
    </row>
    <row r="58" spans="1:19" x14ac:dyDescent="0.2">
      <c r="A58" s="12">
        <f t="shared" si="10"/>
        <v>215</v>
      </c>
      <c r="B58" s="13">
        <f t="shared" si="15"/>
        <v>0.72914591458767064</v>
      </c>
      <c r="C58" s="13">
        <f t="shared" si="3"/>
        <v>-52.214188184674768</v>
      </c>
      <c r="D58" s="12">
        <f t="shared" si="16"/>
        <v>53.529743956324793</v>
      </c>
      <c r="E58" s="12">
        <f t="shared" si="4"/>
        <v>208.47456997051455</v>
      </c>
      <c r="F58" s="12">
        <f t="shared" si="17"/>
        <v>44.669938137534039</v>
      </c>
      <c r="G58" s="12">
        <f t="shared" si="5"/>
        <v>-112.674571142312</v>
      </c>
      <c r="H58" s="12"/>
      <c r="I58" s="12">
        <f t="shared" si="11"/>
        <v>72.921410764683642</v>
      </c>
      <c r="J58" s="20">
        <f t="shared" si="12"/>
        <v>-3.202119096132368</v>
      </c>
      <c r="K58" s="20">
        <f t="shared" si="13"/>
        <v>-1.7522171761074419</v>
      </c>
      <c r="M58" s="8">
        <v>2100</v>
      </c>
      <c r="N58" s="20">
        <f t="shared" si="6"/>
        <v>-189798.57405129279</v>
      </c>
      <c r="O58" s="12">
        <f t="shared" si="7"/>
        <v>-290413.51996963751</v>
      </c>
      <c r="P58" s="12">
        <f t="shared" si="8"/>
        <v>100614.94591834472</v>
      </c>
      <c r="Q58" s="12">
        <f t="shared" si="9"/>
        <v>-2101.6367908607326</v>
      </c>
      <c r="R58" s="12">
        <f t="shared" si="14"/>
        <v>-698.52321002887538</v>
      </c>
      <c r="S58" s="12"/>
    </row>
    <row r="59" spans="1:19" x14ac:dyDescent="0.2">
      <c r="A59" s="12">
        <f t="shared" si="10"/>
        <v>220</v>
      </c>
      <c r="B59" s="13">
        <f t="shared" si="15"/>
        <v>0.68256927966142922</v>
      </c>
      <c r="C59" s="13">
        <f t="shared" si="3"/>
        <v>-54.429409761722575</v>
      </c>
      <c r="D59" s="12">
        <f t="shared" si="16"/>
        <v>53.264384525464102</v>
      </c>
      <c r="E59" s="12">
        <f t="shared" si="4"/>
        <v>207.67355918286836</v>
      </c>
      <c r="F59" s="12">
        <f t="shared" si="17"/>
        <v>43.814498104244066</v>
      </c>
      <c r="G59" s="12">
        <f t="shared" si="5"/>
        <v>-106.55377167816135</v>
      </c>
      <c r="H59" s="12"/>
      <c r="I59" s="12">
        <f t="shared" si="11"/>
        <v>68.263311666077527</v>
      </c>
      <c r="J59" s="20">
        <f t="shared" si="12"/>
        <v>-3.3631475491936151</v>
      </c>
      <c r="K59" s="20">
        <f t="shared" si="13"/>
        <v>-1.3952063255756681</v>
      </c>
      <c r="M59" s="8">
        <v>2540</v>
      </c>
      <c r="N59" s="20">
        <f t="shared" si="6"/>
        <v>-221799.84477901948</v>
      </c>
      <c r="O59" s="12">
        <f t="shared" si="7"/>
        <v>-304516.91577558941</v>
      </c>
      <c r="P59" s="12">
        <f t="shared" si="8"/>
        <v>82717.070996569935</v>
      </c>
      <c r="Q59" s="12">
        <f t="shared" si="9"/>
        <v>-1819.4617329526702</v>
      </c>
      <c r="R59" s="12">
        <f t="shared" si="14"/>
        <v>-900.56582573051571</v>
      </c>
      <c r="S59" s="12"/>
    </row>
    <row r="60" spans="1:19" x14ac:dyDescent="0.2">
      <c r="A60" s="12">
        <f t="shared" si="10"/>
        <v>225</v>
      </c>
      <c r="B60" s="13">
        <f t="shared" si="15"/>
        <v>0.63436449477485179</v>
      </c>
      <c r="C60" s="13">
        <f t="shared" si="3"/>
        <v>-55.943469334009826</v>
      </c>
      <c r="D60" s="12">
        <f t="shared" si="16"/>
        <v>53.108650613117554</v>
      </c>
      <c r="E60" s="12">
        <f t="shared" si="4"/>
        <v>207.20331211993829</v>
      </c>
      <c r="F60" s="12">
        <f t="shared" si="17"/>
        <v>42.929154994905844</v>
      </c>
      <c r="G60" s="12">
        <f t="shared" si="5"/>
        <v>-100.51269465647658</v>
      </c>
      <c r="H60" s="12"/>
      <c r="I60" s="12">
        <f t="shared" si="11"/>
        <v>63.442382344235085</v>
      </c>
      <c r="J60" s="20">
        <f t="shared" si="12"/>
        <v>-3.480710970370243</v>
      </c>
      <c r="K60" s="20">
        <f t="shared" si="13"/>
        <v>-1.0186102254833234</v>
      </c>
      <c r="M60" s="8">
        <v>2980</v>
      </c>
      <c r="N60" s="20">
        <f t="shared" si="6"/>
        <v>-252584.76404305437</v>
      </c>
      <c r="O60" s="12">
        <f t="shared" si="7"/>
        <v>-316302.75398014806</v>
      </c>
      <c r="P60" s="12">
        <f t="shared" si="8"/>
        <v>63717.989937093691</v>
      </c>
      <c r="Q60" s="12">
        <f t="shared" si="9"/>
        <v>-1601.0889655909177</v>
      </c>
      <c r="R60" s="12">
        <f t="shared" si="14"/>
        <v>-1108.8137440237617</v>
      </c>
      <c r="S60" s="12"/>
    </row>
    <row r="61" spans="1:19" x14ac:dyDescent="0.2">
      <c r="A61" s="12">
        <f t="shared" si="10"/>
        <v>230</v>
      </c>
      <c r="B61" s="13">
        <f t="shared" si="15"/>
        <v>0.58514721127652614</v>
      </c>
      <c r="C61" s="13">
        <f t="shared" si="3"/>
        <v>-56.750995350330982</v>
      </c>
      <c r="D61" s="12">
        <f t="shared" si="16"/>
        <v>53.064397484216961</v>
      </c>
      <c r="E61" s="12">
        <f t="shared" si="4"/>
        <v>207.06966755588545</v>
      </c>
      <c r="F61" s="12">
        <f t="shared" si="17"/>
        <v>42.02521604137425</v>
      </c>
      <c r="G61" s="12">
        <f t="shared" si="5"/>
        <v>-94.564502574044383</v>
      </c>
      <c r="H61" s="12"/>
      <c r="I61" s="12">
        <f t="shared" si="11"/>
        <v>58.520193691867938</v>
      </c>
      <c r="J61" s="20">
        <f t="shared" si="12"/>
        <v>-3.5538202070090801</v>
      </c>
      <c r="K61" s="20">
        <f t="shared" si="13"/>
        <v>-0.6334437639894438</v>
      </c>
      <c r="M61" s="8">
        <v>3020</v>
      </c>
      <c r="N61" s="20">
        <f t="shared" si="6"/>
        <v>-258500.78382075761</v>
      </c>
      <c r="O61" s="12">
        <f t="shared" si="7"/>
        <v>-325681.3372380932</v>
      </c>
      <c r="P61" s="12">
        <f t="shared" si="8"/>
        <v>67180.553417335585</v>
      </c>
      <c r="Q61" s="12">
        <f t="shared" si="9"/>
        <v>-1434.8900864553725</v>
      </c>
      <c r="R61" s="12">
        <f t="shared" si="14"/>
        <v>-1230.5471630917868</v>
      </c>
      <c r="S61" s="12"/>
    </row>
    <row r="62" spans="1:19" x14ac:dyDescent="0.2">
      <c r="A62" s="12">
        <f t="shared" si="10"/>
        <v>235</v>
      </c>
      <c r="B62" s="13">
        <f t="shared" si="15"/>
        <v>0.53552885914228254</v>
      </c>
      <c r="C62" s="13">
        <f t="shared" si="3"/>
        <v>-56.866857083360209</v>
      </c>
      <c r="D62" s="12">
        <f t="shared" si="16"/>
        <v>53.132155378989374</v>
      </c>
      <c r="E62" s="12">
        <f t="shared" si="4"/>
        <v>207.27429303216221</v>
      </c>
      <c r="F62" s="12">
        <f t="shared" si="17"/>
        <v>41.113910944543456</v>
      </c>
      <c r="G62" s="12">
        <f t="shared" si="5"/>
        <v>-88.720955371986008</v>
      </c>
      <c r="H62" s="12"/>
      <c r="I62" s="12">
        <f t="shared" si="11"/>
        <v>53.557894424931781</v>
      </c>
      <c r="J62" s="20">
        <f t="shared" si="12"/>
        <v>-3.5827800707279049</v>
      </c>
      <c r="K62" s="20">
        <f t="shared" si="13"/>
        <v>-0.25091829599173826</v>
      </c>
      <c r="M62" s="8">
        <v>3080</v>
      </c>
      <c r="N62" s="20">
        <f t="shared" si="6"/>
        <v>-262440.54543970735</v>
      </c>
      <c r="O62" s="12">
        <f t="shared" si="7"/>
        <v>-332581.28886788827</v>
      </c>
      <c r="P62" s="12">
        <f t="shared" si="8"/>
        <v>70140.743428180926</v>
      </c>
      <c r="Q62" s="12">
        <f t="shared" si="9"/>
        <v>-1313.7588498262605</v>
      </c>
      <c r="R62" s="12">
        <f t="shared" si="14"/>
        <v>-1261.2510636796064</v>
      </c>
      <c r="S62" s="12"/>
    </row>
    <row r="63" spans="1:19" x14ac:dyDescent="0.2">
      <c r="A63" s="12">
        <f t="shared" si="10"/>
        <v>240</v>
      </c>
      <c r="B63" s="13">
        <f t="shared" si="15"/>
        <v>0.48609964766301472</v>
      </c>
      <c r="C63" s="13">
        <f t="shared" si="3"/>
        <v>-56.324430470534196</v>
      </c>
      <c r="D63" s="12">
        <f t="shared" si="16"/>
        <v>53.311112975027072</v>
      </c>
      <c r="E63" s="12">
        <f t="shared" si="4"/>
        <v>207.81463682028641</v>
      </c>
      <c r="F63" s="12">
        <f t="shared" si="17"/>
        <v>40.206079660031762</v>
      </c>
      <c r="G63" s="12">
        <f t="shared" si="5"/>
        <v>-82.992081683512012</v>
      </c>
      <c r="H63" s="12"/>
      <c r="I63" s="12">
        <f t="shared" si="11"/>
        <v>48.614510992423078</v>
      </c>
      <c r="J63" s="20">
        <f t="shared" si="12"/>
        <v>-3.5691228382712836</v>
      </c>
      <c r="K63" s="20">
        <f t="shared" si="13"/>
        <v>0.11833099524397683</v>
      </c>
      <c r="M63" s="8">
        <v>3120</v>
      </c>
      <c r="N63" s="20">
        <f t="shared" si="6"/>
        <v>-262190.22384033666</v>
      </c>
      <c r="O63" s="12">
        <f t="shared" si="7"/>
        <v>-336950.09607132594</v>
      </c>
      <c r="P63" s="12">
        <f t="shared" si="8"/>
        <v>74759.872230989276</v>
      </c>
      <c r="Q63" s="12">
        <f t="shared" si="9"/>
        <v>-1234.0631608748661</v>
      </c>
      <c r="R63" s="12">
        <f t="shared" si="14"/>
        <v>-1277.0407200647485</v>
      </c>
      <c r="S63" s="12"/>
    </row>
    <row r="64" spans="1:19" x14ac:dyDescent="0.2">
      <c r="A64" s="12">
        <f t="shared" si="10"/>
        <v>245</v>
      </c>
      <c r="B64" s="13">
        <f t="shared" si="15"/>
        <v>0.43741360826854492</v>
      </c>
      <c r="C64" s="13">
        <f t="shared" si="3"/>
        <v>-55.172700388328309</v>
      </c>
      <c r="D64" s="12">
        <f t="shared" si="16"/>
        <v>53.599142645085557</v>
      </c>
      <c r="E64" s="12">
        <f t="shared" si="4"/>
        <v>208.68400132294212</v>
      </c>
      <c r="F64" s="12">
        <f t="shared" si="17"/>
        <v>39.311897690331378</v>
      </c>
      <c r="G64" s="12">
        <f t="shared" si="5"/>
        <v>-77.385929383870121</v>
      </c>
      <c r="H64" s="12"/>
      <c r="I64" s="12">
        <f t="shared" si="11"/>
        <v>43.745451718879238</v>
      </c>
      <c r="J64" s="20">
        <f t="shared" si="12"/>
        <v>-3.5154607954986523</v>
      </c>
      <c r="K64" s="20">
        <f t="shared" si="13"/>
        <v>0.4649465364435354</v>
      </c>
      <c r="M64" s="8">
        <v>3060</v>
      </c>
      <c r="N64" s="20">
        <f t="shared" si="6"/>
        <v>-253518.55828436857</v>
      </c>
      <c r="O64" s="12">
        <f t="shared" si="7"/>
        <v>-338754.50958763011</v>
      </c>
      <c r="P64" s="12">
        <f t="shared" si="8"/>
        <v>85235.951303261536</v>
      </c>
      <c r="Q64" s="12">
        <f t="shared" si="9"/>
        <v>-1195.0762794710408</v>
      </c>
      <c r="R64" s="12">
        <f t="shared" si="14"/>
        <v>-1253.7827629375388</v>
      </c>
      <c r="S64" s="12"/>
    </row>
    <row r="65" spans="1:19" x14ac:dyDescent="0.2">
      <c r="A65" s="12">
        <f t="shared" si="10"/>
        <v>250</v>
      </c>
      <c r="B65" s="13">
        <f t="shared" si="15"/>
        <v>0.38997654942937748</v>
      </c>
      <c r="C65" s="13">
        <f t="shared" si="3"/>
        <v>-53.472550054287339</v>
      </c>
      <c r="D65" s="12">
        <f t="shared" si="16"/>
        <v>53.992865412421189</v>
      </c>
      <c r="E65" s="12">
        <f t="shared" si="4"/>
        <v>209.87173280190868</v>
      </c>
      <c r="F65" s="12">
        <f t="shared" si="17"/>
        <v>38.440654861028285</v>
      </c>
      <c r="G65" s="12">
        <f t="shared" si="5"/>
        <v>-71.908409321902653</v>
      </c>
      <c r="H65" s="12"/>
      <c r="I65" s="12">
        <f t="shared" si="11"/>
        <v>39.001302181902744</v>
      </c>
      <c r="J65" s="20">
        <f t="shared" si="12"/>
        <v>-3.4252759656970282</v>
      </c>
      <c r="K65" s="20">
        <f t="shared" si="13"/>
        <v>0.78139262110611551</v>
      </c>
      <c r="M65" s="8">
        <v>3020</v>
      </c>
      <c r="N65" s="20">
        <f t="shared" si="6"/>
        <v>-243567.46549727884</v>
      </c>
      <c r="O65" s="12">
        <f t="shared" si="7"/>
        <v>-337980.79674040712</v>
      </c>
      <c r="P65" s="12">
        <f t="shared" si="8"/>
        <v>94413.331243128283</v>
      </c>
      <c r="Q65" s="12">
        <f t="shared" si="9"/>
        <v>-1198.7378108552455</v>
      </c>
      <c r="R65" s="12">
        <f t="shared" si="14"/>
        <v>-1201.8512160340451</v>
      </c>
      <c r="S65" s="12"/>
    </row>
    <row r="66" spans="1:19" x14ac:dyDescent="0.2">
      <c r="A66" s="12">
        <f t="shared" si="10"/>
        <v>255</v>
      </c>
      <c r="B66" s="13">
        <f t="shared" si="15"/>
        <v>0.34423745183644217</v>
      </c>
      <c r="C66" s="13">
        <f t="shared" si="3"/>
        <v>-51.29265818714844</v>
      </c>
      <c r="D66" s="12">
        <f t="shared" si="16"/>
        <v>54.487750344362119</v>
      </c>
      <c r="E66" s="12">
        <f t="shared" si="4"/>
        <v>211.36351451179681</v>
      </c>
      <c r="F66" s="12">
        <f t="shared" si="17"/>
        <v>37.600597282168941</v>
      </c>
      <c r="G66" s="12">
        <f t="shared" si="5"/>
        <v>-66.563236674984239</v>
      </c>
      <c r="H66" s="12"/>
      <c r="I66" s="12">
        <f t="shared" si="11"/>
        <v>34.426964649659254</v>
      </c>
      <c r="J66" s="20">
        <f t="shared" si="12"/>
        <v>-3.3026716982797995</v>
      </c>
      <c r="K66" s="20">
        <f t="shared" si="13"/>
        <v>1.0622858643374433</v>
      </c>
      <c r="M66" s="8">
        <v>2980</v>
      </c>
      <c r="N66" s="20">
        <f t="shared" si="6"/>
        <v>-231586.3517149752</v>
      </c>
      <c r="O66" s="12">
        <f t="shared" si="7"/>
        <v>-334634.84595160477</v>
      </c>
      <c r="P66" s="12">
        <f t="shared" si="8"/>
        <v>103048.49423662957</v>
      </c>
      <c r="Q66" s="12">
        <f t="shared" si="9"/>
        <v>-1249.6795181055447</v>
      </c>
      <c r="R66" s="12">
        <f t="shared" si="14"/>
        <v>-1143.5843830608726</v>
      </c>
      <c r="S66" s="12"/>
    </row>
    <row r="67" spans="1:19" x14ac:dyDescent="0.2">
      <c r="A67" s="12">
        <f t="shared" si="10"/>
        <v>260</v>
      </c>
      <c r="B67" s="13">
        <f t="shared" si="15"/>
        <v>0.30058346093349181</v>
      </c>
      <c r="C67" s="13">
        <f t="shared" si="3"/>
        <v>-48.705422271572829</v>
      </c>
      <c r="D67" s="12">
        <f t="shared" si="16"/>
        <v>55.078240726966165</v>
      </c>
      <c r="E67" s="12">
        <f t="shared" si="4"/>
        <v>213.14174411746231</v>
      </c>
      <c r="F67" s="12">
        <f t="shared" si="17"/>
        <v>36.798835379652864</v>
      </c>
      <c r="G67" s="12">
        <f t="shared" si="5"/>
        <v>-61.351965155072207</v>
      </c>
      <c r="H67" s="12"/>
      <c r="I67" s="12">
        <f t="shared" si="11"/>
        <v>30.061157287285212</v>
      </c>
      <c r="J67" s="20">
        <f t="shared" si="12"/>
        <v>-3.1521129156340586</v>
      </c>
      <c r="K67" s="20">
        <f t="shared" si="13"/>
        <v>1.304493472581602</v>
      </c>
      <c r="M67" s="8">
        <v>3100</v>
      </c>
      <c r="N67" s="20">
        <f t="shared" si="6"/>
        <v>-225749.63222874005</v>
      </c>
      <c r="O67" s="12">
        <f t="shared" si="7"/>
        <v>-328742.1219270663</v>
      </c>
      <c r="P67" s="12">
        <f t="shared" si="8"/>
        <v>102992.48969832624</v>
      </c>
      <c r="Q67" s="12">
        <f t="shared" si="9"/>
        <v>-1355.5102939397225</v>
      </c>
      <c r="R67" s="12">
        <f t="shared" si="14"/>
        <v>-1106.004531801424</v>
      </c>
      <c r="S67" s="12"/>
    </row>
    <row r="68" spans="1:19" x14ac:dyDescent="0.2">
      <c r="A68" s="12">
        <f t="shared" si="10"/>
        <v>265</v>
      </c>
      <c r="B68" s="13">
        <f t="shared" si="15"/>
        <v>0.25933829315995582</v>
      </c>
      <c r="C68" s="13">
        <f t="shared" si="3"/>
        <v>-45.783261764090632</v>
      </c>
      <c r="D68" s="12">
        <f t="shared" si="16"/>
        <v>55.757898009756708</v>
      </c>
      <c r="E68" s="12">
        <f t="shared" si="4"/>
        <v>215.18597232473093</v>
      </c>
      <c r="F68" s="12">
        <f t="shared" si="17"/>
        <v>36.041314623825016</v>
      </c>
      <c r="G68" s="12">
        <f t="shared" si="5"/>
        <v>-56.27410168203491</v>
      </c>
      <c r="H68" s="12"/>
      <c r="I68" s="12">
        <f t="shared" si="11"/>
        <v>25.936254766267691</v>
      </c>
      <c r="J68" s="20">
        <f t="shared" si="12"/>
        <v>-2.9781796201746502</v>
      </c>
      <c r="K68" s="20">
        <f t="shared" si="13"/>
        <v>1.5070183525944179</v>
      </c>
      <c r="M68" s="8">
        <v>3220</v>
      </c>
      <c r="N68" s="20">
        <f t="shared" si="6"/>
        <v>-217699.40968825095</v>
      </c>
      <c r="O68" s="12">
        <f t="shared" si="7"/>
        <v>-320347.4718547425</v>
      </c>
      <c r="P68" s="12">
        <f t="shared" si="8"/>
        <v>102648.06216649155</v>
      </c>
      <c r="Q68" s="12">
        <f t="shared" si="9"/>
        <v>-1527.4105045959168</v>
      </c>
      <c r="R68" s="12">
        <f t="shared" si="14"/>
        <v>-1086.224330534614</v>
      </c>
      <c r="S68" s="12"/>
    </row>
    <row r="69" spans="1:19" x14ac:dyDescent="0.2">
      <c r="A69" s="12">
        <f t="shared" si="10"/>
        <v>270</v>
      </c>
      <c r="B69" s="13">
        <f t="shared" si="15"/>
        <v>0.22076360717464188</v>
      </c>
      <c r="C69" s="13">
        <f t="shared" si="3"/>
        <v>-42.595550542445288</v>
      </c>
      <c r="D69" s="12">
        <f t="shared" si="16"/>
        <v>56.519554267571337</v>
      </c>
      <c r="E69" s="12">
        <f t="shared" si="4"/>
        <v>217.47337819797622</v>
      </c>
      <c r="F69" s="12">
        <f t="shared" si="17"/>
        <v>35.3328407137694</v>
      </c>
      <c r="G69" s="12">
        <f t="shared" si="5"/>
        <v>-51.327284029793915</v>
      </c>
      <c r="H69" s="12"/>
      <c r="I69" s="12">
        <f t="shared" si="11"/>
        <v>22.078425399638842</v>
      </c>
      <c r="J69" s="20">
        <f t="shared" si="12"/>
        <v>-2.7853528027060288</v>
      </c>
      <c r="K69" s="20">
        <f t="shared" si="13"/>
        <v>1.6707183752831469</v>
      </c>
      <c r="M69" s="8">
        <v>3340</v>
      </c>
      <c r="N69" s="20">
        <f t="shared" si="6"/>
        <v>-207653.30889442077</v>
      </c>
      <c r="O69" s="12">
        <f t="shared" si="7"/>
        <v>-309514.78409051197</v>
      </c>
      <c r="P69" s="12">
        <f t="shared" si="8"/>
        <v>101861.4751960912</v>
      </c>
      <c r="Q69" s="12">
        <f t="shared" si="9"/>
        <v>-1781.1575393664605</v>
      </c>
      <c r="R69" s="12">
        <f t="shared" si="14"/>
        <v>-1054.4733602118854</v>
      </c>
      <c r="S69" s="12"/>
    </row>
    <row r="70" spans="1:19" x14ac:dyDescent="0.2">
      <c r="A70" s="12">
        <f t="shared" si="10"/>
        <v>275</v>
      </c>
      <c r="B70" s="13">
        <f t="shared" si="15"/>
        <v>0.18506272528356033</v>
      </c>
      <c r="C70" s="13">
        <f t="shared" si="3"/>
        <v>-39.206309744500523</v>
      </c>
      <c r="D70" s="12">
        <f t="shared" si="16"/>
        <v>57.355464666840383</v>
      </c>
      <c r="E70" s="12">
        <f t="shared" si="4"/>
        <v>219.97925751393245</v>
      </c>
      <c r="F70" s="12">
        <f t="shared" si="17"/>
        <v>34.677147926135618</v>
      </c>
      <c r="G70" s="12">
        <f t="shared" si="5"/>
        <v>-46.507501641429172</v>
      </c>
      <c r="H70" s="12"/>
      <c r="I70" s="12">
        <f t="shared" si="11"/>
        <v>18.508003319562864</v>
      </c>
      <c r="J70" s="20">
        <f t="shared" si="12"/>
        <v>-2.5778447418148565</v>
      </c>
      <c r="K70" s="20">
        <f t="shared" si="13"/>
        <v>1.7979217564313743</v>
      </c>
      <c r="M70" s="8">
        <v>3460</v>
      </c>
      <c r="N70" s="20">
        <f t="shared" si="6"/>
        <v>-195835.5171737801</v>
      </c>
      <c r="O70" s="12">
        <f t="shared" si="7"/>
        <v>-296326.50192921609</v>
      </c>
      <c r="P70" s="12">
        <f t="shared" si="8"/>
        <v>100490.98475543599</v>
      </c>
      <c r="Q70" s="12">
        <f t="shared" si="9"/>
        <v>-2138.8185747411385</v>
      </c>
      <c r="R70" s="12">
        <f t="shared" si="14"/>
        <v>-1011.6195893548606</v>
      </c>
      <c r="S70" s="12"/>
    </row>
    <row r="71" spans="1:19" x14ac:dyDescent="0.2">
      <c r="A71" s="12">
        <f t="shared" si="10"/>
        <v>280</v>
      </c>
      <c r="B71" s="13">
        <f t="shared" si="15"/>
        <v>0.15238602463623407</v>
      </c>
      <c r="C71" s="13">
        <f t="shared" si="3"/>
        <v>-35.672683475063629</v>
      </c>
      <c r="D71" s="12">
        <f t="shared" si="16"/>
        <v>58.257452879764479</v>
      </c>
      <c r="E71" s="12">
        <f t="shared" si="4"/>
        <v>222.67750324030104</v>
      </c>
      <c r="F71" s="12">
        <f t="shared" si="17"/>
        <v>34.076998131419415</v>
      </c>
      <c r="G71" s="12">
        <f t="shared" si="5"/>
        <v>-41.809340059637066</v>
      </c>
      <c r="H71" s="12"/>
      <c r="I71" s="12">
        <f t="shared" si="11"/>
        <v>15.240027647387885</v>
      </c>
      <c r="J71" s="20">
        <f t="shared" si="12"/>
        <v>-2.3594784353103346</v>
      </c>
      <c r="K71" s="20">
        <f t="shared" si="13"/>
        <v>1.8920013596095613</v>
      </c>
      <c r="M71" s="8">
        <v>3600</v>
      </c>
      <c r="N71" s="20">
        <f t="shared" si="6"/>
        <v>-183179.22964445173</v>
      </c>
      <c r="O71" s="12">
        <f t="shared" si="7"/>
        <v>-280882.99616140517</v>
      </c>
      <c r="P71" s="12">
        <f t="shared" si="8"/>
        <v>97703.766516953445</v>
      </c>
      <c r="Q71" s="12">
        <f t="shared" si="9"/>
        <v>-2631.553441681473</v>
      </c>
      <c r="R71" s="12">
        <f t="shared" si="14"/>
        <v>-961.32951023147291</v>
      </c>
      <c r="S71" s="12"/>
    </row>
    <row r="72" spans="1:19" x14ac:dyDescent="0.2">
      <c r="A72" s="12">
        <f t="shared" si="10"/>
        <v>285</v>
      </c>
      <c r="B72" s="13">
        <f t="shared" si="15"/>
        <v>0.12283733692293</v>
      </c>
      <c r="C72" s="13">
        <f t="shared" si="3"/>
        <v>-32.04413585036523</v>
      </c>
      <c r="D72" s="12">
        <f t="shared" si="16"/>
        <v>59.217044239155086</v>
      </c>
      <c r="E72" s="12">
        <f t="shared" si="4"/>
        <v>225.5410611917878</v>
      </c>
      <c r="F72" s="12">
        <f t="shared" si="17"/>
        <v>33.534298332664683</v>
      </c>
      <c r="G72" s="12">
        <f t="shared" si="5"/>
        <v>-37.226231620272955</v>
      </c>
      <c r="H72" s="12"/>
      <c r="I72" s="12">
        <f t="shared" si="11"/>
        <v>12.284882523222032</v>
      </c>
      <c r="J72" s="20">
        <f t="shared" si="12"/>
        <v>-2.1336147796477456</v>
      </c>
      <c r="K72" s="20">
        <f t="shared" si="13"/>
        <v>1.9569609911003152</v>
      </c>
      <c r="M72" s="8">
        <v>3720</v>
      </c>
      <c r="N72" s="20">
        <f t="shared" si="6"/>
        <v>-168391.93389366928</v>
      </c>
      <c r="O72" s="12">
        <f t="shared" si="7"/>
        <v>-263301.80119101575</v>
      </c>
      <c r="P72" s="12">
        <f t="shared" si="8"/>
        <v>94909.867297346471</v>
      </c>
      <c r="Q72" s="12">
        <f t="shared" si="9"/>
        <v>-3304.3783060259375</v>
      </c>
      <c r="R72" s="12">
        <f t="shared" si="14"/>
        <v>-901.31926287058502</v>
      </c>
      <c r="S72" s="12"/>
    </row>
    <row r="73" spans="1:19" x14ac:dyDescent="0.2">
      <c r="A73" s="12">
        <f t="shared" si="10"/>
        <v>290</v>
      </c>
      <c r="B73" s="13">
        <f t="shared" si="15"/>
        <v>9.648077449869584E-2</v>
      </c>
      <c r="C73" s="13">
        <f t="shared" si="3"/>
        <v>-28.36225458360866</v>
      </c>
      <c r="D73" s="12">
        <f t="shared" si="16"/>
        <v>60.22558336357573</v>
      </c>
      <c r="E73" s="12">
        <f t="shared" si="4"/>
        <v>228.54234843939753</v>
      </c>
      <c r="F73" s="12">
        <f t="shared" si="17"/>
        <v>33.050226036044272</v>
      </c>
      <c r="G73" s="12">
        <f t="shared" si="5"/>
        <v>-32.75069844807318</v>
      </c>
      <c r="H73" s="12"/>
      <c r="I73" s="12">
        <f t="shared" si="11"/>
        <v>9.6489797821781274</v>
      </c>
      <c r="J73" s="20">
        <f t="shared" si="12"/>
        <v>-1.9031217790336994</v>
      </c>
      <c r="K73" s="20">
        <f t="shared" si="13"/>
        <v>1.9970712401697031</v>
      </c>
      <c r="M73" s="8">
        <v>3560</v>
      </c>
      <c r="N73" s="20">
        <f t="shared" si="6"/>
        <v>-144505.68710348613</v>
      </c>
      <c r="O73" s="12">
        <f t="shared" si="7"/>
        <v>-243716.72052758833</v>
      </c>
      <c r="P73" s="12">
        <f t="shared" si="8"/>
        <v>99211.033424102206</v>
      </c>
      <c r="Q73" s="12">
        <f t="shared" si="9"/>
        <v>-4224.6056252346698</v>
      </c>
      <c r="R73" s="12">
        <f t="shared" si="14"/>
        <v>-799.55716478331794</v>
      </c>
      <c r="S73" s="12"/>
    </row>
    <row r="74" spans="1:19" x14ac:dyDescent="0.2">
      <c r="A74" s="12">
        <f t="shared" si="10"/>
        <v>295</v>
      </c>
      <c r="B74" s="13">
        <f t="shared" si="15"/>
        <v>7.3347513430373032E-2</v>
      </c>
      <c r="C74" s="13">
        <f t="shared" si="3"/>
        <v>-24.661022357740762</v>
      </c>
      <c r="D74" s="12">
        <f t="shared" si="16"/>
        <v>61.274334768102321</v>
      </c>
      <c r="E74" s="12">
        <f t="shared" si="4"/>
        <v>231.65362655059292</v>
      </c>
      <c r="F74" s="12">
        <f t="shared" si="17"/>
        <v>32.625353830275657</v>
      </c>
      <c r="G74" s="12">
        <f t="shared" si="5"/>
        <v>-28.374577646831156</v>
      </c>
      <c r="H74" s="12"/>
      <c r="I74" s="12">
        <f t="shared" si="11"/>
        <v>7.3354373225131475</v>
      </c>
      <c r="J74" s="20">
        <f t="shared" si="12"/>
        <v>-1.6703776558781154</v>
      </c>
      <c r="K74" s="20">
        <f t="shared" si="13"/>
        <v>2.0165757460498215</v>
      </c>
      <c r="M74" s="8">
        <v>3600</v>
      </c>
      <c r="N74" s="20">
        <f t="shared" si="6"/>
        <v>-126634.34980699881</v>
      </c>
      <c r="O74" s="12">
        <f t="shared" si="7"/>
        <v>-222276.80846076662</v>
      </c>
      <c r="P74" s="12">
        <f t="shared" si="8"/>
        <v>95642.458653767811</v>
      </c>
      <c r="Q74" s="12">
        <f t="shared" si="9"/>
        <v>-5497.6577569100409</v>
      </c>
      <c r="R74" s="12">
        <f t="shared" si="14"/>
        <v>-690.20683380005232</v>
      </c>
      <c r="S74" s="12"/>
    </row>
    <row r="75" spans="1:19" x14ac:dyDescent="0.2">
      <c r="A75" s="12">
        <f t="shared" si="10"/>
        <v>300</v>
      </c>
      <c r="B75" s="13">
        <f t="shared" si="15"/>
        <v>5.3442186758279789E-2</v>
      </c>
      <c r="C75" s="13">
        <f t="shared" si="3"/>
        <v>-20.967416515440252</v>
      </c>
      <c r="D75" s="12">
        <f t="shared" si="16"/>
        <v>62.354566459361003</v>
      </c>
      <c r="E75" s="12">
        <f t="shared" si="4"/>
        <v>234.84732578910194</v>
      </c>
      <c r="F75" s="12">
        <f t="shared" si="17"/>
        <v>32.259766807125779</v>
      </c>
      <c r="G75" s="12">
        <f t="shared" si="5"/>
        <v>-24.08922231493996</v>
      </c>
      <c r="H75" s="12"/>
      <c r="I75" s="12">
        <f t="shared" si="11"/>
        <v>5.3447184915892212</v>
      </c>
      <c r="J75" s="20">
        <f t="shared" si="12"/>
        <v>-1.4372989959270748</v>
      </c>
      <c r="K75" s="20">
        <f t="shared" si="13"/>
        <v>2.0194742887873671</v>
      </c>
      <c r="M75" s="8">
        <v>3520</v>
      </c>
      <c r="N75" s="20">
        <f t="shared" si="6"/>
        <v>-105990.29048555047</v>
      </c>
      <c r="O75" s="12">
        <f t="shared" si="7"/>
        <v>-199145.23566715198</v>
      </c>
      <c r="P75" s="12">
        <f t="shared" si="8"/>
        <v>93154.945181601506</v>
      </c>
      <c r="Q75" s="12">
        <f t="shared" si="9"/>
        <v>-7298.9320630584816</v>
      </c>
      <c r="R75" s="12">
        <f t="shared" si="14"/>
        <v>-590.57991984076477</v>
      </c>
      <c r="S75" s="12"/>
    </row>
    <row r="76" spans="1:19" x14ac:dyDescent="0.2">
      <c r="A76" s="12">
        <f t="shared" si="10"/>
        <v>305</v>
      </c>
      <c r="B76" s="13">
        <f t="shared" si="15"/>
        <v>3.6748657374410472E-2</v>
      </c>
      <c r="C76" s="13">
        <f t="shared" si="3"/>
        <v>-17.302212319813915</v>
      </c>
      <c r="D76" s="12">
        <f t="shared" si="16"/>
        <v>63.457617627692784</v>
      </c>
      <c r="E76" s="12">
        <f t="shared" si="4"/>
        <v>238.09631974541492</v>
      </c>
      <c r="F76" s="12">
        <f t="shared" si="17"/>
        <v>31.953168587772264</v>
      </c>
      <c r="G76" s="12">
        <f t="shared" si="5"/>
        <v>-19.88567526391823</v>
      </c>
      <c r="H76" s="12"/>
      <c r="I76" s="12">
        <f t="shared" si="11"/>
        <v>3.675209427684174</v>
      </c>
      <c r="J76" s="20">
        <f t="shared" si="12"/>
        <v>-1.2053855441394441</v>
      </c>
      <c r="K76" s="20">
        <f t="shared" si="13"/>
        <v>2.0093785214288893</v>
      </c>
      <c r="M76" s="8">
        <v>3580</v>
      </c>
      <c r="N76" s="20">
        <f t="shared" si="6"/>
        <v>-88500.816015848177</v>
      </c>
      <c r="O76" s="12">
        <f t="shared" si="7"/>
        <v>-174498.0473829293</v>
      </c>
      <c r="P76" s="12">
        <f t="shared" si="8"/>
        <v>85997.231367081127</v>
      </c>
      <c r="Q76" s="12">
        <f t="shared" si="9"/>
        <v>-9944.4420948959651</v>
      </c>
      <c r="R76" s="12">
        <f t="shared" si="14"/>
        <v>-493.89643140524316</v>
      </c>
      <c r="S76" s="12"/>
    </row>
    <row r="77" spans="1:19" x14ac:dyDescent="0.2">
      <c r="A77" s="12">
        <f t="shared" si="10"/>
        <v>310</v>
      </c>
      <c r="B77" s="13">
        <f t="shared" si="15"/>
        <v>2.3235039179579444E-2</v>
      </c>
      <c r="C77" s="13">
        <f t="shared" si="3"/>
        <v>-13.680887817214469</v>
      </c>
      <c r="D77" s="12">
        <f t="shared" si="16"/>
        <v>64.574952293829355</v>
      </c>
      <c r="E77" s="12">
        <f t="shared" si="4"/>
        <v>241.37415239916874</v>
      </c>
      <c r="F77" s="12">
        <f t="shared" si="17"/>
        <v>31.704973542836949</v>
      </c>
      <c r="G77" s="12">
        <f t="shared" si="5"/>
        <v>-15.754814885119487</v>
      </c>
      <c r="H77" s="12"/>
      <c r="I77" s="12">
        <f t="shared" si="11"/>
        <v>2.3237212226660682</v>
      </c>
      <c r="J77" s="20">
        <f t="shared" si="12"/>
        <v>-0.97577448402307243</v>
      </c>
      <c r="K77" s="20">
        <f t="shared" si="13"/>
        <v>1.9894298020403256</v>
      </c>
      <c r="M77" s="8">
        <v>3560</v>
      </c>
      <c r="N77" s="20">
        <f t="shared" si="6"/>
        <v>-69704.123428707724</v>
      </c>
      <c r="O77" s="12">
        <f t="shared" si="7"/>
        <v>-148522.82359332076</v>
      </c>
      <c r="P77" s="12">
        <f t="shared" si="8"/>
        <v>78818.700164613037</v>
      </c>
      <c r="Q77" s="12">
        <f t="shared" si="9"/>
        <v>-14069.067868820028</v>
      </c>
      <c r="R77" s="12">
        <f t="shared" si="14"/>
        <v>-402.06774099288646</v>
      </c>
      <c r="S77" s="12"/>
    </row>
    <row r="78" spans="1:19" x14ac:dyDescent="0.2">
      <c r="A78" s="12">
        <f t="shared" si="10"/>
        <v>315</v>
      </c>
      <c r="B78" s="13">
        <f t="shared" si="15"/>
        <v>1.285791322987721E-2</v>
      </c>
      <c r="C78" s="13">
        <f t="shared" si="3"/>
        <v>-10.114553373065286</v>
      </c>
      <c r="D78" s="12">
        <f t="shared" si="16"/>
        <v>65.698201184735098</v>
      </c>
      <c r="E78" s="12">
        <f t="shared" si="4"/>
        <v>244.65522134879197</v>
      </c>
      <c r="F78" s="12">
        <f t="shared" si="17"/>
        <v>31.514384227358811</v>
      </c>
      <c r="G78" s="12">
        <f t="shared" si="5"/>
        <v>-11.687474460547094</v>
      </c>
      <c r="H78" s="12"/>
      <c r="I78" s="12">
        <f t="shared" si="11"/>
        <v>1.2859115760701412</v>
      </c>
      <c r="J78" s="20">
        <f t="shared" si="12"/>
        <v>-0.74929856484225932</v>
      </c>
      <c r="K78" s="20">
        <f t="shared" si="13"/>
        <v>1.9622658544167415</v>
      </c>
      <c r="M78" s="8">
        <v>3720</v>
      </c>
      <c r="N78" s="20">
        <f t="shared" si="6"/>
        <v>-53151.977975458081</v>
      </c>
      <c r="O78" s="12">
        <f t="shared" si="7"/>
        <v>-121417.25143563424</v>
      </c>
      <c r="P78" s="12">
        <f t="shared" si="8"/>
        <v>68265.273460176162</v>
      </c>
      <c r="Q78" s="12">
        <f t="shared" si="9"/>
        <v>-21168.368003493353</v>
      </c>
      <c r="R78" s="12">
        <f t="shared" si="14"/>
        <v>-314.80225946743116</v>
      </c>
      <c r="S78" s="12"/>
    </row>
    <row r="79" spans="1:19" x14ac:dyDescent="0.2">
      <c r="A79" s="12">
        <f t="shared" si="10"/>
        <v>320</v>
      </c>
      <c r="B79" s="13">
        <f t="shared" ref="B79:B87" si="18">($B$11-F79)/($B$11-$B$12)</f>
        <v>5.565742264736849E-3</v>
      </c>
      <c r="C79" s="13">
        <f t="shared" si="3"/>
        <v>-6.6108524010373273</v>
      </c>
      <c r="D79" s="12">
        <f t="shared" ref="D79:D87" si="19">DEGREES(ACOS(($B$5^2+$B$4^2-$B$7^2-$B$8^2+2*$B$7*$B$8*COS(RADIANS(A79-$B$10)))/(2*$B$5*$B$4)))</f>
        <v>66.819194266740126</v>
      </c>
      <c r="E79" s="12">
        <f t="shared" si="4"/>
        <v>247.91492197553649</v>
      </c>
      <c r="F79" s="12">
        <f t="shared" ref="F79:F87" si="20">DEGREES(ASIN($B$4*SIN(RADIANS(D79))/E79))-DEGREES(ASIN($B$8*SIN(RADIANS(A79-$B$10))/E79))</f>
        <v>31.38045409301024</v>
      </c>
      <c r="G79" s="12">
        <f t="shared" si="5"/>
        <v>-7.6745374082035482</v>
      </c>
      <c r="H79" s="12"/>
      <c r="I79" s="12">
        <f t="shared" si="11"/>
        <v>0.55662627983968038</v>
      </c>
      <c r="J79" s="20">
        <f t="shared" si="12"/>
        <v>-0.52654398387839263</v>
      </c>
      <c r="K79" s="20">
        <f t="shared" si="13"/>
        <v>1.9300228903865562</v>
      </c>
      <c r="M79" s="8">
        <v>3900</v>
      </c>
      <c r="N79" s="20">
        <f t="shared" si="6"/>
        <v>-35929.982799637874</v>
      </c>
      <c r="O79" s="12">
        <f t="shared" si="7"/>
        <v>-93387.620680781358</v>
      </c>
      <c r="P79" s="12">
        <f t="shared" si="8"/>
        <v>57457.637881143484</v>
      </c>
      <c r="Q79" s="12">
        <f t="shared" si="9"/>
        <v>-35813.844175020495</v>
      </c>
      <c r="R79" s="12">
        <f t="shared" si="14"/>
        <v>-231.5480815531713</v>
      </c>
      <c r="S79" s="12"/>
    </row>
    <row r="80" spans="1:19" x14ac:dyDescent="0.2">
      <c r="A80" s="12">
        <f t="shared" si="10"/>
        <v>325</v>
      </c>
      <c r="B80" s="13">
        <f t="shared" si="18"/>
        <v>1.3015247391650175E-3</v>
      </c>
      <c r="C80" s="13">
        <f t="shared" ref="C80:C87" si="21">$E$10*$B$8*$B$3/$B$5*SIN(RADIANS(G80))/SIN(RADIANS(D80))</f>
        <v>-3.1747995728424008</v>
      </c>
      <c r="D80" s="12">
        <f t="shared" si="19"/>
        <v>67.929986321599415</v>
      </c>
      <c r="E80" s="12">
        <f t="shared" ref="E80:E87" si="22">SQRT($B$8^2+$B$7^2-2*$B$8*$B$7*COS(RADIANS($B$10-A80)))</f>
        <v>251.12975777109924</v>
      </c>
      <c r="F80" s="12">
        <f t="shared" si="20"/>
        <v>31.302136232825461</v>
      </c>
      <c r="G80" s="12">
        <f t="shared" ref="G80:G87" si="23">-D80-F80+(A80-$B$10)</f>
        <v>-3.7070116028780546</v>
      </c>
      <c r="H80" s="12"/>
      <c r="I80" s="12">
        <f t="shared" si="11"/>
        <v>0.13016464637084427</v>
      </c>
      <c r="J80" s="20">
        <f t="shared" si="12"/>
        <v>-0.30790529936449967</v>
      </c>
      <c r="K80" s="20">
        <f t="shared" si="13"/>
        <v>1.8943613370818517</v>
      </c>
      <c r="M80" s="8">
        <v>4080</v>
      </c>
      <c r="N80" s="20">
        <f t="shared" ref="N80:N87" si="24">C80*(M80-$L$7)</f>
        <v>-17826.499601510081</v>
      </c>
      <c r="O80" s="12">
        <f t="shared" ref="O80:O87" si="25">$E$10*$L$8*SIN(RADIANS((A80+$B$9)))</f>
        <v>-64647.253743560919</v>
      </c>
      <c r="P80" s="12">
        <f t="shared" ref="P80:P87" si="26">N80-O80</f>
        <v>46820.754142050835</v>
      </c>
      <c r="Q80" s="12">
        <f t="shared" ref="Q80:Q87" si="27">IF(($E$3+O80)/C80+$L$7&lt;$E$4,($E$3+O80)/C80+$L$7,$E$4)</f>
        <v>-81966.139162533509</v>
      </c>
      <c r="R80" s="12">
        <f t="shared" si="14"/>
        <v>-141.798493128388</v>
      </c>
      <c r="S80" s="12"/>
    </row>
    <row r="81" spans="1:19" x14ac:dyDescent="0.2">
      <c r="A81" s="12">
        <f t="shared" ref="A81:A87" si="28">A80+$E$10*5</f>
        <v>330</v>
      </c>
      <c r="B81" s="13">
        <f t="shared" si="18"/>
        <v>4.7518853920550857E-6</v>
      </c>
      <c r="C81" s="13">
        <f t="shared" si="21"/>
        <v>0.1904618795606155</v>
      </c>
      <c r="D81" s="12">
        <f t="shared" si="19"/>
        <v>69.022877774297669</v>
      </c>
      <c r="E81" s="12">
        <f t="shared" si="22"/>
        <v>254.2774220929023</v>
      </c>
      <c r="F81" s="12">
        <f t="shared" si="20"/>
        <v>31.278319325164404</v>
      </c>
      <c r="G81" s="12">
        <f t="shared" si="23"/>
        <v>0.22391385208474901</v>
      </c>
      <c r="H81" s="12"/>
      <c r="I81" s="12">
        <f t="shared" ref="I81:I87" si="29">-$B$3*B81*($B$11-$B$12)*2*3.1415/360</f>
        <v>4.7523298100998231E-4</v>
      </c>
      <c r="J81" s="20">
        <f t="shared" ref="J81:J87" si="30">(I81-I80)/10*$E$9</f>
        <v>-9.3635756467460349E-2</v>
      </c>
      <c r="K81" s="20">
        <f t="shared" ref="K81:K87" si="31">(J81-J80)/0.8333*$E$9</f>
        <v>1.856505579883144</v>
      </c>
      <c r="M81" s="8">
        <v>4280</v>
      </c>
      <c r="N81" s="20">
        <f t="shared" si="24"/>
        <v>1107.5358296449792</v>
      </c>
      <c r="O81" s="12">
        <f t="shared" si="25"/>
        <v>-35414.882170272911</v>
      </c>
      <c r="P81" s="12">
        <f t="shared" si="26"/>
        <v>36522.417999917889</v>
      </c>
      <c r="Q81" s="12">
        <f t="shared" si="27"/>
        <v>29800</v>
      </c>
      <c r="R81" s="12">
        <f t="shared" ref="R81:R87" si="32">(M81+M80)/2*(I81-I80)/12</f>
        <v>-45.175145664125608</v>
      </c>
      <c r="S81" s="12"/>
    </row>
    <row r="82" spans="1:19" x14ac:dyDescent="0.2">
      <c r="A82" s="12">
        <f t="shared" si="28"/>
        <v>335</v>
      </c>
      <c r="B82" s="13">
        <f t="shared" si="18"/>
        <v>1.6127422814180958E-3</v>
      </c>
      <c r="C82" s="13">
        <f t="shared" si="21"/>
        <v>3.4829911684696722</v>
      </c>
      <c r="D82" s="12">
        <f t="shared" si="19"/>
        <v>70.090432720487073</v>
      </c>
      <c r="E82" s="12">
        <f t="shared" si="22"/>
        <v>257.33685635141745</v>
      </c>
      <c r="F82" s="12">
        <f t="shared" si="20"/>
        <v>31.307852144787049</v>
      </c>
      <c r="G82" s="12">
        <f t="shared" si="23"/>
        <v>4.1268260862727004</v>
      </c>
      <c r="H82" s="12"/>
      <c r="I82" s="12">
        <f t="shared" si="29"/>
        <v>0.16128931124487794</v>
      </c>
      <c r="J82" s="20">
        <f t="shared" si="30"/>
        <v>0.11610776450651265</v>
      </c>
      <c r="K82" s="20">
        <f t="shared" si="31"/>
        <v>1.8172905573407958</v>
      </c>
      <c r="M82" s="8">
        <v>4460</v>
      </c>
      <c r="N82" s="20">
        <f t="shared" si="24"/>
        <v>20880.532054975683</v>
      </c>
      <c r="O82" s="12">
        <f t="shared" si="25"/>
        <v>-5912.9819595786066</v>
      </c>
      <c r="P82" s="12">
        <f t="shared" si="26"/>
        <v>26793.51401455429</v>
      </c>
      <c r="Q82" s="12">
        <f t="shared" si="27"/>
        <v>29800</v>
      </c>
      <c r="R82" s="12">
        <f t="shared" si="32"/>
        <v>58.563126834425248</v>
      </c>
      <c r="S82" s="12"/>
    </row>
    <row r="83" spans="1:19" x14ac:dyDescent="0.2">
      <c r="A83" s="12">
        <f t="shared" si="28"/>
        <v>340</v>
      </c>
      <c r="B83" s="13">
        <f t="shared" si="18"/>
        <v>6.0614314582425775E-3</v>
      </c>
      <c r="C83" s="13">
        <f t="shared" si="21"/>
        <v>6.7014694277963773</v>
      </c>
      <c r="D83" s="12">
        <f t="shared" si="19"/>
        <v>71.125495793877491</v>
      </c>
      <c r="E83" s="12">
        <f t="shared" si="22"/>
        <v>260.28828919199179</v>
      </c>
      <c r="F83" s="12">
        <f t="shared" si="20"/>
        <v>31.389558065009624</v>
      </c>
      <c r="G83" s="12">
        <f t="shared" si="23"/>
        <v>8.0100570926597072</v>
      </c>
      <c r="H83" s="12"/>
      <c r="I83" s="12">
        <f t="shared" si="29"/>
        <v>0.60619983510219122</v>
      </c>
      <c r="J83" s="20">
        <f t="shared" si="30"/>
        <v>0.32122539822498014</v>
      </c>
      <c r="K83" s="20">
        <f t="shared" si="31"/>
        <v>1.7772102669474799</v>
      </c>
      <c r="M83" s="8">
        <v>4640</v>
      </c>
      <c r="N83" s="20">
        <f t="shared" si="24"/>
        <v>41381.573716642633</v>
      </c>
      <c r="O83" s="12">
        <f t="shared" si="25"/>
        <v>23633.919614184211</v>
      </c>
      <c r="P83" s="12">
        <f t="shared" si="26"/>
        <v>17747.654102458422</v>
      </c>
      <c r="Q83" s="12">
        <f t="shared" si="27"/>
        <v>29800</v>
      </c>
      <c r="R83" s="12">
        <f t="shared" si="32"/>
        <v>168.69524029589795</v>
      </c>
      <c r="S83" s="12"/>
    </row>
    <row r="84" spans="1:19" x14ac:dyDescent="0.2">
      <c r="A84" s="12">
        <f t="shared" si="28"/>
        <v>345</v>
      </c>
      <c r="B84" s="13">
        <f t="shared" si="18"/>
        <v>1.3285692182233808E-2</v>
      </c>
      <c r="C84" s="13">
        <f t="shared" si="21"/>
        <v>9.8447035844197899</v>
      </c>
      <c r="D84" s="12">
        <f t="shared" si="19"/>
        <v>72.12120918561574</v>
      </c>
      <c r="E84" s="12">
        <f t="shared" si="22"/>
        <v>263.11326069752778</v>
      </c>
      <c r="F84" s="12">
        <f t="shared" si="20"/>
        <v>31.522240940103821</v>
      </c>
      <c r="G84" s="12">
        <f t="shared" si="23"/>
        <v>11.881660825827254</v>
      </c>
      <c r="H84" s="12"/>
      <c r="I84" s="12">
        <f t="shared" si="29"/>
        <v>1.3286934720901193</v>
      </c>
      <c r="J84" s="20">
        <f t="shared" si="30"/>
        <v>0.52164040590528404</v>
      </c>
      <c r="K84" s="20">
        <f t="shared" si="31"/>
        <v>1.7364650851455588</v>
      </c>
      <c r="M84" s="8">
        <v>4820</v>
      </c>
      <c r="N84" s="20">
        <f t="shared" si="24"/>
        <v>62563.091278987762</v>
      </c>
      <c r="O84" s="12">
        <f t="shared" si="25"/>
        <v>53000.952789132258</v>
      </c>
      <c r="P84" s="12">
        <f t="shared" si="26"/>
        <v>9562.1384898555043</v>
      </c>
      <c r="Q84" s="12">
        <f t="shared" si="27"/>
        <v>29800</v>
      </c>
      <c r="R84" s="12">
        <f t="shared" si="32"/>
        <v>284.78290857940834</v>
      </c>
      <c r="S84" s="12"/>
    </row>
    <row r="85" spans="1:19" x14ac:dyDescent="0.2">
      <c r="A85" s="12">
        <f t="shared" si="28"/>
        <v>350</v>
      </c>
      <c r="B85" s="13">
        <f t="shared" si="18"/>
        <v>2.3219256467767346E-2</v>
      </c>
      <c r="C85" s="13">
        <f t="shared" si="21"/>
        <v>12.911208507830702</v>
      </c>
      <c r="D85" s="12">
        <f t="shared" si="19"/>
        <v>73.071030795423084</v>
      </c>
      <c r="E85" s="12">
        <f t="shared" si="22"/>
        <v>265.79463507251245</v>
      </c>
      <c r="F85" s="12">
        <f t="shared" si="20"/>
        <v>31.704683672958215</v>
      </c>
      <c r="G85" s="12">
        <f t="shared" si="23"/>
        <v>15.749396483165526</v>
      </c>
      <c r="H85" s="12"/>
      <c r="I85" s="12">
        <f t="shared" si="29"/>
        <v>2.322142803877723</v>
      </c>
      <c r="J85" s="20">
        <f t="shared" si="30"/>
        <v>0.7172704175506498</v>
      </c>
      <c r="K85" s="20">
        <f t="shared" si="31"/>
        <v>1.6950062211442944</v>
      </c>
      <c r="M85" s="8">
        <v>5200</v>
      </c>
      <c r="N85" s="20">
        <f t="shared" si="24"/>
        <v>86956.989300239773</v>
      </c>
      <c r="O85" s="12">
        <f t="shared" si="25"/>
        <v>81964.616710504721</v>
      </c>
      <c r="P85" s="12">
        <f t="shared" si="26"/>
        <v>4992.3725897350523</v>
      </c>
      <c r="Q85" s="12">
        <f t="shared" si="27"/>
        <v>29597.997075115898</v>
      </c>
      <c r="R85" s="12">
        <f t="shared" si="32"/>
        <v>414.76509602132455</v>
      </c>
      <c r="S85" s="12"/>
    </row>
    <row r="86" spans="1:19" x14ac:dyDescent="0.2">
      <c r="A86" s="12">
        <f t="shared" si="28"/>
        <v>355</v>
      </c>
      <c r="B86" s="13">
        <f t="shared" si="18"/>
        <v>3.5794304722051105E-2</v>
      </c>
      <c r="C86" s="13">
        <f t="shared" si="21"/>
        <v>15.898860795807598</v>
      </c>
      <c r="D86" s="12">
        <f t="shared" si="19"/>
        <v>73.968754168321738</v>
      </c>
      <c r="E86" s="12">
        <f t="shared" si="22"/>
        <v>268.31660471707471</v>
      </c>
      <c r="F86" s="12">
        <f t="shared" si="20"/>
        <v>31.935640669192541</v>
      </c>
      <c r="G86" s="12">
        <f t="shared" si="23"/>
        <v>19.620716114032547</v>
      </c>
      <c r="H86" s="12"/>
      <c r="I86" s="12">
        <f t="shared" si="29"/>
        <v>3.5797652369059576</v>
      </c>
      <c r="J86" s="20">
        <f t="shared" si="30"/>
        <v>0.9080033966463853</v>
      </c>
      <c r="K86" s="20">
        <f t="shared" si="31"/>
        <v>1.6525766339508103</v>
      </c>
      <c r="M86" s="8">
        <v>5560</v>
      </c>
      <c r="N86" s="20">
        <f t="shared" si="24"/>
        <v>112802.41734625491</v>
      </c>
      <c r="O86" s="12">
        <f t="shared" si="25"/>
        <v>110304.48040712153</v>
      </c>
      <c r="P86" s="12">
        <f t="shared" si="26"/>
        <v>2497.9369391333748</v>
      </c>
      <c r="Q86" s="12">
        <f t="shared" si="27"/>
        <v>25530.114031351815</v>
      </c>
      <c r="R86" s="12">
        <f t="shared" si="32"/>
        <v>563.83405747432516</v>
      </c>
      <c r="S86" s="12"/>
    </row>
    <row r="87" spans="1:19" x14ac:dyDescent="0.2">
      <c r="A87" s="12">
        <f t="shared" si="28"/>
        <v>360</v>
      </c>
      <c r="B87" s="13">
        <f t="shared" si="18"/>
        <v>5.0940781755596798E-2</v>
      </c>
      <c r="C87" s="13">
        <f t="shared" si="21"/>
        <v>18.804617959305588</v>
      </c>
      <c r="D87" s="12">
        <f t="shared" si="19"/>
        <v>74.808530557666487</v>
      </c>
      <c r="E87" s="12">
        <f t="shared" si="22"/>
        <v>270.66468808912816</v>
      </c>
      <c r="F87" s="12">
        <f t="shared" si="20"/>
        <v>32.213825274806936</v>
      </c>
      <c r="G87" s="12">
        <f t="shared" si="23"/>
        <v>23.502755119073399</v>
      </c>
      <c r="H87" s="12"/>
      <c r="I87" s="12">
        <f t="shared" si="29"/>
        <v>5.0945545970378383</v>
      </c>
      <c r="J87" s="20">
        <f t="shared" si="30"/>
        <v>1.0936779180152179</v>
      </c>
      <c r="K87" s="20">
        <f t="shared" si="31"/>
        <v>1.6087484030756882</v>
      </c>
      <c r="M87" s="8">
        <v>5940</v>
      </c>
      <c r="N87" s="20">
        <f t="shared" si="24"/>
        <v>140564.51924580926</v>
      </c>
      <c r="O87" s="12">
        <f t="shared" si="25"/>
        <v>137804.86040417413</v>
      </c>
      <c r="P87" s="12">
        <f t="shared" si="26"/>
        <v>2759.6588416351296</v>
      </c>
      <c r="Q87" s="12">
        <f t="shared" si="27"/>
        <v>22810.34226618661</v>
      </c>
      <c r="R87" s="12">
        <f t="shared" si="32"/>
        <v>725.83656839652622</v>
      </c>
      <c r="S87" s="12"/>
    </row>
    <row r="88" spans="1:19" x14ac:dyDescent="0.2">
      <c r="N88" s="20"/>
      <c r="O88" s="12"/>
      <c r="P88" s="12"/>
      <c r="Q88" s="12"/>
      <c r="R88" s="12"/>
      <c r="S88" s="12"/>
    </row>
    <row r="89" spans="1:19" x14ac:dyDescent="0.2">
      <c r="N89" s="20"/>
      <c r="O89" s="12"/>
      <c r="P89" s="12"/>
      <c r="Q89" s="17" t="s">
        <v>84</v>
      </c>
      <c r="R89" s="12">
        <f>SUM(R16:R87)</f>
        <v>34958.191965544327</v>
      </c>
      <c r="S89" s="17" t="s">
        <v>72</v>
      </c>
    </row>
    <row r="90" spans="1:19" x14ac:dyDescent="0.2">
      <c r="N90" s="20"/>
      <c r="O90" s="12"/>
      <c r="P90" s="12"/>
      <c r="Q90" s="17" t="s">
        <v>74</v>
      </c>
      <c r="R90" s="16">
        <f>E9*R89/33000</f>
        <v>7.6484286664009105</v>
      </c>
      <c r="S90" s="17" t="s">
        <v>73</v>
      </c>
    </row>
    <row r="91" spans="1:19" x14ac:dyDescent="0.2">
      <c r="N91" s="20"/>
      <c r="O91" s="12"/>
      <c r="P91" s="12"/>
      <c r="Q91" s="17" t="s">
        <v>95</v>
      </c>
      <c r="R91" s="16">
        <f>R90*1.5/0.9</f>
        <v>12.747381110668183</v>
      </c>
      <c r="S91" s="17" t="s">
        <v>73</v>
      </c>
    </row>
  </sheetData>
  <sheetProtection sheet="1"/>
  <mergeCells count="3">
    <mergeCell ref="D1:F1"/>
    <mergeCell ref="E2:F2"/>
    <mergeCell ref="I12:K12"/>
  </mergeCells>
  <phoneticPr fontId="1" type="noConversion"/>
  <printOptions gridLines="1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1"/>
  <sheetViews>
    <sheetView workbookViewId="0">
      <selection activeCell="E9" sqref="E9"/>
    </sheetView>
  </sheetViews>
  <sheetFormatPr defaultRowHeight="12.75" x14ac:dyDescent="0.2"/>
  <cols>
    <col min="1" max="1" width="9.140625" style="4"/>
    <col min="2" max="2" width="12.42578125" style="4" bestFit="1" customWidth="1"/>
    <col min="3" max="3" width="9.140625" style="4"/>
    <col min="4" max="4" width="9.28515625" style="4" customWidth="1"/>
    <col min="5" max="10" width="9.140625" style="4"/>
    <col min="11" max="11" width="10.42578125" style="4" customWidth="1"/>
    <col min="12" max="12" width="9.140625" style="4"/>
    <col min="13" max="13" width="10.5703125" style="4" bestFit="1" customWidth="1"/>
    <col min="14" max="16" width="9.140625" style="4"/>
    <col min="17" max="17" width="12.42578125" style="4" bestFit="1" customWidth="1"/>
    <col min="18" max="16384" width="9.140625" style="4"/>
  </cols>
  <sheetData>
    <row r="1" spans="1:19" x14ac:dyDescent="0.2">
      <c r="A1" s="4" t="s">
        <v>22</v>
      </c>
      <c r="E1" s="35" t="s">
        <v>91</v>
      </c>
      <c r="F1" s="24"/>
      <c r="G1" s="25"/>
      <c r="K1" s="4" t="s">
        <v>47</v>
      </c>
      <c r="L1" s="8">
        <v>254</v>
      </c>
      <c r="M1" s="4" t="s">
        <v>48</v>
      </c>
    </row>
    <row r="2" spans="1:19" x14ac:dyDescent="0.2">
      <c r="A2" s="4" t="s">
        <v>0</v>
      </c>
      <c r="E2" s="7" t="s">
        <v>90</v>
      </c>
      <c r="F2" s="29" t="s">
        <v>53</v>
      </c>
      <c r="G2" s="31"/>
      <c r="K2" s="4" t="s">
        <v>49</v>
      </c>
      <c r="L2" s="8">
        <v>65.599999999999994</v>
      </c>
      <c r="M2" s="4" t="s">
        <v>50</v>
      </c>
    </row>
    <row r="3" spans="1:19" x14ac:dyDescent="0.2">
      <c r="A3" s="4" t="s">
        <v>1</v>
      </c>
      <c r="B3" s="8">
        <v>155</v>
      </c>
      <c r="C3" s="4" t="s">
        <v>7</v>
      </c>
      <c r="E3" s="7" t="s">
        <v>34</v>
      </c>
      <c r="F3" s="8">
        <v>320000</v>
      </c>
      <c r="G3" s="7" t="s">
        <v>75</v>
      </c>
      <c r="K3" s="4" t="s">
        <v>51</v>
      </c>
      <c r="L3" s="8">
        <v>76</v>
      </c>
      <c r="M3" s="4" t="s">
        <v>52</v>
      </c>
    </row>
    <row r="4" spans="1:19" x14ac:dyDescent="0.2">
      <c r="A4" s="4" t="s">
        <v>2</v>
      </c>
      <c r="B4" s="8">
        <v>132</v>
      </c>
      <c r="C4" s="4" t="s">
        <v>7</v>
      </c>
      <c r="E4" s="7" t="s">
        <v>96</v>
      </c>
      <c r="F4" s="8">
        <v>30500</v>
      </c>
      <c r="G4" s="7" t="s">
        <v>97</v>
      </c>
    </row>
    <row r="5" spans="1:19" x14ac:dyDescent="0.2">
      <c r="A5" s="4" t="s">
        <v>3</v>
      </c>
      <c r="B5" s="8">
        <v>70</v>
      </c>
      <c r="C5" s="4" t="s">
        <v>7</v>
      </c>
      <c r="K5" s="4" t="s">
        <v>31</v>
      </c>
      <c r="L5" s="12">
        <f>L2*(L1-L3)</f>
        <v>11676.8</v>
      </c>
      <c r="M5" s="4" t="s">
        <v>37</v>
      </c>
    </row>
    <row r="6" spans="1:19" x14ac:dyDescent="0.2">
      <c r="A6" s="4" t="s">
        <v>4</v>
      </c>
      <c r="B6" s="8">
        <v>68</v>
      </c>
      <c r="C6" s="4" t="s">
        <v>7</v>
      </c>
      <c r="D6" s="4" t="s">
        <v>25</v>
      </c>
      <c r="K6" s="4" t="s">
        <v>38</v>
      </c>
      <c r="L6" s="13">
        <f>C33</f>
        <v>42.740952434349438</v>
      </c>
      <c r="M6" s="4" t="s">
        <v>39</v>
      </c>
      <c r="N6" s="13">
        <f>A33</f>
        <v>90</v>
      </c>
      <c r="O6" s="4" t="s">
        <v>28</v>
      </c>
    </row>
    <row r="7" spans="1:19" x14ac:dyDescent="0.2">
      <c r="A7" s="4" t="s">
        <v>5</v>
      </c>
      <c r="B7" s="8">
        <v>148.48568</v>
      </c>
      <c r="C7" s="4" t="s">
        <v>7</v>
      </c>
      <c r="K7" s="4" t="s">
        <v>40</v>
      </c>
      <c r="L7" s="12">
        <f>L3*L2</f>
        <v>4985.5999999999995</v>
      </c>
      <c r="M7" s="4" t="s">
        <v>37</v>
      </c>
    </row>
    <row r="8" spans="1:19" x14ac:dyDescent="0.2">
      <c r="A8" s="4" t="s">
        <v>6</v>
      </c>
      <c r="B8" s="8">
        <v>19.375</v>
      </c>
      <c r="C8" s="4" t="s">
        <v>7</v>
      </c>
      <c r="D8" s="4" t="s">
        <v>70</v>
      </c>
      <c r="E8" s="8">
        <v>7.22</v>
      </c>
      <c r="F8" s="4" t="s">
        <v>71</v>
      </c>
      <c r="K8" s="4" t="s">
        <v>41</v>
      </c>
      <c r="L8" s="12">
        <f>L6*(L5-L7)</f>
        <v>285988.26092871896</v>
      </c>
      <c r="M8" s="4" t="s">
        <v>33</v>
      </c>
    </row>
    <row r="9" spans="1:19" x14ac:dyDescent="0.2">
      <c r="A9" s="4" t="s">
        <v>67</v>
      </c>
      <c r="C9" s="8">
        <v>1</v>
      </c>
      <c r="D9" s="7" t="s">
        <v>99</v>
      </c>
    </row>
    <row r="10" spans="1:19" x14ac:dyDescent="0.2">
      <c r="A10" s="4" t="s">
        <v>8</v>
      </c>
      <c r="B10" s="12">
        <f>-DEGREES(ASIN($B$6/B7))+180</f>
        <v>152.74466972746876</v>
      </c>
    </row>
    <row r="11" spans="1:19" x14ac:dyDescent="0.2">
      <c r="A11" s="4" t="s">
        <v>9</v>
      </c>
      <c r="B11" s="12">
        <f>DEGREES(ACOS((B5^2+B7^2-(B4-B8)^2)/(2*B5*B7)))</f>
        <v>46.674173958780614</v>
      </c>
    </row>
    <row r="12" spans="1:19" x14ac:dyDescent="0.2">
      <c r="A12" s="4" t="s">
        <v>10</v>
      </c>
      <c r="B12" s="12">
        <f>DEGREES(ACOS((B5^2+B7^2-(B4+B8)^2)/(2*B5*B7)))</f>
        <v>78.811621330817431</v>
      </c>
      <c r="I12" s="32" t="s">
        <v>86</v>
      </c>
      <c r="J12" s="33"/>
      <c r="K12" s="34"/>
      <c r="M12" s="7" t="s">
        <v>88</v>
      </c>
      <c r="N12" s="4" t="s">
        <v>29</v>
      </c>
      <c r="O12" s="4" t="s">
        <v>31</v>
      </c>
      <c r="P12" s="4" t="s">
        <v>34</v>
      </c>
      <c r="Q12" s="7" t="s">
        <v>87</v>
      </c>
      <c r="R12" s="7" t="s">
        <v>84</v>
      </c>
    </row>
    <row r="13" spans="1:19" x14ac:dyDescent="0.2">
      <c r="A13" s="4" t="s">
        <v>11</v>
      </c>
      <c r="B13" s="7" t="s">
        <v>77</v>
      </c>
      <c r="C13" s="7" t="s">
        <v>32</v>
      </c>
      <c r="I13" s="4" t="s">
        <v>18</v>
      </c>
      <c r="J13" s="4" t="s">
        <v>19</v>
      </c>
      <c r="K13" s="4" t="s">
        <v>21</v>
      </c>
      <c r="M13" s="7" t="s">
        <v>89</v>
      </c>
      <c r="N13" s="4" t="s">
        <v>32</v>
      </c>
      <c r="O13" s="4" t="s">
        <v>32</v>
      </c>
      <c r="P13" s="4" t="s">
        <v>32</v>
      </c>
      <c r="Q13" s="7" t="s">
        <v>94</v>
      </c>
      <c r="R13" s="7" t="s">
        <v>83</v>
      </c>
    </row>
    <row r="14" spans="1:19" x14ac:dyDescent="0.2">
      <c r="A14" s="4" t="s">
        <v>12</v>
      </c>
      <c r="B14" s="7" t="s">
        <v>18</v>
      </c>
      <c r="C14" s="7" t="s">
        <v>78</v>
      </c>
      <c r="D14" s="4" t="s">
        <v>14</v>
      </c>
      <c r="E14" s="4" t="s">
        <v>15</v>
      </c>
      <c r="F14" s="4" t="s">
        <v>16</v>
      </c>
      <c r="G14" s="4" t="s">
        <v>17</v>
      </c>
      <c r="I14" s="7" t="s">
        <v>92</v>
      </c>
      <c r="J14" s="4" t="s">
        <v>20</v>
      </c>
      <c r="K14" s="4" t="s">
        <v>26</v>
      </c>
      <c r="N14" s="7" t="s">
        <v>93</v>
      </c>
      <c r="O14" s="7" t="s">
        <v>93</v>
      </c>
      <c r="P14" s="7" t="s">
        <v>93</v>
      </c>
    </row>
    <row r="15" spans="1:19" x14ac:dyDescent="0.2">
      <c r="A15" s="12">
        <f>IF(C9&gt;0,0,360)</f>
        <v>0</v>
      </c>
      <c r="B15" s="13">
        <f t="shared" ref="B15:B46" si="0">($B$11-F15)/($B$11-$B$12)</f>
        <v>9.357710904757864E-6</v>
      </c>
      <c r="C15" s="13">
        <f>$C$9*$B$8*$B$3/$B$5*SIN(RADIANS(G15))/SIN(RADIANS(D15))</f>
        <v>0.24912830784433002</v>
      </c>
      <c r="D15" s="12">
        <f t="shared" ref="D15:D78" si="1">DEGREES(ACOS(($B$5^2+$B$4^2-$B$7^2-$B$8^2+2*$B$7*$B$8*COS(RADIANS(A15-$B$10)))/(2*$B$5*$B$4)))</f>
        <v>106.38939072575974</v>
      </c>
      <c r="E15" s="12">
        <f t="shared" ref="E15:E78" si="2">SQRT($B$8^2+$B$7^2-2*$B$8*$B$7*COS(RADIANS($B$10-A15)))</f>
        <v>165.94694144198434</v>
      </c>
      <c r="F15" s="12">
        <f t="shared" ref="F15:F46" si="3">DEGREES(ASIN($B$4*SIN(RADIANS(D15))/E15))+DEGREES(ASIN($B$8*SIN(RADIANS(A15-$B$10))/E15))</f>
        <v>46.674474691722338</v>
      </c>
      <c r="G15" s="12">
        <f t="shared" ref="G15:G46" si="4">D15+F15+(A15-$B$10)</f>
        <v>0.31919569001331638</v>
      </c>
      <c r="H15" s="12"/>
      <c r="I15" s="12">
        <f>-$B$3*B15*($B$11-$B$12)*2*3.1415/360</f>
        <v>8.1353690636784429E-4</v>
      </c>
      <c r="J15" s="12">
        <f>(I15-I86)/10*$E$8</f>
        <v>-8.9496573694353168E-2</v>
      </c>
      <c r="K15" s="12">
        <f>(J15-J86)/0.8333*$E$8</f>
        <v>1.83180678109033</v>
      </c>
      <c r="L15" s="10"/>
      <c r="M15" s="22">
        <v>11265</v>
      </c>
      <c r="N15" s="12">
        <f>C15*(M15-$L$7)</f>
        <v>1564.3762962776859</v>
      </c>
      <c r="O15" s="12">
        <f>$C$9*$L$8*SIN(RADIANS(A15))</f>
        <v>0</v>
      </c>
      <c r="P15" s="12">
        <f>N15-O15</f>
        <v>1564.3762962776859</v>
      </c>
      <c r="Q15" s="12">
        <f>IF(($F$3+O15)/C15+$L$7&lt;$F$4,($F$3+O15)/C15+$L$7,$F$4)</f>
        <v>30500</v>
      </c>
      <c r="R15" s="12"/>
      <c r="S15" s="12"/>
    </row>
    <row r="16" spans="1:19" x14ac:dyDescent="0.2">
      <c r="A16" s="12">
        <f>A15+5*$C$9</f>
        <v>5</v>
      </c>
      <c r="B16" s="13">
        <f t="shared" si="0"/>
        <v>1.9222427444285709E-3</v>
      </c>
      <c r="C16" s="13">
        <f t="shared" ref="C16:C79" si="5">$C$9*$B$8*$B$3/$B$5*SIN(RADIANS(G16))/SIN(RADIANS(D16))</f>
        <v>3.5543680772909334</v>
      </c>
      <c r="D16" s="12">
        <f t="shared" si="1"/>
        <v>105.5859321265455</v>
      </c>
      <c r="E16" s="12">
        <f t="shared" si="2"/>
        <v>165.19463633584482</v>
      </c>
      <c r="F16" s="12">
        <f t="shared" si="3"/>
        <v>46.735949933815967</v>
      </c>
      <c r="G16" s="12">
        <f t="shared" si="4"/>
        <v>4.5772123328927137</v>
      </c>
      <c r="H16" s="12"/>
      <c r="I16" s="12">
        <f>-$B$3*B16*($B$11-$B$12)*2*3.1415/360</f>
        <v>0.16711516646612187</v>
      </c>
      <c r="J16" s="12">
        <f>(I16-I15)/10*$E$8</f>
        <v>0.1200697765421424</v>
      </c>
      <c r="K16" s="12">
        <f>(J16-J15)/0.8333*$E$8</f>
        <v>1.8157554886685443</v>
      </c>
      <c r="L16" s="10"/>
      <c r="M16" s="22">
        <v>11572</v>
      </c>
      <c r="N16" s="12">
        <f t="shared" ref="N16:N79" si="6">C16*(M16-$L$7)</f>
        <v>23410.489904269005</v>
      </c>
      <c r="O16" s="12">
        <f t="shared" ref="O16:O79" si="7">$C$9*$L$8*SIN(RADIANS(A16))</f>
        <v>24925.519298353567</v>
      </c>
      <c r="P16" s="12">
        <f t="shared" ref="P16:P79" si="8">N16-O16</f>
        <v>-1515.0293940845622</v>
      </c>
      <c r="Q16" s="12">
        <f t="shared" ref="Q16:Q79" si="9">IF(($F$3+O16)/C16+$L$7&lt;$F$4,($F$3+O16)/C16+$L$7,$F$4)</f>
        <v>30500</v>
      </c>
      <c r="R16" s="12">
        <f>(M16+M15)/2*(I16-I15)/12</f>
        <v>158.24292976067093</v>
      </c>
      <c r="S16" s="12"/>
    </row>
    <row r="17" spans="1:19" x14ac:dyDescent="0.2">
      <c r="A17" s="12">
        <f t="shared" ref="A17:A80" si="10">A16+5*$C$9</f>
        <v>10</v>
      </c>
      <c r="B17" s="13">
        <f t="shared" si="0"/>
        <v>7.126097906373351E-3</v>
      </c>
      <c r="C17" s="13">
        <f t="shared" si="5"/>
        <v>6.8038752618703624</v>
      </c>
      <c r="D17" s="12">
        <f t="shared" si="1"/>
        <v>104.66688902634317</v>
      </c>
      <c r="E17" s="12">
        <f t="shared" si="2"/>
        <v>164.32624893417412</v>
      </c>
      <c r="F17" s="12">
        <f t="shared" si="3"/>
        <v>46.903188555214669</v>
      </c>
      <c r="G17" s="12">
        <f t="shared" si="4"/>
        <v>8.8254078540890646</v>
      </c>
      <c r="H17" s="12"/>
      <c r="I17" s="12">
        <f t="shared" ref="I17:I80" si="11">-$B$3*B17*($B$11-$B$12)*2*3.1415/360</f>
        <v>0.6195258332118091</v>
      </c>
      <c r="J17" s="12">
        <f t="shared" ref="J17:J80" si="12">(I17-I16)/10*$E$8</f>
        <v>0.32664050139038614</v>
      </c>
      <c r="K17" s="12">
        <f t="shared" ref="K17:K80" si="13">(J17-J16)/0.8333*$E$8</f>
        <v>1.7898003520992676</v>
      </c>
      <c r="L17" s="10"/>
      <c r="M17" s="22">
        <v>11981</v>
      </c>
      <c r="N17" s="12">
        <f t="shared" si="6"/>
        <v>47595.829006887936</v>
      </c>
      <c r="O17" s="12">
        <f t="shared" si="7"/>
        <v>49661.340344406621</v>
      </c>
      <c r="P17" s="12">
        <f t="shared" si="8"/>
        <v>-2065.5113375186847</v>
      </c>
      <c r="Q17" s="12">
        <f t="shared" si="9"/>
        <v>30500</v>
      </c>
      <c r="R17" s="12">
        <f t="shared" ref="R17:R80" si="14">(M17+M16)/2*(I17-I16)/12</f>
        <v>443.98451807754878</v>
      </c>
      <c r="S17" s="12"/>
    </row>
    <row r="18" spans="1:19" x14ac:dyDescent="0.2">
      <c r="A18" s="12">
        <f t="shared" si="10"/>
        <v>15</v>
      </c>
      <c r="B18" s="13">
        <f t="shared" si="0"/>
        <v>1.5557628667340553E-2</v>
      </c>
      <c r="C18" s="13">
        <f t="shared" si="5"/>
        <v>9.9834136880870723</v>
      </c>
      <c r="D18" s="12">
        <f t="shared" si="1"/>
        <v>103.64046224546638</v>
      </c>
      <c r="E18" s="12">
        <f t="shared" si="2"/>
        <v>163.34659410514664</v>
      </c>
      <c r="F18" s="12">
        <f t="shared" si="3"/>
        <v>47.174156431310962</v>
      </c>
      <c r="G18" s="12">
        <f t="shared" si="4"/>
        <v>13.069948949308582</v>
      </c>
      <c r="H18" s="12"/>
      <c r="I18" s="12">
        <f t="shared" si="11"/>
        <v>1.3525428628076881</v>
      </c>
      <c r="J18" s="12">
        <f t="shared" si="12"/>
        <v>0.52923829536822464</v>
      </c>
      <c r="K18" s="12">
        <f t="shared" si="13"/>
        <v>1.7553775021240776</v>
      </c>
      <c r="L18" s="10"/>
      <c r="M18" s="22">
        <v>12289</v>
      </c>
      <c r="N18" s="12">
        <f t="shared" si="6"/>
        <v>72912.86352957513</v>
      </c>
      <c r="O18" s="12">
        <f t="shared" si="7"/>
        <v>74019.208604101586</v>
      </c>
      <c r="P18" s="12">
        <f t="shared" si="8"/>
        <v>-1106.3450745264563</v>
      </c>
      <c r="Q18" s="12">
        <f t="shared" si="9"/>
        <v>30500</v>
      </c>
      <c r="R18" s="12">
        <f t="shared" si="14"/>
        <v>741.26347117883267</v>
      </c>
      <c r="S18" s="12"/>
    </row>
    <row r="19" spans="1:19" x14ac:dyDescent="0.2">
      <c r="A19" s="12">
        <f t="shared" si="10"/>
        <v>20</v>
      </c>
      <c r="B19" s="13">
        <f t="shared" si="0"/>
        <v>2.7140451462119658E-2</v>
      </c>
      <c r="C19" s="13">
        <f t="shared" si="5"/>
        <v>13.081087891318601</v>
      </c>
      <c r="D19" s="12">
        <f t="shared" si="1"/>
        <v>102.51552331200014</v>
      </c>
      <c r="E19" s="12">
        <f t="shared" si="2"/>
        <v>162.26118475070015</v>
      </c>
      <c r="F19" s="12">
        <f t="shared" si="3"/>
        <v>47.546398789297804</v>
      </c>
      <c r="G19" s="12">
        <f t="shared" si="4"/>
        <v>17.317252373829177</v>
      </c>
      <c r="H19" s="12"/>
      <c r="I19" s="12">
        <f t="shared" si="11"/>
        <v>2.3595256515878433</v>
      </c>
      <c r="J19" s="12">
        <f t="shared" si="12"/>
        <v>0.72704157349927201</v>
      </c>
      <c r="K19" s="12">
        <f t="shared" si="13"/>
        <v>1.7138361551736012</v>
      </c>
      <c r="L19" s="10"/>
      <c r="M19" s="22">
        <v>12595</v>
      </c>
      <c r="N19" s="12">
        <f t="shared" si="6"/>
        <v>99539.230200199774</v>
      </c>
      <c r="O19" s="12">
        <f t="shared" si="7"/>
        <v>97813.745992299198</v>
      </c>
      <c r="P19" s="12">
        <f t="shared" si="8"/>
        <v>1725.4842079005757</v>
      </c>
      <c r="Q19" s="12">
        <f t="shared" si="9"/>
        <v>30500</v>
      </c>
      <c r="R19" s="12">
        <f t="shared" si="14"/>
        <v>1044.0733215002244</v>
      </c>
      <c r="S19" s="12"/>
    </row>
    <row r="20" spans="1:19" x14ac:dyDescent="0.2">
      <c r="A20" s="12">
        <f t="shared" si="10"/>
        <v>25</v>
      </c>
      <c r="B20" s="13">
        <f t="shared" si="0"/>
        <v>4.1787267963067351E-2</v>
      </c>
      <c r="C20" s="13">
        <f t="shared" si="5"/>
        <v>16.086974910647363</v>
      </c>
      <c r="D20" s="12">
        <f t="shared" si="1"/>
        <v>101.30147930029972</v>
      </c>
      <c r="E20" s="12">
        <f t="shared" si="2"/>
        <v>161.07623233718144</v>
      </c>
      <c r="F20" s="12">
        <f t="shared" si="3"/>
        <v>48.017110083764891</v>
      </c>
      <c r="G20" s="12">
        <f t="shared" si="4"/>
        <v>21.573919656595848</v>
      </c>
      <c r="H20" s="12"/>
      <c r="I20" s="12">
        <f t="shared" si="11"/>
        <v>3.6328846926605922</v>
      </c>
      <c r="J20" s="12">
        <f t="shared" si="12"/>
        <v>0.91936522765452466</v>
      </c>
      <c r="K20" s="12">
        <f t="shared" si="13"/>
        <v>1.6663587939528668</v>
      </c>
      <c r="L20" s="10"/>
      <c r="M20" s="22">
        <v>13005</v>
      </c>
      <c r="N20" s="12">
        <f t="shared" si="6"/>
        <v>129007.88659844548</v>
      </c>
      <c r="O20" s="12">
        <f t="shared" si="7"/>
        <v>120863.8617119408</v>
      </c>
      <c r="P20" s="12">
        <f t="shared" si="8"/>
        <v>8144.0248865046742</v>
      </c>
      <c r="Q20" s="12">
        <f t="shared" si="9"/>
        <v>30500</v>
      </c>
      <c r="R20" s="12">
        <f t="shared" si="14"/>
        <v>1358.2496438109322</v>
      </c>
      <c r="S20" s="12"/>
    </row>
    <row r="21" spans="1:19" x14ac:dyDescent="0.2">
      <c r="A21" s="12">
        <f t="shared" si="10"/>
        <v>30</v>
      </c>
      <c r="B21" s="13">
        <f t="shared" si="0"/>
        <v>5.9401618095665486E-2</v>
      </c>
      <c r="C21" s="13">
        <f t="shared" si="5"/>
        <v>18.992658872922394</v>
      </c>
      <c r="D21" s="12">
        <f t="shared" si="1"/>
        <v>100.00815106865387</v>
      </c>
      <c r="E21" s="12">
        <f t="shared" si="2"/>
        <v>159.79864633361373</v>
      </c>
      <c r="F21" s="12">
        <f t="shared" si="3"/>
        <v>48.583190334143893</v>
      </c>
      <c r="G21" s="12">
        <f t="shared" si="4"/>
        <v>25.846671675328992</v>
      </c>
      <c r="H21" s="12"/>
      <c r="I21" s="12">
        <f t="shared" si="11"/>
        <v>5.1642339788698894</v>
      </c>
      <c r="J21" s="12">
        <f t="shared" si="12"/>
        <v>1.1056341846431126</v>
      </c>
      <c r="K21" s="12">
        <f t="shared" si="13"/>
        <v>1.6138987993010976</v>
      </c>
      <c r="L21" s="10"/>
      <c r="M21" s="22">
        <v>13312</v>
      </c>
      <c r="N21" s="12">
        <f t="shared" si="6"/>
        <v>158140.47483950105</v>
      </c>
      <c r="O21" s="12">
        <f t="shared" si="7"/>
        <v>142994.13046435945</v>
      </c>
      <c r="P21" s="12">
        <f t="shared" si="8"/>
        <v>15146.344375141605</v>
      </c>
      <c r="Q21" s="12">
        <f t="shared" si="9"/>
        <v>29363.131000909227</v>
      </c>
      <c r="R21" s="12">
        <f t="shared" si="14"/>
        <v>1679.188298548753</v>
      </c>
      <c r="S21" s="12"/>
    </row>
    <row r="22" spans="1:19" x14ac:dyDescent="0.2">
      <c r="A22" s="12">
        <f t="shared" si="10"/>
        <v>35</v>
      </c>
      <c r="B22" s="13">
        <f t="shared" si="0"/>
        <v>7.9879131350294785E-2</v>
      </c>
      <c r="C22" s="13">
        <f t="shared" si="5"/>
        <v>21.790702234308469</v>
      </c>
      <c r="D22" s="12">
        <f t="shared" si="1"/>
        <v>98.645667937076951</v>
      </c>
      <c r="E22" s="12">
        <f t="shared" si="2"/>
        <v>158.43603203171858</v>
      </c>
      <c r="F22" s="12">
        <f t="shared" si="3"/>
        <v>49.241285338674729</v>
      </c>
      <c r="G22" s="12">
        <f t="shared" si="4"/>
        <v>30.142283548282933</v>
      </c>
      <c r="H22" s="12"/>
      <c r="I22" s="12">
        <f t="shared" si="11"/>
        <v>6.9444997888349516</v>
      </c>
      <c r="J22" s="12">
        <f t="shared" si="12"/>
        <v>1.2853519147947747</v>
      </c>
      <c r="K22" s="12">
        <f t="shared" si="13"/>
        <v>1.5571366995019809</v>
      </c>
      <c r="L22" s="10"/>
      <c r="M22" s="22">
        <v>13824</v>
      </c>
      <c r="N22" s="12">
        <f t="shared" si="6"/>
        <v>192594.94262771201</v>
      </c>
      <c r="O22" s="12">
        <f t="shared" si="7"/>
        <v>164036.12754172771</v>
      </c>
      <c r="P22" s="12">
        <f t="shared" si="8"/>
        <v>28558.815085984301</v>
      </c>
      <c r="Q22" s="12">
        <f t="shared" si="9"/>
        <v>27198.565985999059</v>
      </c>
      <c r="R22" s="12">
        <f t="shared" si="14"/>
        <v>2012.8872091338301</v>
      </c>
      <c r="S22" s="12"/>
    </row>
    <row r="23" spans="1:19" x14ac:dyDescent="0.2">
      <c r="A23" s="12">
        <f t="shared" si="10"/>
        <v>40</v>
      </c>
      <c r="B23" s="13">
        <f t="shared" si="0"/>
        <v>0.10310822874428523</v>
      </c>
      <c r="C23" s="13">
        <f t="shared" si="5"/>
        <v>24.474084814600868</v>
      </c>
      <c r="D23" s="12">
        <f t="shared" si="1"/>
        <v>97.224380179132865</v>
      </c>
      <c r="E23" s="12">
        <f t="shared" si="2"/>
        <v>156.9966860998374</v>
      </c>
      <c r="F23" s="12">
        <f t="shared" si="3"/>
        <v>49.987809233674014</v>
      </c>
      <c r="G23" s="12">
        <f t="shared" si="4"/>
        <v>34.467519685338118</v>
      </c>
      <c r="H23" s="12"/>
      <c r="I23" s="12">
        <f t="shared" si="11"/>
        <v>8.9639817138446141</v>
      </c>
      <c r="J23" s="12">
        <f t="shared" si="12"/>
        <v>1.4580659498569761</v>
      </c>
      <c r="K23" s="12">
        <f t="shared" si="13"/>
        <v>1.4964542579492308</v>
      </c>
      <c r="L23" s="10"/>
      <c r="M23" s="22">
        <v>14336</v>
      </c>
      <c r="N23" s="12">
        <f t="shared" si="6"/>
        <v>228842.482650444</v>
      </c>
      <c r="O23" s="12">
        <f t="shared" si="7"/>
        <v>183829.71064078153</v>
      </c>
      <c r="P23" s="12">
        <f t="shared" si="8"/>
        <v>45012.772009662469</v>
      </c>
      <c r="Q23" s="12">
        <f t="shared" si="9"/>
        <v>25571.853355639447</v>
      </c>
      <c r="R23" s="12">
        <f t="shared" si="14"/>
        <v>2369.5254586780043</v>
      </c>
      <c r="S23" s="12"/>
    </row>
    <row r="24" spans="1:19" x14ac:dyDescent="0.2">
      <c r="A24" s="12">
        <f t="shared" si="10"/>
        <v>45</v>
      </c>
      <c r="B24" s="13">
        <f t="shared" si="0"/>
        <v>0.12897025703566645</v>
      </c>
      <c r="C24" s="13">
        <f t="shared" si="5"/>
        <v>27.035637655046404</v>
      </c>
      <c r="D24" s="12">
        <f t="shared" si="1"/>
        <v>95.754789261333173</v>
      </c>
      <c r="E24" s="12">
        <f t="shared" si="2"/>
        <v>155.48958908289873</v>
      </c>
      <c r="F24" s="12">
        <f t="shared" si="3"/>
        <v>50.818948806822405</v>
      </c>
      <c r="G24" s="12">
        <f t="shared" si="4"/>
        <v>38.829068340686831</v>
      </c>
      <c r="H24" s="12"/>
      <c r="I24" s="12">
        <f t="shared" si="11"/>
        <v>11.212364326078388</v>
      </c>
      <c r="J24" s="12">
        <f t="shared" si="12"/>
        <v>1.6233322460327848</v>
      </c>
      <c r="K24" s="12">
        <f t="shared" si="13"/>
        <v>1.4319244670458882</v>
      </c>
      <c r="L24" s="10"/>
      <c r="M24" s="22">
        <v>14848</v>
      </c>
      <c r="N24" s="12">
        <f t="shared" si="6"/>
        <v>266636.27280912967</v>
      </c>
      <c r="O24" s="12">
        <f t="shared" si="7"/>
        <v>202224.23864244492</v>
      </c>
      <c r="P24" s="12">
        <f t="shared" si="8"/>
        <v>64412.034166684753</v>
      </c>
      <c r="Q24" s="12">
        <f t="shared" si="9"/>
        <v>24301.742837303038</v>
      </c>
      <c r="R24" s="12">
        <f t="shared" si="14"/>
        <v>2734.0332564762698</v>
      </c>
      <c r="S24" s="12"/>
    </row>
    <row r="25" spans="1:19" x14ac:dyDescent="0.2">
      <c r="A25" s="12">
        <f t="shared" si="10"/>
        <v>50</v>
      </c>
      <c r="B25" s="13">
        <f t="shared" si="0"/>
        <v>0.15733906179460536</v>
      </c>
      <c r="C25" s="13">
        <f t="shared" si="5"/>
        <v>29.467494577019842</v>
      </c>
      <c r="D25" s="12">
        <f t="shared" si="1"/>
        <v>94.247494608545978</v>
      </c>
      <c r="E25" s="12">
        <f t="shared" si="2"/>
        <v>153.92439390336494</v>
      </c>
      <c r="F25" s="12">
        <f t="shared" si="3"/>
        <v>51.730649776770392</v>
      </c>
      <c r="G25" s="12">
        <f t="shared" si="4"/>
        <v>43.233474657847609</v>
      </c>
      <c r="H25" s="12"/>
      <c r="I25" s="12">
        <f t="shared" si="11"/>
        <v>13.678680062462821</v>
      </c>
      <c r="J25" s="12">
        <f t="shared" si="12"/>
        <v>1.7806799616695601</v>
      </c>
      <c r="K25" s="12">
        <f t="shared" si="13"/>
        <v>1.3633151408826565</v>
      </c>
      <c r="L25" s="10"/>
      <c r="M25" s="22">
        <v>15156</v>
      </c>
      <c r="N25" s="12">
        <f t="shared" si="6"/>
        <v>299696.20684612263</v>
      </c>
      <c r="O25" s="12">
        <f t="shared" si="7"/>
        <v>219079.71808170548</v>
      </c>
      <c r="P25" s="12">
        <f t="shared" si="8"/>
        <v>80616.488764417154</v>
      </c>
      <c r="Q25" s="12">
        <f t="shared" si="9"/>
        <v>23279.646569609129</v>
      </c>
      <c r="R25" s="12">
        <f t="shared" si="14"/>
        <v>3083.3057231032712</v>
      </c>
      <c r="S25" s="12"/>
    </row>
    <row r="26" spans="1:19" x14ac:dyDescent="0.2">
      <c r="A26" s="12">
        <f t="shared" si="10"/>
        <v>55</v>
      </c>
      <c r="B26" s="13">
        <f t="shared" si="0"/>
        <v>0.18808002717893793</v>
      </c>
      <c r="C26" s="13">
        <f t="shared" si="5"/>
        <v>31.760581104195975</v>
      </c>
      <c r="D26" s="12">
        <f t="shared" si="1"/>
        <v>92.713154809158425</v>
      </c>
      <c r="E26" s="12">
        <f t="shared" si="2"/>
        <v>152.31140924639851</v>
      </c>
      <c r="F26" s="12">
        <f t="shared" si="3"/>
        <v>52.718585933974985</v>
      </c>
      <c r="G26" s="12">
        <f t="shared" si="4"/>
        <v>47.687071015664657</v>
      </c>
      <c r="H26" s="12"/>
      <c r="I26" s="12">
        <f t="shared" si="11"/>
        <v>16.351225745062965</v>
      </c>
      <c r="J26" s="12">
        <f t="shared" si="12"/>
        <v>1.9295779828373045</v>
      </c>
      <c r="K26" s="12">
        <f t="shared" si="13"/>
        <v>1.29010405955972</v>
      </c>
      <c r="L26" s="10"/>
      <c r="M26" s="22">
        <v>15565</v>
      </c>
      <c r="N26" s="12">
        <f t="shared" si="6"/>
        <v>336007.89173373097</v>
      </c>
      <c r="O26" s="12">
        <f t="shared" si="7"/>
        <v>234267.86858241374</v>
      </c>
      <c r="P26" s="12">
        <f t="shared" si="8"/>
        <v>101740.02315131723</v>
      </c>
      <c r="Q26" s="12">
        <f t="shared" si="9"/>
        <v>22437.039782038115</v>
      </c>
      <c r="R26" s="12">
        <f t="shared" si="14"/>
        <v>3420.9698297982936</v>
      </c>
      <c r="S26" s="12"/>
    </row>
    <row r="27" spans="1:19" x14ac:dyDescent="0.2">
      <c r="A27" s="12">
        <f t="shared" si="10"/>
        <v>60</v>
      </c>
      <c r="B27" s="13">
        <f t="shared" si="0"/>
        <v>0.22104862900966674</v>
      </c>
      <c r="C27" s="13">
        <f t="shared" si="5"/>
        <v>33.904158728511774</v>
      </c>
      <c r="D27" s="12">
        <f t="shared" si="1"/>
        <v>91.162460569017483</v>
      </c>
      <c r="E27" s="12">
        <f t="shared" si="2"/>
        <v>150.66157653175509</v>
      </c>
      <c r="F27" s="12">
        <f t="shared" si="3"/>
        <v>53.778112640239669</v>
      </c>
      <c r="G27" s="12">
        <f t="shared" si="4"/>
        <v>52.195903481788378</v>
      </c>
      <c r="H27" s="12"/>
      <c r="I27" s="12">
        <f t="shared" si="11"/>
        <v>19.217436788942013</v>
      </c>
      <c r="J27" s="12">
        <f t="shared" si="12"/>
        <v>2.0694043736806726</v>
      </c>
      <c r="K27" s="12">
        <f t="shared" si="13"/>
        <v>1.211504310439359</v>
      </c>
      <c r="L27" s="10"/>
      <c r="M27" s="22">
        <v>15872</v>
      </c>
      <c r="N27" s="12">
        <f t="shared" si="6"/>
        <v>369094.23358207062</v>
      </c>
      <c r="O27" s="12">
        <f t="shared" si="7"/>
        <v>247673.09914840321</v>
      </c>
      <c r="P27" s="12">
        <f t="shared" si="8"/>
        <v>121421.13443366741</v>
      </c>
      <c r="Q27" s="12">
        <f t="shared" si="9"/>
        <v>21729.065121611089</v>
      </c>
      <c r="R27" s="12">
        <f t="shared" si="14"/>
        <v>3754.3781911010678</v>
      </c>
      <c r="S27" s="12"/>
    </row>
    <row r="28" spans="1:19" x14ac:dyDescent="0.2">
      <c r="A28" s="12">
        <f t="shared" si="10"/>
        <v>65</v>
      </c>
      <c r="B28" s="13">
        <f t="shared" si="0"/>
        <v>0.25608856567531252</v>
      </c>
      <c r="C28" s="13">
        <f t="shared" si="5"/>
        <v>35.885442560583719</v>
      </c>
      <c r="D28" s="12">
        <f t="shared" si="1"/>
        <v>89.606116330096043</v>
      </c>
      <c r="E28" s="12">
        <f t="shared" si="2"/>
        <v>148.98643899418343</v>
      </c>
      <c r="F28" s="12">
        <f t="shared" si="3"/>
        <v>54.904206760751364</v>
      </c>
      <c r="G28" s="12">
        <f t="shared" si="4"/>
        <v>56.765653363378647</v>
      </c>
      <c r="H28" s="12"/>
      <c r="I28" s="12">
        <f t="shared" si="11"/>
        <v>22.263724707475681</v>
      </c>
      <c r="J28" s="12">
        <f t="shared" si="12"/>
        <v>2.1994198771813083</v>
      </c>
      <c r="K28" s="12">
        <f t="shared" si="13"/>
        <v>1.1264993823047991</v>
      </c>
      <c r="L28" s="10"/>
      <c r="M28" s="22">
        <v>15975</v>
      </c>
      <c r="N28" s="12">
        <f t="shared" si="6"/>
        <v>394359.48247527878</v>
      </c>
      <c r="O28" s="12">
        <f t="shared" si="7"/>
        <v>259193.38788076729</v>
      </c>
      <c r="P28" s="12">
        <f t="shared" si="8"/>
        <v>135166.09459451149</v>
      </c>
      <c r="Q28" s="12">
        <f t="shared" si="9"/>
        <v>21125.665345521156</v>
      </c>
      <c r="R28" s="12">
        <f t="shared" si="14"/>
        <v>4042.297139230905</v>
      </c>
      <c r="S28" s="12"/>
    </row>
    <row r="29" spans="1:19" x14ac:dyDescent="0.2">
      <c r="A29" s="12">
        <f t="shared" si="10"/>
        <v>70</v>
      </c>
      <c r="B29" s="13">
        <f t="shared" si="0"/>
        <v>0.29302955021880001</v>
      </c>
      <c r="C29" s="13">
        <f t="shared" si="5"/>
        <v>37.68931207228696</v>
      </c>
      <c r="D29" s="12">
        <f t="shared" si="1"/>
        <v>88.054827236910228</v>
      </c>
      <c r="E29" s="12">
        <f t="shared" si="2"/>
        <v>147.29810122701275</v>
      </c>
      <c r="F29" s="12">
        <f t="shared" si="3"/>
        <v>56.091395707388919</v>
      </c>
      <c r="G29" s="12">
        <f t="shared" si="4"/>
        <v>61.401553216830393</v>
      </c>
      <c r="H29" s="12"/>
      <c r="I29" s="12">
        <f t="shared" si="11"/>
        <v>25.475285161690074</v>
      </c>
      <c r="J29" s="12">
        <f t="shared" si="12"/>
        <v>2.3187466479427914</v>
      </c>
      <c r="K29" s="12">
        <f t="shared" si="13"/>
        <v>1.0338884974173863</v>
      </c>
      <c r="L29" s="10"/>
      <c r="M29" s="22">
        <v>16077</v>
      </c>
      <c r="N29" s="12">
        <f t="shared" si="6"/>
        <v>418027.23591856362</v>
      </c>
      <c r="O29" s="12">
        <f t="shared" si="7"/>
        <v>268741.05842611211</v>
      </c>
      <c r="P29" s="12">
        <f t="shared" si="8"/>
        <v>149286.1774924515</v>
      </c>
      <c r="Q29" s="12">
        <f t="shared" si="9"/>
        <v>20606.502214848726</v>
      </c>
      <c r="R29" s="12">
        <f t="shared" si="14"/>
        <v>4289.0389866033211</v>
      </c>
      <c r="S29" s="12"/>
    </row>
    <row r="30" spans="1:19" x14ac:dyDescent="0.2">
      <c r="A30" s="12">
        <f t="shared" si="10"/>
        <v>75</v>
      </c>
      <c r="B30" s="13">
        <f t="shared" si="0"/>
        <v>0.33168486808969694</v>
      </c>
      <c r="C30" s="13">
        <f t="shared" si="5"/>
        <v>39.298137463866006</v>
      </c>
      <c r="D30" s="12">
        <f t="shared" si="1"/>
        <v>86.519288017067382</v>
      </c>
      <c r="E30" s="12">
        <f t="shared" si="2"/>
        <v>145.60917740922832</v>
      </c>
      <c r="F30" s="12">
        <f t="shared" si="3"/>
        <v>57.333678951114223</v>
      </c>
      <c r="G30" s="12">
        <f t="shared" si="4"/>
        <v>66.10829724071283</v>
      </c>
      <c r="H30" s="12"/>
      <c r="I30" s="12">
        <f t="shared" si="11"/>
        <v>28.835885637108252</v>
      </c>
      <c r="J30" s="12">
        <f t="shared" si="12"/>
        <v>2.4263535432519241</v>
      </c>
      <c r="K30" s="12">
        <f t="shared" si="13"/>
        <v>0.93234343469571346</v>
      </c>
      <c r="L30" s="10"/>
      <c r="M30" s="22">
        <v>16180</v>
      </c>
      <c r="N30" s="12">
        <f t="shared" si="6"/>
        <v>439919.07002550166</v>
      </c>
      <c r="O30" s="12">
        <f t="shared" si="7"/>
        <v>276243.44724654651</v>
      </c>
      <c r="P30" s="12">
        <f t="shared" si="8"/>
        <v>163675.62277895515</v>
      </c>
      <c r="Q30" s="12">
        <f t="shared" si="9"/>
        <v>20157.908046272743</v>
      </c>
      <c r="R30" s="12">
        <f t="shared" si="14"/>
        <v>4516.7870639818402</v>
      </c>
      <c r="S30" s="12"/>
    </row>
    <row r="31" spans="1:19" x14ac:dyDescent="0.2">
      <c r="A31" s="12">
        <f t="shared" si="10"/>
        <v>80</v>
      </c>
      <c r="B31" s="13">
        <f t="shared" si="0"/>
        <v>0.37184882929083951</v>
      </c>
      <c r="C31" s="13">
        <f t="shared" si="5"/>
        <v>40.691747425866645</v>
      </c>
      <c r="D31" s="12">
        <f t="shared" si="1"/>
        <v>85.01017031257355</v>
      </c>
      <c r="E31" s="12">
        <f t="shared" si="2"/>
        <v>143.93272635986685</v>
      </c>
      <c r="F31" s="12">
        <f t="shared" si="3"/>
        <v>58.624446140468471</v>
      </c>
      <c r="G31" s="12">
        <f t="shared" si="4"/>
        <v>70.889946725573253</v>
      </c>
      <c r="H31" s="12"/>
      <c r="I31" s="12">
        <f t="shared" si="11"/>
        <v>32.327643939498458</v>
      </c>
      <c r="J31" s="12">
        <f t="shared" si="12"/>
        <v>2.5210494943257284</v>
      </c>
      <c r="K31" s="12">
        <f t="shared" si="13"/>
        <v>0.82047853924501069</v>
      </c>
      <c r="L31" s="10"/>
      <c r="M31" s="22">
        <v>16385</v>
      </c>
      <c r="N31" s="12">
        <f t="shared" si="6"/>
        <v>463861.5056064243</v>
      </c>
      <c r="O31" s="12">
        <f t="shared" si="7"/>
        <v>281643.45663308079</v>
      </c>
      <c r="P31" s="12">
        <f t="shared" si="8"/>
        <v>182218.04897334351</v>
      </c>
      <c r="Q31" s="12">
        <f t="shared" si="9"/>
        <v>19770.992486011357</v>
      </c>
      <c r="R31" s="12">
        <f t="shared" si="14"/>
        <v>4737.8795465557114</v>
      </c>
      <c r="S31" s="12"/>
    </row>
    <row r="32" spans="1:19" x14ac:dyDescent="0.2">
      <c r="A32" s="12">
        <f t="shared" si="10"/>
        <v>85</v>
      </c>
      <c r="B32" s="13">
        <f t="shared" si="0"/>
        <v>0.41329427093238419</v>
      </c>
      <c r="C32" s="13">
        <f t="shared" si="5"/>
        <v>41.847566685911652</v>
      </c>
      <c r="D32" s="12">
        <f t="shared" si="1"/>
        <v>83.538105044499829</v>
      </c>
      <c r="E32" s="12">
        <f t="shared" si="2"/>
        <v>142.28217157633728</v>
      </c>
      <c r="F32" s="12">
        <f t="shared" si="3"/>
        <v>59.956396840034436</v>
      </c>
      <c r="G32" s="12">
        <f t="shared" si="4"/>
        <v>75.749832157065498</v>
      </c>
      <c r="H32" s="12"/>
      <c r="I32" s="12">
        <f t="shared" si="11"/>
        <v>35.930811072922928</v>
      </c>
      <c r="J32" s="12">
        <f t="shared" si="12"/>
        <v>2.6014866703324677</v>
      </c>
      <c r="K32" s="12">
        <f t="shared" si="13"/>
        <v>0.69693557034520282</v>
      </c>
      <c r="L32" s="10"/>
      <c r="M32" s="22">
        <v>16692</v>
      </c>
      <c r="N32" s="12">
        <f t="shared" si="6"/>
        <v>489884.35465195624</v>
      </c>
      <c r="O32" s="12">
        <f t="shared" si="7"/>
        <v>284899.98925366852</v>
      </c>
      <c r="P32" s="12">
        <f t="shared" si="8"/>
        <v>204984.36539828771</v>
      </c>
      <c r="Q32" s="12">
        <f t="shared" si="9"/>
        <v>19440.442590819348</v>
      </c>
      <c r="R32" s="12">
        <f t="shared" si="14"/>
        <v>4965.9149696783834</v>
      </c>
      <c r="S32" s="12"/>
    </row>
    <row r="33" spans="1:19" x14ac:dyDescent="0.2">
      <c r="A33" s="12">
        <f t="shared" si="10"/>
        <v>90</v>
      </c>
      <c r="B33" s="13">
        <f t="shared" si="0"/>
        <v>0.45577029527683466</v>
      </c>
      <c r="C33" s="13">
        <f t="shared" si="5"/>
        <v>42.740952434349438</v>
      </c>
      <c r="D33" s="12">
        <f t="shared" si="1"/>
        <v>82.113656523430294</v>
      </c>
      <c r="E33" s="12">
        <f t="shared" si="2"/>
        <v>140.67120455182859</v>
      </c>
      <c r="F33" s="12">
        <f t="shared" si="3"/>
        <v>61.321467836977568</v>
      </c>
      <c r="G33" s="12">
        <f t="shared" si="4"/>
        <v>80.690454632939094</v>
      </c>
      <c r="H33" s="12"/>
      <c r="I33" s="12">
        <f t="shared" si="11"/>
        <v>39.623574590806328</v>
      </c>
      <c r="J33" s="12">
        <f t="shared" si="12"/>
        <v>2.6661752599118143</v>
      </c>
      <c r="K33" s="12">
        <f t="shared" si="13"/>
        <v>0.56048435948983788</v>
      </c>
      <c r="L33" s="10"/>
      <c r="M33" s="22">
        <v>16897</v>
      </c>
      <c r="N33" s="12">
        <f t="shared" si="6"/>
        <v>509104.58082650998</v>
      </c>
      <c r="O33" s="12">
        <f t="shared" si="7"/>
        <v>285988.26092871896</v>
      </c>
      <c r="P33" s="12">
        <f t="shared" si="8"/>
        <v>223116.31989779102</v>
      </c>
      <c r="Q33" s="12">
        <f t="shared" si="9"/>
        <v>19163.764650390593</v>
      </c>
      <c r="R33" s="12">
        <f t="shared" si="14"/>
        <v>5168.176408424396</v>
      </c>
      <c r="S33" s="12"/>
    </row>
    <row r="34" spans="1:19" x14ac:dyDescent="0.2">
      <c r="A34" s="12">
        <f t="shared" si="10"/>
        <v>95</v>
      </c>
      <c r="B34" s="13">
        <f t="shared" si="0"/>
        <v>0.49900045655385589</v>
      </c>
      <c r="C34" s="13">
        <f t="shared" si="5"/>
        <v>43.345756015763421</v>
      </c>
      <c r="D34" s="12">
        <f t="shared" si="1"/>
        <v>80.747285258034992</v>
      </c>
      <c r="E34" s="12">
        <f t="shared" si="2"/>
        <v>139.11366997065034</v>
      </c>
      <c r="F34" s="12">
        <f t="shared" si="3"/>
        <v>62.710774869902501</v>
      </c>
      <c r="G34" s="12">
        <f t="shared" si="4"/>
        <v>85.713390400468739</v>
      </c>
      <c r="H34" s="12"/>
      <c r="I34" s="12">
        <f t="shared" si="11"/>
        <v>43.381900961971439</v>
      </c>
      <c r="J34" s="12">
        <f t="shared" si="12"/>
        <v>2.7135116399812103</v>
      </c>
      <c r="K34" s="12">
        <f t="shared" si="13"/>
        <v>0.41013880247334583</v>
      </c>
      <c r="L34" s="10"/>
      <c r="M34" s="22">
        <v>17204</v>
      </c>
      <c r="N34" s="12">
        <f t="shared" si="6"/>
        <v>529615.78530300385</v>
      </c>
      <c r="O34" s="12">
        <f t="shared" si="7"/>
        <v>284899.98925366852</v>
      </c>
      <c r="P34" s="12">
        <f t="shared" si="8"/>
        <v>244715.79604933533</v>
      </c>
      <c r="Q34" s="12">
        <f t="shared" si="9"/>
        <v>18940.82987380094</v>
      </c>
      <c r="R34" s="12">
        <f t="shared" si="14"/>
        <v>5340.1119826292279</v>
      </c>
      <c r="S34" s="12"/>
    </row>
    <row r="35" spans="1:19" x14ac:dyDescent="0.2">
      <c r="A35" s="12">
        <f t="shared" si="10"/>
        <v>100</v>
      </c>
      <c r="B35" s="13">
        <f t="shared" si="0"/>
        <v>0.54268163294238358</v>
      </c>
      <c r="C35" s="13">
        <f t="shared" si="5"/>
        <v>43.635128617865981</v>
      </c>
      <c r="D35" s="12">
        <f t="shared" si="1"/>
        <v>79.449296804805186</v>
      </c>
      <c r="E35" s="12">
        <f t="shared" si="2"/>
        <v>137.62343188703787</v>
      </c>
      <c r="F35" s="12">
        <f t="shared" si="3"/>
        <v>64.114576377237469</v>
      </c>
      <c r="G35" s="12">
        <f t="shared" si="4"/>
        <v>90.819203454573881</v>
      </c>
      <c r="H35" s="12"/>
      <c r="I35" s="12">
        <f t="shared" si="11"/>
        <v>47.179437503473572</v>
      </c>
      <c r="J35" s="12">
        <f t="shared" si="12"/>
        <v>2.7418213829645399</v>
      </c>
      <c r="K35" s="12">
        <f t="shared" si="13"/>
        <v>0.24528542462455319</v>
      </c>
      <c r="L35" s="10"/>
      <c r="M35" s="22">
        <v>17409</v>
      </c>
      <c r="N35" s="12">
        <f t="shared" si="6"/>
        <v>542096.65687119623</v>
      </c>
      <c r="O35" s="12">
        <f t="shared" si="7"/>
        <v>281643.45663308079</v>
      </c>
      <c r="P35" s="12">
        <f t="shared" si="8"/>
        <v>260453.20023811545</v>
      </c>
      <c r="Q35" s="12">
        <f t="shared" si="9"/>
        <v>18773.652784305159</v>
      </c>
      <c r="R35" s="12">
        <f t="shared" si="14"/>
        <v>5476.8388462922221</v>
      </c>
      <c r="S35" s="12"/>
    </row>
    <row r="36" spans="1:19" x14ac:dyDescent="0.2">
      <c r="A36" s="12">
        <f t="shared" si="10"/>
        <v>105</v>
      </c>
      <c r="B36" s="13">
        <f t="shared" si="0"/>
        <v>0.58648383250402503</v>
      </c>
      <c r="C36" s="13">
        <f t="shared" si="5"/>
        <v>43.582575782987107</v>
      </c>
      <c r="D36" s="12">
        <f t="shared" si="1"/>
        <v>78.229774591902</v>
      </c>
      <c r="E36" s="12">
        <f t="shared" si="2"/>
        <v>136.2142207325993</v>
      </c>
      <c r="F36" s="12">
        <f t="shared" si="3"/>
        <v>65.522267260429174</v>
      </c>
      <c r="G36" s="12">
        <f t="shared" si="4"/>
        <v>96.0073721248624</v>
      </c>
      <c r="H36" s="12"/>
      <c r="I36" s="12">
        <f t="shared" si="11"/>
        <v>50.987495508916595</v>
      </c>
      <c r="J36" s="12">
        <f t="shared" si="12"/>
        <v>2.7494178799298625</v>
      </c>
      <c r="K36" s="12">
        <f t="shared" si="13"/>
        <v>6.5818682454853256E-2</v>
      </c>
      <c r="L36" s="10"/>
      <c r="M36" s="22">
        <v>17716</v>
      </c>
      <c r="N36" s="12">
        <f t="shared" si="6"/>
        <v>554823.62274773908</v>
      </c>
      <c r="O36" s="12">
        <f t="shared" si="7"/>
        <v>276243.44724654651</v>
      </c>
      <c r="P36" s="12">
        <f t="shared" si="8"/>
        <v>278580.17550119257</v>
      </c>
      <c r="Q36" s="12">
        <f t="shared" si="9"/>
        <v>18666.375781024308</v>
      </c>
      <c r="R36" s="12">
        <f t="shared" si="14"/>
        <v>5573.2515600494235</v>
      </c>
      <c r="S36" s="12"/>
    </row>
    <row r="37" spans="1:19" x14ac:dyDescent="0.2">
      <c r="A37" s="12">
        <f t="shared" si="10"/>
        <v>110</v>
      </c>
      <c r="B37" s="13">
        <f t="shared" si="0"/>
        <v>0.63005117682681933</v>
      </c>
      <c r="C37" s="13">
        <f t="shared" si="5"/>
        <v>43.163244749928026</v>
      </c>
      <c r="D37" s="12">
        <f t="shared" si="1"/>
        <v>77.098495485193737</v>
      </c>
      <c r="E37" s="12">
        <f t="shared" si="2"/>
        <v>134.89946198372982</v>
      </c>
      <c r="F37" s="12">
        <f t="shared" si="3"/>
        <v>66.922410495742383</v>
      </c>
      <c r="G37" s="12">
        <f t="shared" si="4"/>
        <v>101.27623625346735</v>
      </c>
      <c r="H37" s="12"/>
      <c r="I37" s="12">
        <f t="shared" si="11"/>
        <v>54.775135764078541</v>
      </c>
      <c r="J37" s="12">
        <f t="shared" si="12"/>
        <v>2.7346762642269251</v>
      </c>
      <c r="K37" s="12">
        <f t="shared" si="13"/>
        <v>-0.12772646750895014</v>
      </c>
      <c r="L37" s="10"/>
      <c r="M37" s="22">
        <v>17409</v>
      </c>
      <c r="N37" s="12">
        <f t="shared" si="6"/>
        <v>536234.25482625596</v>
      </c>
      <c r="O37" s="12">
        <f t="shared" si="7"/>
        <v>268741.05842611211</v>
      </c>
      <c r="P37" s="12">
        <f t="shared" si="8"/>
        <v>267493.19640014385</v>
      </c>
      <c r="Q37" s="12">
        <f t="shared" si="9"/>
        <v>18625.470260844879</v>
      </c>
      <c r="R37" s="12">
        <f t="shared" si="14"/>
        <v>5543.3693317734733</v>
      </c>
      <c r="S37" s="12"/>
    </row>
    <row r="38" spans="1:19" x14ac:dyDescent="0.2">
      <c r="A38" s="12">
        <f t="shared" si="10"/>
        <v>115</v>
      </c>
      <c r="B38" s="13">
        <f t="shared" si="0"/>
        <v>0.67300427688861986</v>
      </c>
      <c r="C38" s="13">
        <f t="shared" si="5"/>
        <v>42.355401384762779</v>
      </c>
      <c r="D38" s="12">
        <f t="shared" si="1"/>
        <v>76.064827974515865</v>
      </c>
      <c r="E38" s="12">
        <f t="shared" si="2"/>
        <v>133.69208854032505</v>
      </c>
      <c r="F38" s="12">
        <f t="shared" si="3"/>
        <v>68.302813488444329</v>
      </c>
      <c r="G38" s="12">
        <f t="shared" si="4"/>
        <v>106.62297173549143</v>
      </c>
      <c r="H38" s="12"/>
      <c r="I38" s="12">
        <f t="shared" si="11"/>
        <v>58.50937509876654</v>
      </c>
      <c r="J38" s="12">
        <f t="shared" si="12"/>
        <v>2.6961207996447349</v>
      </c>
      <c r="K38" s="12">
        <f t="shared" si="13"/>
        <v>-0.33405790745639385</v>
      </c>
      <c r="L38" s="10"/>
      <c r="M38" s="22">
        <v>17204</v>
      </c>
      <c r="N38" s="12">
        <f t="shared" si="6"/>
        <v>517515.23627958557</v>
      </c>
      <c r="O38" s="12">
        <f t="shared" si="7"/>
        <v>259193.38788076732</v>
      </c>
      <c r="P38" s="12">
        <f t="shared" si="8"/>
        <v>258321.84839881826</v>
      </c>
      <c r="Q38" s="12">
        <f t="shared" si="9"/>
        <v>18660.205102175478</v>
      </c>
      <c r="R38" s="12">
        <f t="shared" si="14"/>
        <v>5385.5510871481538</v>
      </c>
      <c r="S38" s="12"/>
    </row>
    <row r="39" spans="1:19" x14ac:dyDescent="0.2">
      <c r="A39" s="12">
        <f t="shared" si="10"/>
        <v>120</v>
      </c>
      <c r="B39" s="13">
        <f t="shared" si="0"/>
        <v>0.71494415661957844</v>
      </c>
      <c r="C39" s="13">
        <f t="shared" si="5"/>
        <v>41.142021874892464</v>
      </c>
      <c r="D39" s="12">
        <f t="shared" si="1"/>
        <v>75.137614239568876</v>
      </c>
      <c r="E39" s="12">
        <f t="shared" si="2"/>
        <v>132.60434027265816</v>
      </c>
      <c r="F39" s="12">
        <f t="shared" si="3"/>
        <v>69.650654166087563</v>
      </c>
      <c r="G39" s="12">
        <f t="shared" si="4"/>
        <v>112.04359867818766</v>
      </c>
      <c r="H39" s="12"/>
      <c r="I39" s="12">
        <f t="shared" si="11"/>
        <v>62.155527491913844</v>
      </c>
      <c r="J39" s="12">
        <f t="shared" si="12"/>
        <v>2.6325220278523531</v>
      </c>
      <c r="K39" s="12">
        <f t="shared" si="13"/>
        <v>-0.55104180048121532</v>
      </c>
      <c r="L39" s="10"/>
      <c r="M39" s="22">
        <v>16897</v>
      </c>
      <c r="N39" s="12">
        <f t="shared" si="6"/>
        <v>490059.07936059416</v>
      </c>
      <c r="O39" s="12">
        <f t="shared" si="7"/>
        <v>247673.09914840324</v>
      </c>
      <c r="P39" s="12">
        <f t="shared" si="8"/>
        <v>242385.98021219092</v>
      </c>
      <c r="Q39" s="12">
        <f t="shared" si="9"/>
        <v>18783.490168709337</v>
      </c>
      <c r="R39" s="12">
        <f t="shared" si="14"/>
        <v>5180.7267816131753</v>
      </c>
      <c r="S39" s="12"/>
    </row>
    <row r="40" spans="1:19" x14ac:dyDescent="0.2">
      <c r="A40" s="12">
        <f t="shared" si="10"/>
        <v>125</v>
      </c>
      <c r="B40" s="13">
        <f t="shared" si="0"/>
        <v>0.75545778832328736</v>
      </c>
      <c r="C40" s="13">
        <f t="shared" si="5"/>
        <v>39.512392428076026</v>
      </c>
      <c r="D40" s="12">
        <f t="shared" si="1"/>
        <v>74.325038954401236</v>
      </c>
      <c r="E40" s="12">
        <f t="shared" si="2"/>
        <v>131.64755569359397</v>
      </c>
      <c r="F40" s="12">
        <f t="shared" si="3"/>
        <v>70.95265887281559</v>
      </c>
      <c r="G40" s="12">
        <f t="shared" si="4"/>
        <v>117.53302809974807</v>
      </c>
      <c r="H40" s="12"/>
      <c r="I40" s="12">
        <f t="shared" si="11"/>
        <v>65.677685307796324</v>
      </c>
      <c r="J40" s="12">
        <f t="shared" si="12"/>
        <v>2.5429979430671503</v>
      </c>
      <c r="K40" s="12">
        <f t="shared" si="13"/>
        <v>-0.77566769728688845</v>
      </c>
      <c r="L40" s="10"/>
      <c r="M40" s="22">
        <v>16077</v>
      </c>
      <c r="N40" s="12">
        <f t="shared" si="6"/>
        <v>438247.74937676248</v>
      </c>
      <c r="O40" s="12">
        <f t="shared" si="7"/>
        <v>234267.86858241371</v>
      </c>
      <c r="P40" s="12">
        <f t="shared" si="8"/>
        <v>203979.88079434878</v>
      </c>
      <c r="Q40" s="12">
        <f t="shared" si="9"/>
        <v>19013.29699636238</v>
      </c>
      <c r="R40" s="12">
        <f t="shared" si="14"/>
        <v>4839.1513258712039</v>
      </c>
      <c r="S40" s="12"/>
    </row>
    <row r="41" spans="1:19" x14ac:dyDescent="0.2">
      <c r="A41" s="12">
        <f t="shared" si="10"/>
        <v>130</v>
      </c>
      <c r="B41" s="13">
        <f t="shared" si="0"/>
        <v>0.79412518290304068</v>
      </c>
      <c r="C41" s="13">
        <f t="shared" si="5"/>
        <v>37.463583654668575</v>
      </c>
      <c r="D41" s="12">
        <f t="shared" si="1"/>
        <v>73.634489391548044</v>
      </c>
      <c r="E41" s="12">
        <f t="shared" si="2"/>
        <v>130.83196217426971</v>
      </c>
      <c r="F41" s="12">
        <f t="shared" si="3"/>
        <v>72.195330231136197</v>
      </c>
      <c r="G41" s="12">
        <f t="shared" si="4"/>
        <v>123.08514989521547</v>
      </c>
      <c r="H41" s="12"/>
      <c r="I41" s="12">
        <f t="shared" si="11"/>
        <v>69.039335703271036</v>
      </c>
      <c r="J41" s="12">
        <f t="shared" si="12"/>
        <v>2.4271115855327419</v>
      </c>
      <c r="K41" s="12">
        <f t="shared" si="13"/>
        <v>-1.004079564860709</v>
      </c>
      <c r="L41" s="10"/>
      <c r="M41" s="22">
        <v>15156</v>
      </c>
      <c r="N41" s="12">
        <f t="shared" si="6"/>
        <v>381019.63120144134</v>
      </c>
      <c r="O41" s="12">
        <f t="shared" si="7"/>
        <v>219079.71808170548</v>
      </c>
      <c r="P41" s="12">
        <f t="shared" si="8"/>
        <v>161939.91311973587</v>
      </c>
      <c r="Q41" s="12">
        <f t="shared" si="9"/>
        <v>19375.0327635826</v>
      </c>
      <c r="R41" s="12">
        <f t="shared" si="14"/>
        <v>4374.7677834109027</v>
      </c>
      <c r="S41" s="12"/>
    </row>
    <row r="42" spans="1:19" x14ac:dyDescent="0.2">
      <c r="A42" s="12">
        <f t="shared" si="10"/>
        <v>135</v>
      </c>
      <c r="B42" s="13">
        <f t="shared" si="0"/>
        <v>0.83052783544004338</v>
      </c>
      <c r="C42" s="13">
        <f t="shared" si="5"/>
        <v>35.001651782885801</v>
      </c>
      <c r="D42" s="12">
        <f t="shared" si="1"/>
        <v>73.07241301166691</v>
      </c>
      <c r="E42" s="12">
        <f t="shared" si="2"/>
        <v>130.16647237327666</v>
      </c>
      <c r="F42" s="12">
        <f t="shared" si="3"/>
        <v>73.365218561246664</v>
      </c>
      <c r="G42" s="12">
        <f t="shared" si="4"/>
        <v>128.69296184544481</v>
      </c>
      <c r="H42" s="12"/>
      <c r="I42" s="12">
        <f t="shared" si="11"/>
        <v>72.204094866057204</v>
      </c>
      <c r="J42" s="12">
        <f t="shared" si="12"/>
        <v>2.2849561155316138</v>
      </c>
      <c r="K42" s="12">
        <f t="shared" si="13"/>
        <v>-1.2316842594601516</v>
      </c>
      <c r="L42" s="10"/>
      <c r="M42" s="22">
        <v>14336</v>
      </c>
      <c r="N42" s="12">
        <f t="shared" si="6"/>
        <v>327279.44483069546</v>
      </c>
      <c r="O42" s="12">
        <f t="shared" si="7"/>
        <v>202224.23864244495</v>
      </c>
      <c r="P42" s="12">
        <f t="shared" si="8"/>
        <v>125055.20618825051</v>
      </c>
      <c r="Q42" s="12">
        <f t="shared" si="9"/>
        <v>19905.58840174133</v>
      </c>
      <c r="R42" s="12">
        <f t="shared" si="14"/>
        <v>3888.9615512037367</v>
      </c>
      <c r="S42" s="12"/>
    </row>
    <row r="43" spans="1:19" x14ac:dyDescent="0.2">
      <c r="A43" s="12">
        <f t="shared" si="10"/>
        <v>140</v>
      </c>
      <c r="B43" s="13">
        <f t="shared" si="0"/>
        <v>0.86425817837951546</v>
      </c>
      <c r="C43" s="13">
        <f t="shared" si="5"/>
        <v>32.142422540200371</v>
      </c>
      <c r="D43" s="12">
        <f t="shared" si="1"/>
        <v>72.644180041664583</v>
      </c>
      <c r="E43" s="12">
        <f t="shared" si="2"/>
        <v>129.65849540522154</v>
      </c>
      <c r="F43" s="12">
        <f t="shared" si="3"/>
        <v>74.4492256823047</v>
      </c>
      <c r="G43" s="12">
        <f t="shared" si="4"/>
        <v>134.34873599650052</v>
      </c>
      <c r="H43" s="12"/>
      <c r="I43" s="12">
        <f t="shared" si="11"/>
        <v>75.136529852027181</v>
      </c>
      <c r="J43" s="12">
        <f t="shared" si="12"/>
        <v>2.1172180598703232</v>
      </c>
      <c r="K43" s="12">
        <f t="shared" si="13"/>
        <v>-1.453340647875337</v>
      </c>
      <c r="L43" s="10"/>
      <c r="M43" s="22">
        <v>13360</v>
      </c>
      <c r="N43" s="12">
        <f t="shared" si="6"/>
        <v>269173.50332065404</v>
      </c>
      <c r="O43" s="12">
        <f t="shared" si="7"/>
        <v>183829.71064078162</v>
      </c>
      <c r="P43" s="12">
        <f t="shared" si="8"/>
        <v>85343.792679872422</v>
      </c>
      <c r="Q43" s="12">
        <f t="shared" si="9"/>
        <v>20660.514048891127</v>
      </c>
      <c r="R43" s="12">
        <f t="shared" si="14"/>
        <v>3384.0299738093527</v>
      </c>
      <c r="S43" s="12"/>
    </row>
    <row r="44" spans="1:19" x14ac:dyDescent="0.2">
      <c r="A44" s="12">
        <f t="shared" si="10"/>
        <v>145</v>
      </c>
      <c r="B44" s="13">
        <f t="shared" si="0"/>
        <v>0.89492956087636544</v>
      </c>
      <c r="C44" s="13">
        <f t="shared" si="5"/>
        <v>28.911739256486193</v>
      </c>
      <c r="D44" s="12">
        <f t="shared" si="1"/>
        <v>72.353959306469264</v>
      </c>
      <c r="E44" s="12">
        <f t="shared" si="2"/>
        <v>129.31377155817174</v>
      </c>
      <c r="F44" s="12">
        <f t="shared" si="3"/>
        <v>75.434925623124826</v>
      </c>
      <c r="G44" s="12">
        <f t="shared" si="4"/>
        <v>140.04421520212532</v>
      </c>
      <c r="H44" s="12"/>
      <c r="I44" s="12">
        <f t="shared" si="11"/>
        <v>77.803026165546044</v>
      </c>
      <c r="J44" s="12">
        <f t="shared" si="12"/>
        <v>1.9252103383606189</v>
      </c>
      <c r="K44" s="12">
        <f t="shared" si="13"/>
        <v>-1.6636214440178383</v>
      </c>
      <c r="L44" s="10"/>
      <c r="M44" s="22">
        <v>13005</v>
      </c>
      <c r="N44" s="12">
        <f t="shared" si="6"/>
        <v>231854.80179346539</v>
      </c>
      <c r="O44" s="12">
        <f t="shared" si="7"/>
        <v>164036.12754172768</v>
      </c>
      <c r="P44" s="12">
        <f t="shared" si="8"/>
        <v>67818.674251737713</v>
      </c>
      <c r="Q44" s="12">
        <f t="shared" si="9"/>
        <v>21727.454346695409</v>
      </c>
      <c r="R44" s="12">
        <f t="shared" si="14"/>
        <v>2929.2573044135338</v>
      </c>
      <c r="S44" s="12"/>
    </row>
    <row r="45" spans="1:19" x14ac:dyDescent="0.2">
      <c r="A45" s="12">
        <f t="shared" si="10"/>
        <v>150</v>
      </c>
      <c r="B45" s="13">
        <f t="shared" si="0"/>
        <v>0.92218617611935627</v>
      </c>
      <c r="C45" s="13">
        <f t="shared" si="5"/>
        <v>25.345104233139551</v>
      </c>
      <c r="D45" s="12">
        <f t="shared" si="1"/>
        <v>72.204615572053399</v>
      </c>
      <c r="E45" s="12">
        <f t="shared" si="2"/>
        <v>129.13623894968228</v>
      </c>
      <c r="F45" s="12">
        <f t="shared" si="3"/>
        <v>76.3108836610363</v>
      </c>
      <c r="G45" s="12">
        <f t="shared" si="4"/>
        <v>145.77082950562095</v>
      </c>
      <c r="H45" s="12"/>
      <c r="I45" s="12">
        <f t="shared" si="11"/>
        <v>80.172650817186764</v>
      </c>
      <c r="J45" s="12">
        <f t="shared" si="12"/>
        <v>1.7108689984845997</v>
      </c>
      <c r="K45" s="12">
        <f t="shared" si="13"/>
        <v>-1.8571276537919821</v>
      </c>
      <c r="L45" s="10"/>
      <c r="M45" s="22">
        <v>12288</v>
      </c>
      <c r="N45" s="12">
        <f t="shared" si="6"/>
        <v>185080.08915207826</v>
      </c>
      <c r="O45" s="12">
        <f t="shared" si="7"/>
        <v>142994.13046435945</v>
      </c>
      <c r="P45" s="12">
        <f t="shared" si="8"/>
        <v>42085.958687718812</v>
      </c>
      <c r="Q45" s="12">
        <f t="shared" si="9"/>
        <v>23253.19622708434</v>
      </c>
      <c r="R45" s="12">
        <f t="shared" si="14"/>
        <v>2497.2881797478635</v>
      </c>
      <c r="S45" s="12"/>
    </row>
    <row r="46" spans="1:19" x14ac:dyDescent="0.2">
      <c r="A46" s="12">
        <f t="shared" si="10"/>
        <v>155</v>
      </c>
      <c r="B46" s="13">
        <f t="shared" si="0"/>
        <v>0.94571231829842717</v>
      </c>
      <c r="C46" s="13">
        <f t="shared" si="5"/>
        <v>21.486706360821707</v>
      </c>
      <c r="D46" s="12">
        <f t="shared" si="1"/>
        <v>72.19763575440831</v>
      </c>
      <c r="E46" s="12">
        <f t="shared" si="2"/>
        <v>129.12793933463686</v>
      </c>
      <c r="F46" s="12">
        <f t="shared" si="3"/>
        <v>77.066953817183247</v>
      </c>
      <c r="G46" s="12">
        <f t="shared" si="4"/>
        <v>151.5199198441228</v>
      </c>
      <c r="H46" s="12"/>
      <c r="I46" s="12">
        <f t="shared" si="11"/>
        <v>82.217957102231352</v>
      </c>
      <c r="J46" s="12">
        <f t="shared" si="12"/>
        <v>1.4767111378021931</v>
      </c>
      <c r="K46" s="12">
        <f t="shared" si="13"/>
        <v>-2.0288248579466885</v>
      </c>
      <c r="L46" s="10"/>
      <c r="M46" s="22">
        <v>11367</v>
      </c>
      <c r="N46" s="12">
        <f t="shared" si="6"/>
        <v>137115.26797094764</v>
      </c>
      <c r="O46" s="12">
        <f t="shared" si="7"/>
        <v>120863.86171194082</v>
      </c>
      <c r="P46" s="12">
        <f t="shared" si="8"/>
        <v>16251.406259006821</v>
      </c>
      <c r="Q46" s="12">
        <f t="shared" si="9"/>
        <v>25503.582342598602</v>
      </c>
      <c r="R46" s="12">
        <f t="shared" si="14"/>
        <v>2015.905007197073</v>
      </c>
      <c r="S46" s="12"/>
    </row>
    <row r="47" spans="1:19" x14ac:dyDescent="0.2">
      <c r="A47" s="12">
        <f t="shared" si="10"/>
        <v>160</v>
      </c>
      <c r="B47" s="13">
        <f t="shared" ref="B47:B78" si="15">($B$11-F47)/($B$11-$B$12)</f>
        <v>0.96524037916814442</v>
      </c>
      <c r="C47" s="13">
        <f t="shared" si="5"/>
        <v>17.387898455938725</v>
      </c>
      <c r="D47" s="12">
        <f t="shared" si="1"/>
        <v>72.333089561503243</v>
      </c>
      <c r="E47" s="12">
        <f t="shared" si="2"/>
        <v>129.28896839288987</v>
      </c>
      <c r="F47" s="12">
        <f t="shared" ref="F47:F78" si="16">DEGREES(ASIN($B$4*SIN(RADIANS(D47))/E47))+DEGREES(ASIN($B$8*SIN(RADIANS(A47-$B$10))/E47))</f>
        <v>77.694535845661719</v>
      </c>
      <c r="G47" s="12">
        <f t="shared" ref="G47:G78" si="17">D47+F47+(A47-$B$10)</f>
        <v>157.28295567969622</v>
      </c>
      <c r="H47" s="12"/>
      <c r="I47" s="12">
        <f t="shared" si="11"/>
        <v>83.915679802687407</v>
      </c>
      <c r="J47" s="12">
        <f t="shared" si="12"/>
        <v>1.2257557897292715</v>
      </c>
      <c r="K47" s="12">
        <f t="shared" si="13"/>
        <v>-2.1743641102682036</v>
      </c>
      <c r="L47" s="10"/>
      <c r="M47" s="22">
        <v>10445</v>
      </c>
      <c r="N47" s="12">
        <f t="shared" si="6"/>
        <v>94927.492830351883</v>
      </c>
      <c r="O47" s="12">
        <f t="shared" si="7"/>
        <v>97813.745992299242</v>
      </c>
      <c r="P47" s="12">
        <f t="shared" si="8"/>
        <v>-2886.2531619473593</v>
      </c>
      <c r="Q47" s="12">
        <f t="shared" si="9"/>
        <v>29014.596203943071</v>
      </c>
      <c r="R47" s="12">
        <f t="shared" si="14"/>
        <v>1542.9469809311443</v>
      </c>
      <c r="S47" s="12"/>
    </row>
    <row r="48" spans="1:19" x14ac:dyDescent="0.2">
      <c r="A48" s="12">
        <f t="shared" si="10"/>
        <v>165</v>
      </c>
      <c r="B48" s="13">
        <f t="shared" si="15"/>
        <v>0.98055709130155944</v>
      </c>
      <c r="C48" s="13">
        <f t="shared" si="5"/>
        <v>13.105252351616603</v>
      </c>
      <c r="D48" s="12">
        <f t="shared" si="1"/>
        <v>72.609627630272655</v>
      </c>
      <c r="E48" s="12">
        <f t="shared" si="2"/>
        <v>129.61747338489121</v>
      </c>
      <c r="F48" s="12">
        <f t="shared" si="16"/>
        <v>78.186775875761981</v>
      </c>
      <c r="G48" s="12">
        <f t="shared" si="17"/>
        <v>163.05173377856588</v>
      </c>
      <c r="H48" s="12"/>
      <c r="I48" s="12">
        <f t="shared" si="11"/>
        <v>85.247277960780721</v>
      </c>
      <c r="J48" s="12">
        <f t="shared" si="12"/>
        <v>0.96141387014337265</v>
      </c>
      <c r="K48" s="12">
        <f t="shared" si="13"/>
        <v>-2.2903500052924386</v>
      </c>
      <c r="L48" s="10"/>
      <c r="M48" s="22">
        <v>9728</v>
      </c>
      <c r="N48" s="12">
        <f t="shared" si="6"/>
        <v>62150.348752306585</v>
      </c>
      <c r="O48" s="12">
        <f t="shared" si="7"/>
        <v>74019.208604101659</v>
      </c>
      <c r="P48" s="12">
        <f t="shared" si="8"/>
        <v>-11868.859851795074</v>
      </c>
      <c r="Q48" s="12">
        <f t="shared" si="9"/>
        <v>30500</v>
      </c>
      <c r="R48" s="12">
        <f t="shared" si="14"/>
        <v>1119.2637351340177</v>
      </c>
      <c r="S48" s="12"/>
    </row>
    <row r="49" spans="1:19" x14ac:dyDescent="0.2">
      <c r="A49" s="12">
        <f t="shared" si="10"/>
        <v>170</v>
      </c>
      <c r="B49" s="13">
        <f t="shared" si="15"/>
        <v>0.9915076789986238</v>
      </c>
      <c r="C49" s="13">
        <f t="shared" si="5"/>
        <v>8.6983664754164174</v>
      </c>
      <c r="D49" s="12">
        <f t="shared" si="1"/>
        <v>73.024517305146546</v>
      </c>
      <c r="E49" s="12">
        <f t="shared" si="2"/>
        <v>130.10969831278496</v>
      </c>
      <c r="F49" s="12">
        <f t="shared" si="16"/>
        <v>78.538699811569259</v>
      </c>
      <c r="G49" s="12">
        <f t="shared" si="17"/>
        <v>168.81854738924704</v>
      </c>
      <c r="H49" s="12"/>
      <c r="I49" s="12">
        <f t="shared" si="11"/>
        <v>86.199295748961148</v>
      </c>
      <c r="J49" s="12">
        <f t="shared" si="12"/>
        <v>0.68735684306626854</v>
      </c>
      <c r="K49" s="12">
        <f t="shared" si="13"/>
        <v>-2.3745250635985737</v>
      </c>
      <c r="L49" s="10"/>
      <c r="M49" s="22">
        <v>8909</v>
      </c>
      <c r="N49" s="12">
        <f t="shared" si="6"/>
        <v>34127.17102964878</v>
      </c>
      <c r="O49" s="12">
        <f t="shared" si="7"/>
        <v>49661.340344406606</v>
      </c>
      <c r="P49" s="12">
        <f t="shared" si="8"/>
        <v>-15534.169314757826</v>
      </c>
      <c r="Q49" s="12">
        <f t="shared" si="9"/>
        <v>30500</v>
      </c>
      <c r="R49" s="12">
        <f t="shared" si="14"/>
        <v>739.28147992994263</v>
      </c>
      <c r="S49" s="12"/>
    </row>
    <row r="50" spans="1:19" x14ac:dyDescent="0.2">
      <c r="A50" s="12">
        <f t="shared" si="10"/>
        <v>175</v>
      </c>
      <c r="B50" s="13">
        <f t="shared" si="15"/>
        <v>0.99799776591183642</v>
      </c>
      <c r="C50" s="13">
        <f t="shared" si="5"/>
        <v>4.2276212196797136</v>
      </c>
      <c r="D50" s="12">
        <f t="shared" si="1"/>
        <v>73.573713269192226</v>
      </c>
      <c r="E50" s="12">
        <f t="shared" si="2"/>
        <v>130.7600739588068</v>
      </c>
      <c r="F50" s="12">
        <f t="shared" si="16"/>
        <v>78.747274638182574</v>
      </c>
      <c r="G50" s="12">
        <f t="shared" si="17"/>
        <v>174.57631817990602</v>
      </c>
      <c r="H50" s="12"/>
      <c r="I50" s="12">
        <f t="shared" si="11"/>
        <v>86.763528314293865</v>
      </c>
      <c r="J50" s="12">
        <f t="shared" si="12"/>
        <v>0.40737591217022112</v>
      </c>
      <c r="K50" s="12">
        <f t="shared" si="13"/>
        <v>-2.4258518193561289</v>
      </c>
      <c r="L50" s="10"/>
      <c r="M50" s="22">
        <v>7987</v>
      </c>
      <c r="N50" s="12">
        <f t="shared" si="6"/>
        <v>12688.782328746694</v>
      </c>
      <c r="O50" s="12">
        <f t="shared" si="7"/>
        <v>24925.519298353574</v>
      </c>
      <c r="P50" s="12">
        <f t="shared" si="8"/>
        <v>-12236.73696960688</v>
      </c>
      <c r="Q50" s="12">
        <f t="shared" si="9"/>
        <v>30500</v>
      </c>
      <c r="R50" s="12">
        <f t="shared" si="14"/>
        <v>397.21972599423225</v>
      </c>
      <c r="S50" s="12"/>
    </row>
    <row r="51" spans="1:19" x14ac:dyDescent="0.2">
      <c r="A51" s="12">
        <f t="shared" si="10"/>
        <v>180</v>
      </c>
      <c r="B51" s="13">
        <f t="shared" si="15"/>
        <v>0.99999308280327592</v>
      </c>
      <c r="C51" s="13">
        <f t="shared" si="5"/>
        <v>-0.24793057903329313</v>
      </c>
      <c r="D51" s="12">
        <f t="shared" si="1"/>
        <v>74.25195767833786</v>
      </c>
      <c r="E51" s="12">
        <f t="shared" si="2"/>
        <v>131.5613476906322</v>
      </c>
      <c r="F51" s="12">
        <f t="shared" si="16"/>
        <v>78.811399029771749</v>
      </c>
      <c r="G51" s="12">
        <f t="shared" si="17"/>
        <v>180.31868698064085</v>
      </c>
      <c r="H51" s="12"/>
      <c r="I51" s="12">
        <f t="shared" si="11"/>
        <v>86.93699637155774</v>
      </c>
      <c r="J51" s="12">
        <f t="shared" si="12"/>
        <v>0.12524393734451786</v>
      </c>
      <c r="K51" s="12">
        <f t="shared" si="13"/>
        <v>-2.4444892094582715</v>
      </c>
      <c r="L51" s="10"/>
      <c r="M51" s="22">
        <v>7168</v>
      </c>
      <c r="N51" s="12">
        <f t="shared" si="6"/>
        <v>-541.08369568225908</v>
      </c>
      <c r="O51" s="12">
        <f t="shared" si="7"/>
        <v>3.5037807599882331E-11</v>
      </c>
      <c r="P51" s="12">
        <f t="shared" si="8"/>
        <v>-541.08369568229409</v>
      </c>
      <c r="Q51" s="12">
        <f t="shared" si="9"/>
        <v>-1285698.2730733135</v>
      </c>
      <c r="R51" s="12">
        <f t="shared" si="14"/>
        <v>109.53785032641782</v>
      </c>
      <c r="S51" s="12"/>
    </row>
    <row r="52" spans="1:19" x14ac:dyDescent="0.2">
      <c r="A52" s="12">
        <f t="shared" si="10"/>
        <v>185</v>
      </c>
      <c r="B52" s="13">
        <f t="shared" si="15"/>
        <v>0.99751719216342016</v>
      </c>
      <c r="C52" s="13">
        <f t="shared" si="5"/>
        <v>-4.6723835840071306</v>
      </c>
      <c r="D52" s="12">
        <f t="shared" si="1"/>
        <v>75.052902581366197</v>
      </c>
      <c r="E52" s="12">
        <f t="shared" si="2"/>
        <v>132.50474597535282</v>
      </c>
      <c r="F52" s="12">
        <f t="shared" si="16"/>
        <v>78.731830224634464</v>
      </c>
      <c r="G52" s="12">
        <f t="shared" si="17"/>
        <v>186.04006307853189</v>
      </c>
      <c r="H52" s="12"/>
      <c r="I52" s="12">
        <f t="shared" si="11"/>
        <v>86.721748387071571</v>
      </c>
      <c r="J52" s="12">
        <f t="shared" si="12"/>
        <v>-0.15540904479901385</v>
      </c>
      <c r="K52" s="12">
        <f t="shared" si="13"/>
        <v>-2.4316747042797298</v>
      </c>
      <c r="L52" s="10"/>
      <c r="M52" s="22">
        <v>6451</v>
      </c>
      <c r="N52" s="12">
        <f t="shared" si="6"/>
        <v>-6846.9109040040521</v>
      </c>
      <c r="O52" s="12">
        <f t="shared" si="7"/>
        <v>-24925.519298353505</v>
      </c>
      <c r="P52" s="12">
        <f t="shared" si="8"/>
        <v>18078.608394349452</v>
      </c>
      <c r="Q52" s="12">
        <f t="shared" si="9"/>
        <v>-58167.280194092418</v>
      </c>
      <c r="R52" s="12">
        <f t="shared" si="14"/>
        <v>-122.14426252988052</v>
      </c>
      <c r="S52" s="12"/>
    </row>
    <row r="53" spans="1:19" x14ac:dyDescent="0.2">
      <c r="A53" s="12">
        <f t="shared" si="10"/>
        <v>190</v>
      </c>
      <c r="B53" s="13">
        <f t="shared" si="15"/>
        <v>0.99064757765955813</v>
      </c>
      <c r="C53" s="13">
        <f t="shared" si="5"/>
        <v>-8.9944051985426494</v>
      </c>
      <c r="D53" s="12">
        <f t="shared" si="1"/>
        <v>75.969246415919315</v>
      </c>
      <c r="E53" s="12">
        <f t="shared" si="2"/>
        <v>133.58016129406582</v>
      </c>
      <c r="F53" s="12">
        <f t="shared" si="16"/>
        <v>78.511058350050419</v>
      </c>
      <c r="G53" s="12">
        <f t="shared" si="17"/>
        <v>191.73563503850096</v>
      </c>
      <c r="H53" s="12"/>
      <c r="I53" s="12">
        <f t="shared" si="11"/>
        <v>86.124520604733249</v>
      </c>
      <c r="J53" s="12">
        <f t="shared" si="12"/>
        <v>-0.43119845884826868</v>
      </c>
      <c r="K53" s="12">
        <f t="shared" si="13"/>
        <v>-2.3895350647253326</v>
      </c>
      <c r="L53" s="10"/>
      <c r="M53" s="22">
        <v>5837</v>
      </c>
      <c r="N53" s="12">
        <f t="shared" si="6"/>
        <v>-7657.8365860392169</v>
      </c>
      <c r="O53" s="12">
        <f t="shared" si="7"/>
        <v>-49661.340344406657</v>
      </c>
      <c r="P53" s="12">
        <f t="shared" si="8"/>
        <v>42003.503758367442</v>
      </c>
      <c r="Q53" s="12">
        <f t="shared" si="9"/>
        <v>-25070.713195606968</v>
      </c>
      <c r="R53" s="12">
        <f t="shared" si="14"/>
        <v>-305.78062455722102</v>
      </c>
      <c r="S53" s="12"/>
    </row>
    <row r="54" spans="1:19" x14ac:dyDescent="0.2">
      <c r="A54" s="12">
        <f t="shared" si="10"/>
        <v>195</v>
      </c>
      <c r="B54" s="13">
        <f t="shared" si="15"/>
        <v>0.97951052416503837</v>
      </c>
      <c r="C54" s="13">
        <f t="shared" si="5"/>
        <v>-13.168216388116477</v>
      </c>
      <c r="D54" s="12">
        <f t="shared" si="1"/>
        <v>76.992876279226635</v>
      </c>
      <c r="E54" s="12">
        <f t="shared" si="2"/>
        <v>134.77635465604962</v>
      </c>
      <c r="F54" s="12">
        <f t="shared" si="16"/>
        <v>78.153141879490732</v>
      </c>
      <c r="G54" s="12">
        <f t="shared" si="17"/>
        <v>197.40134843124861</v>
      </c>
      <c r="H54" s="12"/>
      <c r="I54" s="12">
        <f t="shared" si="11"/>
        <v>85.156291928062117</v>
      </c>
      <c r="J54" s="12">
        <f t="shared" si="12"/>
        <v>-0.6990611045565569</v>
      </c>
      <c r="K54" s="12">
        <f t="shared" si="13"/>
        <v>-2.3208547966084736</v>
      </c>
      <c r="L54" s="10"/>
      <c r="M54" s="22">
        <v>5120</v>
      </c>
      <c r="N54" s="12">
        <f t="shared" si="6"/>
        <v>-1769.8082825628617</v>
      </c>
      <c r="O54" s="12">
        <f t="shared" si="7"/>
        <v>-74019.208604101601</v>
      </c>
      <c r="P54" s="12">
        <f t="shared" si="8"/>
        <v>72249.400321538735</v>
      </c>
      <c r="Q54" s="12">
        <f t="shared" si="9"/>
        <v>-13694.28679301179</v>
      </c>
      <c r="R54" s="12">
        <f t="shared" si="14"/>
        <v>-442.03673376189948</v>
      </c>
      <c r="S54" s="12"/>
    </row>
    <row r="55" spans="1:19" x14ac:dyDescent="0.2">
      <c r="A55" s="12">
        <f t="shared" si="10"/>
        <v>200</v>
      </c>
      <c r="B55" s="13">
        <f t="shared" si="15"/>
        <v>0.96427523738894882</v>
      </c>
      <c r="C55" s="13">
        <f t="shared" si="5"/>
        <v>-17.154130142042646</v>
      </c>
      <c r="D55" s="12">
        <f t="shared" si="1"/>
        <v>78.115008367570894</v>
      </c>
      <c r="E55" s="12">
        <f t="shared" si="2"/>
        <v>136.08116513104943</v>
      </c>
      <c r="F55" s="12">
        <f t="shared" si="16"/>
        <v>77.663518652526264</v>
      </c>
      <c r="G55" s="12">
        <f t="shared" si="17"/>
        <v>203.0338572926284</v>
      </c>
      <c r="H55" s="12"/>
      <c r="I55" s="12">
        <f t="shared" si="11"/>
        <v>83.831772694929455</v>
      </c>
      <c r="J55" s="12">
        <f t="shared" si="12"/>
        <v>-0.95630288632178206</v>
      </c>
      <c r="K55" s="12">
        <f t="shared" si="13"/>
        <v>-2.2288319504919305</v>
      </c>
      <c r="L55" s="10"/>
      <c r="M55" s="22">
        <v>5325</v>
      </c>
      <c r="N55" s="12">
        <f t="shared" si="6"/>
        <v>-5822.1117702092833</v>
      </c>
      <c r="O55" s="12">
        <f t="shared" si="7"/>
        <v>-97813.745992299184</v>
      </c>
      <c r="P55" s="12">
        <f t="shared" si="8"/>
        <v>91991.634222089895</v>
      </c>
      <c r="Q55" s="12">
        <f t="shared" si="9"/>
        <v>-7966.7474619765117</v>
      </c>
      <c r="R55" s="12">
        <f t="shared" si="14"/>
        <v>-576.4418079196106</v>
      </c>
      <c r="S55" s="12"/>
    </row>
    <row r="56" spans="1:19" x14ac:dyDescent="0.2">
      <c r="A56" s="12">
        <f t="shared" si="10"/>
        <v>205</v>
      </c>
      <c r="B56" s="13">
        <f t="shared" si="15"/>
        <v>0.94514762832800792</v>
      </c>
      <c r="C56" s="13">
        <f t="shared" si="5"/>
        <v>-20.918690764592871</v>
      </c>
      <c r="D56" s="12">
        <f t="shared" si="1"/>
        <v>79.326320252160102</v>
      </c>
      <c r="E56" s="12">
        <f t="shared" si="2"/>
        <v>137.48171862536176</v>
      </c>
      <c r="F56" s="12">
        <f t="shared" si="16"/>
        <v>77.048806122977382</v>
      </c>
      <c r="G56" s="12">
        <f t="shared" si="17"/>
        <v>208.63045664766872</v>
      </c>
      <c r="H56" s="12"/>
      <c r="I56" s="12">
        <f t="shared" si="11"/>
        <v>82.168864312737469</v>
      </c>
      <c r="J56" s="12">
        <f t="shared" si="12"/>
        <v>-1.2006198519426141</v>
      </c>
      <c r="K56" s="12">
        <f t="shared" si="13"/>
        <v>-2.116846864013449</v>
      </c>
      <c r="L56" s="10"/>
      <c r="M56" s="22">
        <v>5427</v>
      </c>
      <c r="N56" s="12">
        <f t="shared" si="6"/>
        <v>-9233.5101034913041</v>
      </c>
      <c r="O56" s="12">
        <f t="shared" si="7"/>
        <v>-120863.86171194074</v>
      </c>
      <c r="P56" s="12">
        <f t="shared" si="8"/>
        <v>111630.35160844943</v>
      </c>
      <c r="Q56" s="12">
        <f t="shared" si="9"/>
        <v>-4533.9316250440761</v>
      </c>
      <c r="R56" s="12">
        <f t="shared" si="14"/>
        <v>-744.98295522200988</v>
      </c>
      <c r="S56" s="12"/>
    </row>
    <row r="57" spans="1:19" x14ac:dyDescent="0.2">
      <c r="A57" s="12">
        <f t="shared" si="10"/>
        <v>210</v>
      </c>
      <c r="B57" s="13">
        <f t="shared" si="15"/>
        <v>0.92236412960165681</v>
      </c>
      <c r="C57" s="13">
        <f t="shared" si="5"/>
        <v>-24.434484248229818</v>
      </c>
      <c r="D57" s="12">
        <f t="shared" si="1"/>
        <v>80.617070264497329</v>
      </c>
      <c r="E57" s="12">
        <f t="shared" si="2"/>
        <v>138.96462934887222</v>
      </c>
      <c r="F57" s="12">
        <f t="shared" si="16"/>
        <v>76.316602631708406</v>
      </c>
      <c r="G57" s="12">
        <f t="shared" si="17"/>
        <v>214.18900316873697</v>
      </c>
      <c r="H57" s="12"/>
      <c r="I57" s="12">
        <f t="shared" si="11"/>
        <v>80.188121665446744</v>
      </c>
      <c r="J57" s="12">
        <f t="shared" si="12"/>
        <v>-1.4300961913439036</v>
      </c>
      <c r="K57" s="12">
        <f t="shared" si="13"/>
        <v>-1.9882625350741754</v>
      </c>
      <c r="L57" s="10"/>
      <c r="M57" s="22">
        <v>5632</v>
      </c>
      <c r="N57" s="12">
        <f t="shared" si="6"/>
        <v>-15794.450618055767</v>
      </c>
      <c r="O57" s="12">
        <f t="shared" si="7"/>
        <v>-142994.13046435951</v>
      </c>
      <c r="P57" s="12">
        <f t="shared" si="8"/>
        <v>127199.67984630374</v>
      </c>
      <c r="Q57" s="12">
        <f t="shared" si="9"/>
        <v>-2258.5009082671295</v>
      </c>
      <c r="R57" s="12">
        <f t="shared" si="14"/>
        <v>-912.70970568283883</v>
      </c>
      <c r="S57" s="12"/>
    </row>
    <row r="58" spans="1:19" x14ac:dyDescent="0.2">
      <c r="A58" s="12">
        <f t="shared" si="10"/>
        <v>215</v>
      </c>
      <c r="B58" s="13">
        <f t="shared" si="15"/>
        <v>0.89618583263107721</v>
      </c>
      <c r="C58" s="13">
        <f t="shared" si="5"/>
        <v>-27.679702862694892</v>
      </c>
      <c r="D58" s="12">
        <f t="shared" si="1"/>
        <v>81.977200967817311</v>
      </c>
      <c r="E58" s="12">
        <f t="shared" si="2"/>
        <v>140.51618886864617</v>
      </c>
      <c r="F58" s="12">
        <f t="shared" si="16"/>
        <v>75.475298990526852</v>
      </c>
      <c r="G58" s="12">
        <f t="shared" si="17"/>
        <v>219.7078302308754</v>
      </c>
      <c r="H58" s="12"/>
      <c r="I58" s="12">
        <f t="shared" si="11"/>
        <v>77.912243414004323</v>
      </c>
      <c r="J58" s="12">
        <f t="shared" si="12"/>
        <v>-1.643184097541428</v>
      </c>
      <c r="K58" s="12">
        <f t="shared" si="13"/>
        <v>-1.846267469994151</v>
      </c>
      <c r="L58" s="10"/>
      <c r="M58" s="22">
        <v>5632</v>
      </c>
      <c r="N58" s="12">
        <f t="shared" si="6"/>
        <v>-17892.159930445992</v>
      </c>
      <c r="O58" s="12">
        <f t="shared" si="7"/>
        <v>-164036.12754172774</v>
      </c>
      <c r="P58" s="12">
        <f t="shared" si="8"/>
        <v>146143.96761128175</v>
      </c>
      <c r="Q58" s="12">
        <f t="shared" si="9"/>
        <v>-648.99345036797331</v>
      </c>
      <c r="R58" s="12">
        <f t="shared" si="14"/>
        <v>-1068.1455260103096</v>
      </c>
      <c r="S58" s="12"/>
    </row>
    <row r="59" spans="1:19" x14ac:dyDescent="0.2">
      <c r="A59" s="12">
        <f t="shared" si="10"/>
        <v>220</v>
      </c>
      <c r="B59" s="13">
        <f t="shared" si="15"/>
        <v>0.86689314983511667</v>
      </c>
      <c r="C59" s="13">
        <f t="shared" si="5"/>
        <v>-30.637548048089261</v>
      </c>
      <c r="D59" s="12">
        <f t="shared" si="1"/>
        <v>83.396425306901421</v>
      </c>
      <c r="E59" s="12">
        <f t="shared" si="2"/>
        <v>142.12253914771549</v>
      </c>
      <c r="F59" s="12">
        <f t="shared" si="16"/>
        <v>74.533906938785904</v>
      </c>
      <c r="G59" s="12">
        <f t="shared" si="17"/>
        <v>225.18566251821858</v>
      </c>
      <c r="H59" s="12"/>
      <c r="I59" s="12">
        <f t="shared" si="11"/>
        <v>75.36560794048016</v>
      </c>
      <c r="J59" s="12">
        <f t="shared" si="12"/>
        <v>-1.8386708118844453</v>
      </c>
      <c r="K59" s="12">
        <f t="shared" si="13"/>
        <v>-1.6937646436536473</v>
      </c>
      <c r="L59" s="10"/>
      <c r="M59" s="22">
        <v>5632</v>
      </c>
      <c r="N59" s="12">
        <f t="shared" si="6"/>
        <v>-19804.111058284914</v>
      </c>
      <c r="O59" s="12">
        <f t="shared" si="7"/>
        <v>-183829.71064078153</v>
      </c>
      <c r="P59" s="12">
        <f t="shared" si="8"/>
        <v>164025.59958249662</v>
      </c>
      <c r="Q59" s="12">
        <f t="shared" si="9"/>
        <v>541.04428211150935</v>
      </c>
      <c r="R59" s="12">
        <f t="shared" si="14"/>
        <v>-1195.2209155740068</v>
      </c>
      <c r="S59" s="12"/>
    </row>
    <row r="60" spans="1:19" x14ac:dyDescent="0.2">
      <c r="A60" s="12">
        <f t="shared" si="10"/>
        <v>225</v>
      </c>
      <c r="B60" s="13">
        <f t="shared" si="15"/>
        <v>0.8347811248356799</v>
      </c>
      <c r="C60" s="13">
        <f t="shared" si="5"/>
        <v>-33.295548172474042</v>
      </c>
      <c r="D60" s="12">
        <f t="shared" si="1"/>
        <v>84.864295434599043</v>
      </c>
      <c r="E60" s="12">
        <f t="shared" si="2"/>
        <v>143.7698273872376</v>
      </c>
      <c r="F60" s="12">
        <f t="shared" si="16"/>
        <v>73.501908425356973</v>
      </c>
      <c r="G60" s="12">
        <f t="shared" si="17"/>
        <v>230.62153413248726</v>
      </c>
      <c r="H60" s="12"/>
      <c r="I60" s="12">
        <f t="shared" si="11"/>
        <v>72.573865628589957</v>
      </c>
      <c r="J60" s="12">
        <f t="shared" si="12"/>
        <v>-2.0156379491847267</v>
      </c>
      <c r="K60" s="12">
        <f t="shared" si="13"/>
        <v>-1.5333046097540286</v>
      </c>
      <c r="L60" s="10"/>
      <c r="M60" s="22">
        <v>5632</v>
      </c>
      <c r="N60" s="12">
        <f t="shared" si="6"/>
        <v>-21522.24233868724</v>
      </c>
      <c r="O60" s="12">
        <f t="shared" si="7"/>
        <v>-202224.23864244492</v>
      </c>
      <c r="P60" s="12">
        <f t="shared" si="8"/>
        <v>180701.99630375768</v>
      </c>
      <c r="Q60" s="12">
        <f t="shared" si="9"/>
        <v>1448.3174555749711</v>
      </c>
      <c r="R60" s="12">
        <f t="shared" si="14"/>
        <v>-1310.2577250471356</v>
      </c>
      <c r="S60" s="12"/>
    </row>
    <row r="61" spans="1:19" x14ac:dyDescent="0.2">
      <c r="A61" s="12">
        <f t="shared" si="10"/>
        <v>230</v>
      </c>
      <c r="B61" s="13">
        <f t="shared" si="15"/>
        <v>0.80015544277481732</v>
      </c>
      <c r="C61" s="13">
        <f t="shared" si="5"/>
        <v>-35.644855310929984</v>
      </c>
      <c r="D61" s="12">
        <f t="shared" si="1"/>
        <v>86.370255350738162</v>
      </c>
      <c r="E61" s="12">
        <f t="shared" si="2"/>
        <v>145.44434173114658</v>
      </c>
      <c r="F61" s="12">
        <f t="shared" si="16"/>
        <v>72.389127390405122</v>
      </c>
      <c r="G61" s="12">
        <f t="shared" si="17"/>
        <v>236.01471301367451</v>
      </c>
      <c r="H61" s="12"/>
      <c r="I61" s="12">
        <f t="shared" si="11"/>
        <v>69.563592010247234</v>
      </c>
      <c r="J61" s="12">
        <f t="shared" si="12"/>
        <v>-2.1734175524434458</v>
      </c>
      <c r="K61" s="12">
        <f t="shared" si="13"/>
        <v>-1.3670571649201388</v>
      </c>
      <c r="L61" s="10"/>
      <c r="M61" s="22">
        <v>4915</v>
      </c>
      <c r="N61" s="12">
        <f t="shared" si="6"/>
        <v>2516.5267849516372</v>
      </c>
      <c r="O61" s="12">
        <f t="shared" si="7"/>
        <v>-219079.71808170545</v>
      </c>
      <c r="P61" s="12">
        <f t="shared" si="8"/>
        <v>221596.24486665707</v>
      </c>
      <c r="Q61" s="12">
        <f t="shared" si="9"/>
        <v>2154.3279682308371</v>
      </c>
      <c r="R61" s="12">
        <f t="shared" si="14"/>
        <v>-1322.8898271941955</v>
      </c>
      <c r="S61" s="12"/>
    </row>
    <row r="62" spans="1:19" x14ac:dyDescent="0.2">
      <c r="A62" s="12">
        <f t="shared" si="10"/>
        <v>235</v>
      </c>
      <c r="B62" s="13">
        <f t="shared" si="15"/>
        <v>0.76332913553233406</v>
      </c>
      <c r="C62" s="13">
        <f t="shared" si="5"/>
        <v>-37.679571001253315</v>
      </c>
      <c r="D62" s="12">
        <f t="shared" si="1"/>
        <v>87.903679350222347</v>
      </c>
      <c r="E62" s="12">
        <f t="shared" si="2"/>
        <v>147.13262790251832</v>
      </c>
      <c r="F62" s="12">
        <f t="shared" si="16"/>
        <v>71.205623879493359</v>
      </c>
      <c r="G62" s="12">
        <f t="shared" si="17"/>
        <v>241.36463350224693</v>
      </c>
      <c r="H62" s="12"/>
      <c r="I62" s="12">
        <f t="shared" si="11"/>
        <v>66.362001325096998</v>
      </c>
      <c r="J62" s="12">
        <f t="shared" si="12"/>
        <v>-2.3115484746784705</v>
      </c>
      <c r="K62" s="12">
        <f t="shared" si="13"/>
        <v>-1.1968141828115659</v>
      </c>
      <c r="L62" s="10"/>
      <c r="M62" s="22">
        <v>4301</v>
      </c>
      <c r="N62" s="12">
        <f t="shared" si="6"/>
        <v>25795.434307457999</v>
      </c>
      <c r="O62" s="12">
        <f t="shared" si="7"/>
        <v>-234267.86858241368</v>
      </c>
      <c r="P62" s="12">
        <f t="shared" si="8"/>
        <v>260063.30288987167</v>
      </c>
      <c r="Q62" s="12">
        <f t="shared" si="9"/>
        <v>2710.305214538279</v>
      </c>
      <c r="R62" s="12">
        <f t="shared" si="14"/>
        <v>-1229.4108230976908</v>
      </c>
      <c r="S62" s="12"/>
    </row>
    <row r="63" spans="1:19" x14ac:dyDescent="0.2">
      <c r="A63" s="12">
        <f t="shared" si="10"/>
        <v>240</v>
      </c>
      <c r="B63" s="13">
        <f t="shared" si="15"/>
        <v>0.72461993350865972</v>
      </c>
      <c r="C63" s="13">
        <f t="shared" si="5"/>
        <v>-39.396137153929203</v>
      </c>
      <c r="D63" s="12">
        <f t="shared" si="1"/>
        <v>89.453898889138642</v>
      </c>
      <c r="E63" s="12">
        <f t="shared" si="2"/>
        <v>148.82158760438926</v>
      </c>
      <c r="F63" s="12">
        <f t="shared" si="16"/>
        <v>69.961608936643984</v>
      </c>
      <c r="G63" s="12">
        <f t="shared" si="17"/>
        <v>246.67083809831388</v>
      </c>
      <c r="H63" s="12"/>
      <c r="I63" s="12">
        <f t="shared" si="11"/>
        <v>62.996716290880308</v>
      </c>
      <c r="J63" s="12">
        <f t="shared" si="12"/>
        <v>-2.4297357947044502</v>
      </c>
      <c r="K63" s="12">
        <f t="shared" si="13"/>
        <v>-1.0240159013411423</v>
      </c>
      <c r="L63" s="10"/>
      <c r="M63" s="22">
        <v>3891</v>
      </c>
      <c r="N63" s="12">
        <f t="shared" si="6"/>
        <v>43123.011728690886</v>
      </c>
      <c r="O63" s="12">
        <f t="shared" si="7"/>
        <v>-247673.09914840315</v>
      </c>
      <c r="P63" s="12">
        <f t="shared" si="8"/>
        <v>290796.11087709403</v>
      </c>
      <c r="Q63" s="12">
        <f t="shared" si="9"/>
        <v>3149.7118628204571</v>
      </c>
      <c r="R63" s="12">
        <f t="shared" si="14"/>
        <v>-1148.6839583459634</v>
      </c>
      <c r="S63" s="12"/>
    </row>
    <row r="64" spans="1:19" x14ac:dyDescent="0.2">
      <c r="A64" s="12">
        <f t="shared" si="10"/>
        <v>245</v>
      </c>
      <c r="B64" s="13">
        <f t="shared" si="15"/>
        <v>0.68434818554127208</v>
      </c>
      <c r="C64" s="13">
        <f t="shared" si="5"/>
        <v>-40.792816264849584</v>
      </c>
      <c r="D64" s="12">
        <f t="shared" si="1"/>
        <v>91.010220885702424</v>
      </c>
      <c r="E64" s="12">
        <f t="shared" si="2"/>
        <v>150.49856004612553</v>
      </c>
      <c r="F64" s="12">
        <f t="shared" si="16"/>
        <v>68.667377755762132</v>
      </c>
      <c r="G64" s="12">
        <f t="shared" si="17"/>
        <v>251.9329289139958</v>
      </c>
      <c r="H64" s="12"/>
      <c r="I64" s="12">
        <f t="shared" si="11"/>
        <v>59.495587265965021</v>
      </c>
      <c r="J64" s="12">
        <f t="shared" si="12"/>
        <v>-2.5278151559888369</v>
      </c>
      <c r="K64" s="12">
        <f t="shared" si="13"/>
        <v>-0.84979357791104237</v>
      </c>
      <c r="L64" s="10"/>
      <c r="M64" s="22">
        <v>3891</v>
      </c>
      <c r="N64" s="12">
        <f t="shared" si="6"/>
        <v>44651.81668350433</v>
      </c>
      <c r="O64" s="12">
        <f t="shared" si="7"/>
        <v>-259193.38788076732</v>
      </c>
      <c r="P64" s="12">
        <f t="shared" si="8"/>
        <v>303845.20456427167</v>
      </c>
      <c r="Q64" s="12">
        <f t="shared" si="9"/>
        <v>3494.9794033625317</v>
      </c>
      <c r="R64" s="12">
        <f t="shared" si="14"/>
        <v>-1135.2410863287816</v>
      </c>
      <c r="S64" s="12"/>
    </row>
    <row r="65" spans="1:19" x14ac:dyDescent="0.2">
      <c r="A65" s="12">
        <f t="shared" si="10"/>
        <v>250</v>
      </c>
      <c r="B65" s="13">
        <f t="shared" si="15"/>
        <v>0.64283524936437852</v>
      </c>
      <c r="C65" s="13">
        <f t="shared" si="5"/>
        <v>-41.869275352948165</v>
      </c>
      <c r="D65" s="12">
        <f t="shared" si="1"/>
        <v>92.561940725558983</v>
      </c>
      <c r="E65" s="12">
        <f t="shared" si="2"/>
        <v>152.15138827839036</v>
      </c>
      <c r="F65" s="12">
        <f t="shared" si="16"/>
        <v>67.333257954118494</v>
      </c>
      <c r="G65" s="12">
        <f t="shared" si="17"/>
        <v>257.15052895220873</v>
      </c>
      <c r="H65" s="12"/>
      <c r="I65" s="12">
        <f t="shared" si="11"/>
        <v>55.88655231977701</v>
      </c>
      <c r="J65" s="12">
        <f t="shared" si="12"/>
        <v>-2.6057232311477438</v>
      </c>
      <c r="K65" s="12">
        <f t="shared" si="13"/>
        <v>-0.67502256407933303</v>
      </c>
      <c r="L65" s="10"/>
      <c r="M65" s="22">
        <v>4301</v>
      </c>
      <c r="N65" s="12">
        <f t="shared" si="6"/>
        <v>28663.705906628289</v>
      </c>
      <c r="O65" s="12">
        <f t="shared" si="7"/>
        <v>-268741.05842611211</v>
      </c>
      <c r="P65" s="12">
        <f t="shared" si="8"/>
        <v>297404.76433274039</v>
      </c>
      <c r="Q65" s="12">
        <f t="shared" si="9"/>
        <v>3761.3385065352322</v>
      </c>
      <c r="R65" s="12">
        <f t="shared" si="14"/>
        <v>-1231.8839282988411</v>
      </c>
      <c r="S65" s="12"/>
    </row>
    <row r="66" spans="1:19" x14ac:dyDescent="0.2">
      <c r="A66" s="12">
        <f t="shared" si="10"/>
        <v>255</v>
      </c>
      <c r="B66" s="13">
        <f t="shared" si="15"/>
        <v>0.6004022444581979</v>
      </c>
      <c r="C66" s="13">
        <f t="shared" si="5"/>
        <v>-42.626280605968375</v>
      </c>
      <c r="D66" s="12">
        <f t="shared" si="1"/>
        <v>94.098353380131186</v>
      </c>
      <c r="E66" s="12">
        <f t="shared" si="2"/>
        <v>153.76847217272035</v>
      </c>
      <c r="F66" s="12">
        <f t="shared" si="16"/>
        <v>65.969569492108732</v>
      </c>
      <c r="G66" s="12">
        <f t="shared" si="17"/>
        <v>262.32325314477117</v>
      </c>
      <c r="H66" s="12"/>
      <c r="I66" s="12">
        <f t="shared" si="11"/>
        <v>52.19752880851275</v>
      </c>
      <c r="J66" s="12">
        <f t="shared" si="12"/>
        <v>-2.6634749751327957</v>
      </c>
      <c r="K66" s="12">
        <f t="shared" si="13"/>
        <v>-0.50038112513149491</v>
      </c>
      <c r="L66" s="10"/>
      <c r="M66" s="22">
        <v>4608</v>
      </c>
      <c r="N66" s="12">
        <f t="shared" si="6"/>
        <v>16095.683556813636</v>
      </c>
      <c r="O66" s="12">
        <f t="shared" si="7"/>
        <v>-276243.44724654651</v>
      </c>
      <c r="P66" s="12">
        <f t="shared" si="8"/>
        <v>292339.13080336014</v>
      </c>
      <c r="Q66" s="12">
        <f t="shared" si="9"/>
        <v>3959.0841480087547</v>
      </c>
      <c r="R66" s="12">
        <f t="shared" si="14"/>
        <v>-1369.3962692438872</v>
      </c>
      <c r="S66" s="12"/>
    </row>
    <row r="67" spans="1:19" x14ac:dyDescent="0.2">
      <c r="A67" s="12">
        <f t="shared" si="10"/>
        <v>260</v>
      </c>
      <c r="B67" s="13">
        <f t="shared" si="15"/>
        <v>0.55736905503948464</v>
      </c>
      <c r="C67" s="13">
        <f t="shared" si="5"/>
        <v>-43.065504182577847</v>
      </c>
      <c r="D67" s="12">
        <f t="shared" si="1"/>
        <v>95.608766100211142</v>
      </c>
      <c r="E67" s="12">
        <f t="shared" si="2"/>
        <v>155.33880990512475</v>
      </c>
      <c r="F67" s="12">
        <f t="shared" si="16"/>
        <v>64.586592631913945</v>
      </c>
      <c r="G67" s="12">
        <f t="shared" si="17"/>
        <v>267.45068900465634</v>
      </c>
      <c r="H67" s="12"/>
      <c r="I67" s="12">
        <f t="shared" si="11"/>
        <v>48.456326697530535</v>
      </c>
      <c r="J67" s="12">
        <f t="shared" si="12"/>
        <v>-2.7011479241291587</v>
      </c>
      <c r="K67" s="12">
        <f t="shared" si="13"/>
        <v>-0.32641148656395136</v>
      </c>
      <c r="L67" s="10"/>
      <c r="M67" s="22">
        <v>5529</v>
      </c>
      <c r="N67" s="12">
        <f t="shared" si="6"/>
        <v>-23401.794972812826</v>
      </c>
      <c r="O67" s="12">
        <f t="shared" si="7"/>
        <v>-281643.45663308079</v>
      </c>
      <c r="P67" s="12">
        <f t="shared" si="8"/>
        <v>258241.66166026797</v>
      </c>
      <c r="Q67" s="12">
        <f t="shared" si="9"/>
        <v>4094.944146899913</v>
      </c>
      <c r="R67" s="12">
        <f t="shared" si="14"/>
        <v>-1580.190241626113</v>
      </c>
      <c r="S67" s="12"/>
    </row>
    <row r="68" spans="1:19" x14ac:dyDescent="0.2">
      <c r="A68" s="12">
        <f t="shared" si="10"/>
        <v>265</v>
      </c>
      <c r="B68" s="13">
        <f t="shared" si="15"/>
        <v>0.51405347168873183</v>
      </c>
      <c r="C68" s="13">
        <f t="shared" si="5"/>
        <v>-43.189440407917978</v>
      </c>
      <c r="D68" s="12">
        <f t="shared" si="1"/>
        <v>97.082516124836729</v>
      </c>
      <c r="E68" s="12">
        <f t="shared" si="2"/>
        <v>156.85202973390722</v>
      </c>
      <c r="F68" s="12">
        <f t="shared" si="16"/>
        <v>63.194540351590049</v>
      </c>
      <c r="G68" s="12">
        <f t="shared" si="17"/>
        <v>272.532386748958</v>
      </c>
      <c r="H68" s="12"/>
      <c r="I68" s="12">
        <f t="shared" si="11"/>
        <v>44.690573936481563</v>
      </c>
      <c r="J68" s="12">
        <f t="shared" si="12"/>
        <v>-2.718873493477358</v>
      </c>
      <c r="K68" s="12">
        <f t="shared" si="13"/>
        <v>-0.15358047605184033</v>
      </c>
      <c r="L68" s="10"/>
      <c r="M68" s="22">
        <v>6451</v>
      </c>
      <c r="N68" s="12">
        <f t="shared" si="6"/>
        <v>-63289.805973763032</v>
      </c>
      <c r="O68" s="12">
        <f t="shared" si="7"/>
        <v>-284899.98925366852</v>
      </c>
      <c r="P68" s="12">
        <f t="shared" si="8"/>
        <v>221610.1832799055</v>
      </c>
      <c r="Q68" s="12">
        <f t="shared" si="9"/>
        <v>4172.9010991849627</v>
      </c>
      <c r="R68" s="12">
        <f t="shared" si="14"/>
        <v>-1879.7382532236122</v>
      </c>
      <c r="S68" s="12"/>
    </row>
    <row r="69" spans="1:19" x14ac:dyDescent="0.2">
      <c r="A69" s="12">
        <f t="shared" si="10"/>
        <v>270</v>
      </c>
      <c r="B69" s="13">
        <f t="shared" si="15"/>
        <v>0.47077036468530403</v>
      </c>
      <c r="C69" s="13">
        <f t="shared" si="5"/>
        <v>-43.001425068299085</v>
      </c>
      <c r="D69" s="12">
        <f t="shared" si="1"/>
        <v>98.508996738373298</v>
      </c>
      <c r="E69" s="12">
        <f t="shared" si="2"/>
        <v>158.29841373198406</v>
      </c>
      <c r="F69" s="12">
        <f t="shared" si="16"/>
        <v>61.803531778169152</v>
      </c>
      <c r="G69" s="12">
        <f t="shared" si="17"/>
        <v>277.56785878907368</v>
      </c>
      <c r="H69" s="12"/>
      <c r="I69" s="12">
        <f t="shared" si="11"/>
        <v>40.927644591052278</v>
      </c>
      <c r="J69" s="12">
        <f t="shared" si="12"/>
        <v>-2.7168349873999436</v>
      </c>
      <c r="K69" s="12">
        <f t="shared" si="13"/>
        <v>1.76623231476443E-2</v>
      </c>
      <c r="L69" s="10"/>
      <c r="M69" s="22">
        <v>7424</v>
      </c>
      <c r="N69" s="12">
        <f t="shared" si="6"/>
        <v>-104854.67488654051</v>
      </c>
      <c r="O69" s="12">
        <f t="shared" si="7"/>
        <v>-285988.26092871896</v>
      </c>
      <c r="P69" s="12">
        <f t="shared" si="8"/>
        <v>181133.58604217845</v>
      </c>
      <c r="Q69" s="12">
        <f t="shared" si="9"/>
        <v>4194.6555367116252</v>
      </c>
      <c r="R69" s="12">
        <f t="shared" si="14"/>
        <v>-2175.4435278263054</v>
      </c>
      <c r="S69" s="12"/>
    </row>
    <row r="70" spans="1:19" x14ac:dyDescent="0.2">
      <c r="A70" s="12">
        <f t="shared" si="10"/>
        <v>275</v>
      </c>
      <c r="B70" s="13">
        <f t="shared" si="15"/>
        <v>0.42783079015832354</v>
      </c>
      <c r="C70" s="13">
        <f t="shared" si="5"/>
        <v>-42.505748053502039</v>
      </c>
      <c r="D70" s="12">
        <f t="shared" si="1"/>
        <v>99.877694788923918</v>
      </c>
      <c r="E70" s="12">
        <f t="shared" si="2"/>
        <v>159.66891496913786</v>
      </c>
      <c r="F70" s="12">
        <f t="shared" si="16"/>
        <v>60.423563461630664</v>
      </c>
      <c r="G70" s="12">
        <f t="shared" si="17"/>
        <v>282.55658852308579</v>
      </c>
      <c r="H70" s="12"/>
      <c r="I70" s="12">
        <f t="shared" si="11"/>
        <v>37.194581133869619</v>
      </c>
      <c r="J70" s="12">
        <f t="shared" si="12"/>
        <v>-2.6952718160858797</v>
      </c>
      <c r="K70" s="12">
        <f t="shared" si="13"/>
        <v>0.18683078949662879</v>
      </c>
      <c r="L70" s="10"/>
      <c r="M70" s="22">
        <v>7936</v>
      </c>
      <c r="N70" s="12">
        <f t="shared" si="6"/>
        <v>-125408.95905705245</v>
      </c>
      <c r="O70" s="12">
        <f t="shared" si="7"/>
        <v>-284899.98925366852</v>
      </c>
      <c r="P70" s="12">
        <f t="shared" si="8"/>
        <v>159491.03019661608</v>
      </c>
      <c r="Q70" s="12">
        <f t="shared" si="9"/>
        <v>4159.8290783319217</v>
      </c>
      <c r="R70" s="12">
        <f t="shared" si="14"/>
        <v>-2389.160612596902</v>
      </c>
      <c r="S70" s="12"/>
    </row>
    <row r="71" spans="1:19" x14ac:dyDescent="0.2">
      <c r="A71" s="12">
        <f t="shared" si="10"/>
        <v>280</v>
      </c>
      <c r="B71" s="13">
        <f t="shared" si="15"/>
        <v>0.38554094183906878</v>
      </c>
      <c r="C71" s="13">
        <f t="shared" si="5"/>
        <v>-41.707845731702051</v>
      </c>
      <c r="D71" s="12">
        <f t="shared" si="1"/>
        <v>101.17824240600768</v>
      </c>
      <c r="E71" s="12">
        <f t="shared" si="2"/>
        <v>160.95516945956925</v>
      </c>
      <c r="F71" s="12">
        <f t="shared" si="16"/>
        <v>59.064475686899193</v>
      </c>
      <c r="G71" s="12">
        <f t="shared" si="17"/>
        <v>287.49804836543808</v>
      </c>
      <c r="H71" s="12"/>
      <c r="I71" s="12">
        <f t="shared" si="11"/>
        <v>33.518003312372784</v>
      </c>
      <c r="J71" s="12">
        <f t="shared" si="12"/>
        <v>-2.6544891871207148</v>
      </c>
      <c r="K71" s="12">
        <f t="shared" si="13"/>
        <v>0.35335483154745084</v>
      </c>
      <c r="L71" s="10"/>
      <c r="M71" s="22">
        <v>8448</v>
      </c>
      <c r="N71" s="12">
        <f t="shared" si="6"/>
        <v>-144409.2450614452</v>
      </c>
      <c r="O71" s="12">
        <f t="shared" si="7"/>
        <v>-281643.45663308079</v>
      </c>
      <c r="P71" s="12">
        <f t="shared" si="8"/>
        <v>137234.21157163559</v>
      </c>
      <c r="Q71" s="12">
        <f t="shared" si="9"/>
        <v>4065.9518452221446</v>
      </c>
      <c r="R71" s="12">
        <f t="shared" si="14"/>
        <v>-2509.8771261418392</v>
      </c>
      <c r="S71" s="12"/>
    </row>
    <row r="72" spans="1:19" x14ac:dyDescent="0.2">
      <c r="A72" s="12">
        <f t="shared" si="10"/>
        <v>285</v>
      </c>
      <c r="B72" s="13">
        <f t="shared" si="15"/>
        <v>0.34420087708501762</v>
      </c>
      <c r="C72" s="13">
        <f t="shared" si="5"/>
        <v>-40.614554900600488</v>
      </c>
      <c r="D72" s="12">
        <f t="shared" si="1"/>
        <v>102.40048507372506</v>
      </c>
      <c r="E72" s="12">
        <f t="shared" si="2"/>
        <v>162.14950400890999</v>
      </c>
      <c r="F72" s="12">
        <f t="shared" si="16"/>
        <v>57.735911531509281</v>
      </c>
      <c r="G72" s="12">
        <f t="shared" si="17"/>
        <v>292.39172687776556</v>
      </c>
      <c r="H72" s="12"/>
      <c r="I72" s="12">
        <f t="shared" si="11"/>
        <v>29.923997392403898</v>
      </c>
      <c r="J72" s="12">
        <f t="shared" si="12"/>
        <v>-2.5948722742175359</v>
      </c>
      <c r="K72" s="12">
        <f t="shared" si="13"/>
        <v>0.51654159505694452</v>
      </c>
      <c r="L72" s="10"/>
      <c r="M72" s="22">
        <v>8960</v>
      </c>
      <c r="N72" s="12">
        <f t="shared" si="6"/>
        <v>-161418.48699694659</v>
      </c>
      <c r="O72" s="12">
        <f t="shared" si="7"/>
        <v>-276243.44724654657</v>
      </c>
      <c r="P72" s="12">
        <f t="shared" si="8"/>
        <v>114824.96024959997</v>
      </c>
      <c r="Q72" s="12">
        <f t="shared" si="9"/>
        <v>3908.2386239971693</v>
      </c>
      <c r="R72" s="12">
        <f t="shared" si="14"/>
        <v>-2606.8522939507652</v>
      </c>
      <c r="S72" s="12"/>
    </row>
    <row r="73" spans="1:19" x14ac:dyDescent="0.2">
      <c r="A73" s="12">
        <f t="shared" si="10"/>
        <v>290</v>
      </c>
      <c r="B73" s="13">
        <f t="shared" si="15"/>
        <v>0.30410296663464348</v>
      </c>
      <c r="C73" s="13">
        <f t="shared" si="5"/>
        <v>-39.234404958924998</v>
      </c>
      <c r="D73" s="12">
        <f t="shared" si="1"/>
        <v>103.53456737814217</v>
      </c>
      <c r="E73" s="12">
        <f t="shared" si="2"/>
        <v>163.24494092199313</v>
      </c>
      <c r="F73" s="12">
        <f t="shared" si="16"/>
        <v>56.447267044681738</v>
      </c>
      <c r="G73" s="12">
        <f t="shared" si="17"/>
        <v>297.23716469535515</v>
      </c>
      <c r="H73" s="12"/>
      <c r="I73" s="12">
        <f t="shared" si="11"/>
        <v>26.437981383614165</v>
      </c>
      <c r="J73" s="12">
        <f t="shared" si="12"/>
        <v>-2.5169035583461872</v>
      </c>
      <c r="K73" s="12">
        <f t="shared" si="13"/>
        <v>0.67554797622841412</v>
      </c>
      <c r="L73" s="10"/>
      <c r="M73" s="22">
        <v>9390</v>
      </c>
      <c r="N73" s="12">
        <f t="shared" si="6"/>
        <v>-172804.01320108928</v>
      </c>
      <c r="O73" s="12">
        <f t="shared" si="7"/>
        <v>-268741.05842611211</v>
      </c>
      <c r="P73" s="12">
        <f t="shared" si="8"/>
        <v>95937.045225022826</v>
      </c>
      <c r="Q73" s="12">
        <f t="shared" si="9"/>
        <v>3679.1206070398785</v>
      </c>
      <c r="R73" s="12">
        <f t="shared" si="14"/>
        <v>-2665.3497400538167</v>
      </c>
      <c r="S73" s="12"/>
    </row>
    <row r="74" spans="1:19" x14ac:dyDescent="0.2">
      <c r="A74" s="12">
        <f t="shared" si="10"/>
        <v>295</v>
      </c>
      <c r="B74" s="13">
        <f t="shared" si="15"/>
        <v>0.26553004374605438</v>
      </c>
      <c r="C74" s="13">
        <f t="shared" si="5"/>
        <v>-37.577919469953343</v>
      </c>
      <c r="D74" s="12">
        <f t="shared" si="1"/>
        <v>104.57103662143081</v>
      </c>
      <c r="E74" s="12">
        <f t="shared" si="2"/>
        <v>164.23520037388661</v>
      </c>
      <c r="F74" s="12">
        <f t="shared" si="16"/>
        <v>55.20763176536407</v>
      </c>
      <c r="G74" s="12">
        <f t="shared" si="17"/>
        <v>302.03399865932613</v>
      </c>
      <c r="H74" s="12"/>
      <c r="I74" s="12">
        <f t="shared" si="11"/>
        <v>23.084544130023332</v>
      </c>
      <c r="J74" s="12">
        <f t="shared" si="12"/>
        <v>-2.4211816970925812</v>
      </c>
      <c r="K74" s="12">
        <f t="shared" si="13"/>
        <v>0.82936738059646553</v>
      </c>
      <c r="L74" s="10"/>
      <c r="M74" s="22">
        <v>9810</v>
      </c>
      <c r="N74" s="12">
        <f t="shared" si="6"/>
        <v>-181290.91469084294</v>
      </c>
      <c r="O74" s="12">
        <f t="shared" si="7"/>
        <v>-259193.38788076729</v>
      </c>
      <c r="P74" s="12">
        <f t="shared" si="8"/>
        <v>77902.473189924349</v>
      </c>
      <c r="Q74" s="12">
        <f t="shared" si="9"/>
        <v>3367.452615128077</v>
      </c>
      <c r="R74" s="12">
        <f t="shared" si="14"/>
        <v>-2682.7498028726664</v>
      </c>
      <c r="S74" s="12"/>
    </row>
    <row r="75" spans="1:19" x14ac:dyDescent="0.2">
      <c r="A75" s="12">
        <f t="shared" si="10"/>
        <v>300</v>
      </c>
      <c r="B75" s="13">
        <f t="shared" si="15"/>
        <v>0.22875325988398043</v>
      </c>
      <c r="C75" s="13">
        <f t="shared" si="5"/>
        <v>-35.657893330043926</v>
      </c>
      <c r="D75" s="12">
        <f t="shared" si="1"/>
        <v>105.50096308126159</v>
      </c>
      <c r="E75" s="12">
        <f t="shared" si="2"/>
        <v>165.11470110495276</v>
      </c>
      <c r="F75" s="12">
        <f t="shared" si="16"/>
        <v>54.025719809483896</v>
      </c>
      <c r="G75" s="12">
        <f t="shared" si="17"/>
        <v>306.7820131632767</v>
      </c>
      <c r="H75" s="12"/>
      <c r="I75" s="12">
        <f t="shared" si="11"/>
        <v>19.887258888597639</v>
      </c>
      <c r="J75" s="12">
        <f t="shared" si="12"/>
        <v>-2.3084399443093497</v>
      </c>
      <c r="K75" s="12">
        <f t="shared" si="13"/>
        <v>0.97683361945869596</v>
      </c>
      <c r="L75" s="10"/>
      <c r="M75" s="22">
        <v>10240</v>
      </c>
      <c r="N75" s="12">
        <f t="shared" si="6"/>
        <v>-187360.83471338282</v>
      </c>
      <c r="O75" s="12">
        <f t="shared" si="7"/>
        <v>-247673.09914840321</v>
      </c>
      <c r="P75" s="12">
        <f t="shared" si="8"/>
        <v>60312.264435020392</v>
      </c>
      <c r="Q75" s="12">
        <f t="shared" si="9"/>
        <v>2957.2440289349051</v>
      </c>
      <c r="R75" s="12">
        <f t="shared" si="14"/>
        <v>-2671.0653787743809</v>
      </c>
      <c r="S75" s="12"/>
    </row>
    <row r="76" spans="1:19" x14ac:dyDescent="0.2">
      <c r="A76" s="12">
        <f t="shared" si="10"/>
        <v>305</v>
      </c>
      <c r="B76" s="13">
        <f t="shared" si="15"/>
        <v>0.19402968988130662</v>
      </c>
      <c r="C76" s="13">
        <f t="shared" si="5"/>
        <v>-33.48960846145107</v>
      </c>
      <c r="D76" s="12">
        <f t="shared" si="1"/>
        <v>106.31607404468942</v>
      </c>
      <c r="E76" s="12">
        <f t="shared" si="2"/>
        <v>165.87855997695081</v>
      </c>
      <c r="F76" s="12">
        <f t="shared" si="16"/>
        <v>52.909792905953729</v>
      </c>
      <c r="G76" s="12">
        <f t="shared" si="17"/>
        <v>311.48119722317438</v>
      </c>
      <c r="H76" s="12"/>
      <c r="I76" s="12">
        <f t="shared" si="11"/>
        <v>16.868475127746517</v>
      </c>
      <c r="J76" s="12">
        <f t="shared" si="12"/>
        <v>-2.1795618753345094</v>
      </c>
      <c r="K76" s="12">
        <f t="shared" si="13"/>
        <v>1.1166442553682312</v>
      </c>
      <c r="L76" s="10"/>
      <c r="M76" s="22">
        <v>10547</v>
      </c>
      <c r="N76" s="12">
        <f t="shared" si="6"/>
        <v>-186249.10849751401</v>
      </c>
      <c r="O76" s="12">
        <f t="shared" si="7"/>
        <v>-234267.86858241374</v>
      </c>
      <c r="P76" s="12">
        <f t="shared" si="8"/>
        <v>48018.760084899724</v>
      </c>
      <c r="Q76" s="12">
        <f t="shared" si="9"/>
        <v>2425.6378100487473</v>
      </c>
      <c r="R76" s="12">
        <f t="shared" si="14"/>
        <v>-2614.6440848671778</v>
      </c>
      <c r="S76" s="12"/>
    </row>
    <row r="77" spans="1:19" x14ac:dyDescent="0.2">
      <c r="A77" s="12">
        <f t="shared" si="10"/>
        <v>310</v>
      </c>
      <c r="B77" s="13">
        <f t="shared" si="15"/>
        <v>0.16159976716567767</v>
      </c>
      <c r="C77" s="13">
        <f t="shared" si="5"/>
        <v>-31.09095068290787</v>
      </c>
      <c r="D77" s="12">
        <f t="shared" si="1"/>
        <v>107.0088969793684</v>
      </c>
      <c r="E77" s="12">
        <f t="shared" si="2"/>
        <v>166.52259082105124</v>
      </c>
      <c r="F77" s="12">
        <f t="shared" si="16"/>
        <v>51.867577971400983</v>
      </c>
      <c r="G77" s="12">
        <f t="shared" si="17"/>
        <v>316.1318052233006</v>
      </c>
      <c r="H77" s="12"/>
      <c r="I77" s="12">
        <f t="shared" si="11"/>
        <v>14.049095552084822</v>
      </c>
      <c r="J77" s="12">
        <f t="shared" si="12"/>
        <v>-2.0355920536277443</v>
      </c>
      <c r="K77" s="12">
        <f t="shared" si="13"/>
        <v>1.2474044314446704</v>
      </c>
      <c r="L77" s="10"/>
      <c r="M77" s="22">
        <v>10957</v>
      </c>
      <c r="N77" s="12">
        <f t="shared" si="6"/>
        <v>-185656.50290791606</v>
      </c>
      <c r="O77" s="12">
        <f t="shared" si="7"/>
        <v>-219079.71808170553</v>
      </c>
      <c r="P77" s="12">
        <f t="shared" si="8"/>
        <v>33423.215173789475</v>
      </c>
      <c r="Q77" s="12">
        <f t="shared" si="9"/>
        <v>1739.6303624818065</v>
      </c>
      <c r="R77" s="12">
        <f t="shared" si="14"/>
        <v>-2526.1640997928794</v>
      </c>
      <c r="S77" s="12"/>
    </row>
    <row r="78" spans="1:19" x14ac:dyDescent="0.2">
      <c r="A78" s="12">
        <f t="shared" si="10"/>
        <v>315</v>
      </c>
      <c r="B78" s="13">
        <f t="shared" si="15"/>
        <v>0.13168466550157173</v>
      </c>
      <c r="C78" s="13">
        <f t="shared" si="5"/>
        <v>-28.482394461359611</v>
      </c>
      <c r="D78" s="12">
        <f t="shared" si="1"/>
        <v>107.57290550789534</v>
      </c>
      <c r="E78" s="12">
        <f t="shared" si="2"/>
        <v>167.0433029187995</v>
      </c>
      <c r="F78" s="12">
        <f t="shared" si="16"/>
        <v>50.906182966041648</v>
      </c>
      <c r="G78" s="12">
        <f t="shared" si="17"/>
        <v>320.73441874646824</v>
      </c>
      <c r="H78" s="12"/>
      <c r="I78" s="12">
        <f t="shared" si="11"/>
        <v>11.44834847737852</v>
      </c>
      <c r="J78" s="12">
        <f t="shared" si="12"/>
        <v>-1.8777393879379498</v>
      </c>
      <c r="K78" s="12">
        <f t="shared" si="13"/>
        <v>1.3676902031445053</v>
      </c>
      <c r="L78" s="10"/>
      <c r="M78" s="22">
        <v>11264</v>
      </c>
      <c r="N78" s="12">
        <f t="shared" si="6"/>
        <v>-178823.8653862002</v>
      </c>
      <c r="O78" s="12">
        <f t="shared" si="7"/>
        <v>-202224.23864244498</v>
      </c>
      <c r="P78" s="12">
        <f t="shared" si="8"/>
        <v>23400.373256244784</v>
      </c>
      <c r="Q78" s="12">
        <f t="shared" si="9"/>
        <v>850.56277490523189</v>
      </c>
      <c r="R78" s="12">
        <f t="shared" si="14"/>
        <v>-2407.9666977936972</v>
      </c>
      <c r="S78" s="12"/>
    </row>
    <row r="79" spans="1:19" x14ac:dyDescent="0.2">
      <c r="A79" s="12">
        <f t="shared" si="10"/>
        <v>320</v>
      </c>
      <c r="B79" s="13">
        <f t="shared" ref="B79:B87" si="18">($B$11-F79)/($B$11-$B$12)</f>
        <v>0.1044837729541756</v>
      </c>
      <c r="C79" s="13">
        <f t="shared" si="5"/>
        <v>-25.686831430817065</v>
      </c>
      <c r="D79" s="12">
        <f t="shared" ref="D79:D87" si="19">DEGREES(ACOS(($B$5^2+$B$4^2-$B$7^2-$B$8^2+2*$B$7*$B$8*COS(RADIANS(A79-$B$10)))/(2*$B$5*$B$4)))</f>
        <v>108.00266046435499</v>
      </c>
      <c r="E79" s="12">
        <f t="shared" ref="E79:E87" si="20">SQRT($B$8^2+$B$7^2-2*$B$8*$B$7*COS(RADIANS($B$10-A79)))</f>
        <v>167.43789938176761</v>
      </c>
      <c r="F79" s="12">
        <f t="shared" ref="F79:F87" si="21">DEGREES(ASIN($B$4*SIN(RADIANS(D79))/E79))+DEGREES(ASIN($B$8*SIN(RADIANS(A79-$B$10))/E79))</f>
        <v>50.032015713327276</v>
      </c>
      <c r="G79" s="12">
        <f t="shared" ref="G79:G87" si="22">D79+F79+(A79-$B$10)</f>
        <v>325.29000645021347</v>
      </c>
      <c r="H79" s="12"/>
      <c r="I79" s="12">
        <f t="shared" si="11"/>
        <v>9.0835682230321808</v>
      </c>
      <c r="J79" s="12">
        <f t="shared" si="12"/>
        <v>-1.7073713436380569</v>
      </c>
      <c r="K79" s="12">
        <f t="shared" si="13"/>
        <v>1.4761277809255093</v>
      </c>
      <c r="L79" s="10"/>
      <c r="M79" s="22">
        <v>11571</v>
      </c>
      <c r="N79" s="12">
        <f t="shared" si="6"/>
        <v>-169158.05970450272</v>
      </c>
      <c r="O79" s="12">
        <f t="shared" si="7"/>
        <v>-183829.71064078165</v>
      </c>
      <c r="P79" s="12">
        <f t="shared" si="8"/>
        <v>14671.650936278922</v>
      </c>
      <c r="Q79" s="12">
        <f t="shared" si="9"/>
        <v>-315.57113611186105</v>
      </c>
      <c r="R79" s="12">
        <f t="shared" si="14"/>
        <v>-2249.989879499944</v>
      </c>
      <c r="S79" s="12"/>
    </row>
    <row r="80" spans="1:19" x14ac:dyDescent="0.2">
      <c r="A80" s="12">
        <f t="shared" si="10"/>
        <v>325</v>
      </c>
      <c r="B80" s="13">
        <f t="shared" si="18"/>
        <v>8.01724212266888E-2</v>
      </c>
      <c r="C80" s="13">
        <f t="shared" ref="C80:C87" si="23">$C$9*$B$8*$B$3/$B$5*SIN(RADIANS(G80))/SIN(RADIANS(D80))</f>
        <v>-22.729232810910847</v>
      </c>
      <c r="D80" s="12">
        <f t="shared" si="19"/>
        <v>108.29393749661679</v>
      </c>
      <c r="E80" s="12">
        <f t="shared" si="20"/>
        <v>167.70427563281078</v>
      </c>
      <c r="F80" s="12">
        <f t="shared" si="21"/>
        <v>49.250710926642093</v>
      </c>
      <c r="G80" s="12">
        <f t="shared" si="22"/>
        <v>329.79997869579012</v>
      </c>
      <c r="H80" s="12"/>
      <c r="I80" s="12">
        <f t="shared" si="11"/>
        <v>6.9699977061289413</v>
      </c>
      <c r="J80" s="12">
        <f t="shared" si="12"/>
        <v>-1.5259979132041388</v>
      </c>
      <c r="K80" s="12">
        <f t="shared" si="13"/>
        <v>1.5714822605698888</v>
      </c>
      <c r="L80" s="10"/>
      <c r="M80" s="22">
        <v>11981</v>
      </c>
      <c r="N80" s="12">
        <f t="shared" ref="N80:N87" si="24">C80*(M80-$L$7)</f>
        <v>-159000.07520544576</v>
      </c>
      <c r="O80" s="12">
        <f t="shared" ref="O80:O87" si="25">$C$9*$L$8*SIN(RADIANS(A80))</f>
        <v>-164036.12754172785</v>
      </c>
      <c r="P80" s="12">
        <f t="shared" ref="P80:P87" si="26">N80-O80</f>
        <v>5036.0523362820968</v>
      </c>
      <c r="Q80" s="12">
        <f t="shared" ref="Q80:Q87" si="27">IF(($F$3+O80)/C80+$L$7&lt;$F$4,($F$3+O80)/C80+$L$7,$F$4)</f>
        <v>-1876.2185996759163</v>
      </c>
      <c r="R80" s="12">
        <f t="shared" si="14"/>
        <v>-2074.1172005877124</v>
      </c>
      <c r="S80" s="12"/>
    </row>
    <row r="81" spans="1:19" x14ac:dyDescent="0.2">
      <c r="A81" s="12">
        <f t="shared" ref="A81:A87" si="28">A80+5*$C$9</f>
        <v>330</v>
      </c>
      <c r="B81" s="13">
        <f t="shared" si="18"/>
        <v>5.8900034593927821E-2</v>
      </c>
      <c r="C81" s="13">
        <f t="shared" si="23"/>
        <v>-19.636153926254696</v>
      </c>
      <c r="D81" s="12">
        <f t="shared" si="19"/>
        <v>108.44383266197249</v>
      </c>
      <c r="E81" s="12">
        <f t="shared" si="20"/>
        <v>167.84101813935519</v>
      </c>
      <c r="F81" s="12">
        <f t="shared" si="21"/>
        <v>48.567070720754117</v>
      </c>
      <c r="G81" s="12">
        <f t="shared" si="22"/>
        <v>334.26623365525785</v>
      </c>
      <c r="H81" s="12"/>
      <c r="I81" s="12">
        <f t="shared" ref="I81:I87" si="29">-$B$3*B81*($B$11-$B$12)*2*3.1415/360</f>
        <v>5.1206275141647941</v>
      </c>
      <c r="J81" s="12">
        <f t="shared" ref="J81:J87" si="30">(I81-I80)/10*$E$8</f>
        <v>-1.3352452785981144</v>
      </c>
      <c r="K81" s="12">
        <f t="shared" ref="K81:K87" si="31">(J81-J80)/0.8333*$E$8</f>
        <v>1.6527469361040397</v>
      </c>
      <c r="L81" s="10"/>
      <c r="M81" s="22">
        <v>12288</v>
      </c>
      <c r="N81" s="12">
        <f t="shared" si="24"/>
        <v>-143391.05043108232</v>
      </c>
      <c r="O81" s="12">
        <f t="shared" si="25"/>
        <v>-142994.13046435959</v>
      </c>
      <c r="P81" s="12">
        <f t="shared" si="26"/>
        <v>-396.91996672272217</v>
      </c>
      <c r="Q81" s="12">
        <f t="shared" si="27"/>
        <v>-4028.6840701087158</v>
      </c>
      <c r="R81" s="12">
        <f t="shared" ref="R81:R87" si="32">(M81+M80)/2*(I81-I80)/12</f>
        <v>-1870.0985495324121</v>
      </c>
      <c r="S81" s="12"/>
    </row>
    <row r="82" spans="1:19" x14ac:dyDescent="0.2">
      <c r="A82" s="12">
        <f t="shared" si="28"/>
        <v>335</v>
      </c>
      <c r="B82" s="13">
        <f t="shared" si="18"/>
        <v>4.0788844640921813E-2</v>
      </c>
      <c r="C82" s="13">
        <f t="shared" si="23"/>
        <v>-16.435108500235586</v>
      </c>
      <c r="D82" s="12">
        <f t="shared" si="19"/>
        <v>108.45083838302662</v>
      </c>
      <c r="E82" s="12">
        <f t="shared" si="20"/>
        <v>167.84740350483571</v>
      </c>
      <c r="F82" s="12">
        <f t="shared" si="21"/>
        <v>47.985023306794425</v>
      </c>
      <c r="G82" s="12">
        <f t="shared" si="22"/>
        <v>338.69119196235226</v>
      </c>
      <c r="H82" s="12"/>
      <c r="I82" s="12">
        <f t="shared" si="29"/>
        <v>3.5460841675096382</v>
      </c>
      <c r="J82" s="12">
        <f t="shared" si="30"/>
        <v>-1.1368202962850225</v>
      </c>
      <c r="K82" s="12">
        <f t="shared" si="31"/>
        <v>1.7192228156732552</v>
      </c>
      <c r="L82" s="10"/>
      <c r="M82" s="22">
        <v>11981</v>
      </c>
      <c r="N82" s="12">
        <f t="shared" si="24"/>
        <v>-114970.15800254802</v>
      </c>
      <c r="O82" s="12">
        <f t="shared" si="25"/>
        <v>-120863.86171194073</v>
      </c>
      <c r="P82" s="12">
        <f t="shared" si="26"/>
        <v>5893.7037093927065</v>
      </c>
      <c r="Q82" s="12">
        <f t="shared" si="27"/>
        <v>-7130.9088922415567</v>
      </c>
      <c r="R82" s="12">
        <f t="shared" si="32"/>
        <v>-1592.1913533322493</v>
      </c>
      <c r="S82" s="12"/>
    </row>
    <row r="83" spans="1:19" x14ac:dyDescent="0.2">
      <c r="A83" s="12">
        <f t="shared" si="28"/>
        <v>340</v>
      </c>
      <c r="B83" s="13">
        <f t="shared" si="18"/>
        <v>2.5933280079147466E-2</v>
      </c>
      <c r="C83" s="13">
        <f t="shared" si="23"/>
        <v>-13.153858058807497</v>
      </c>
      <c r="D83" s="12">
        <f t="shared" si="19"/>
        <v>108.3148839776964</v>
      </c>
      <c r="E83" s="12">
        <f t="shared" si="20"/>
        <v>167.72339798616986</v>
      </c>
      <c r="F83" s="12">
        <f t="shared" si="21"/>
        <v>47.507603382508506</v>
      </c>
      <c r="G83" s="12">
        <f t="shared" si="22"/>
        <v>343.07781763273613</v>
      </c>
      <c r="H83" s="12"/>
      <c r="I83" s="12">
        <f t="shared" si="29"/>
        <v>2.2545770714965663</v>
      </c>
      <c r="J83" s="12">
        <f t="shared" si="30"/>
        <v>-0.93246812332143791</v>
      </c>
      <c r="K83" s="12">
        <f t="shared" si="31"/>
        <v>1.7705780496784835</v>
      </c>
      <c r="L83" s="10"/>
      <c r="M83" s="22">
        <v>11571</v>
      </c>
      <c r="N83" s="12">
        <f t="shared" si="24"/>
        <v>-86623.416860470898</v>
      </c>
      <c r="O83" s="12">
        <f t="shared" si="25"/>
        <v>-97813.745992299169</v>
      </c>
      <c r="P83" s="12">
        <f t="shared" si="26"/>
        <v>11190.329131828272</v>
      </c>
      <c r="Q83" s="12">
        <f t="shared" si="27"/>
        <v>-11905.737356261834</v>
      </c>
      <c r="R83" s="12">
        <f t="shared" si="32"/>
        <v>-1267.3989635541614</v>
      </c>
      <c r="S83" s="12"/>
    </row>
    <row r="84" spans="1:19" x14ac:dyDescent="0.2">
      <c r="A84" s="12">
        <f t="shared" si="28"/>
        <v>345</v>
      </c>
      <c r="B84" s="13">
        <f t="shared" si="18"/>
        <v>1.4400088553077908E-2</v>
      </c>
      <c r="C84" s="13">
        <f t="shared" si="23"/>
        <v>-9.8196743418398782</v>
      </c>
      <c r="D84" s="12">
        <f t="shared" si="19"/>
        <v>108.03733757799108</v>
      </c>
      <c r="E84" s="12">
        <f t="shared" si="20"/>
        <v>167.46965747096343</v>
      </c>
      <c r="F84" s="12">
        <f t="shared" si="21"/>
        <v>47.136956046807825</v>
      </c>
      <c r="G84" s="12">
        <f t="shared" si="22"/>
        <v>347.42962389733015</v>
      </c>
      <c r="H84" s="12"/>
      <c r="I84" s="12">
        <f t="shared" si="29"/>
        <v>1.2519091059906107</v>
      </c>
      <c r="J84" s="12">
        <f t="shared" si="30"/>
        <v>-0.72392627109529994</v>
      </c>
      <c r="K84" s="12">
        <f t="shared" si="31"/>
        <v>1.806878882842573</v>
      </c>
      <c r="L84" s="10"/>
      <c r="M84" s="22">
        <v>11264</v>
      </c>
      <c r="N84" s="12">
        <f t="shared" si="24"/>
        <v>-61651.843387807494</v>
      </c>
      <c r="O84" s="12">
        <f t="shared" si="25"/>
        <v>-74019.208604101572</v>
      </c>
      <c r="P84" s="12">
        <f t="shared" si="26"/>
        <v>12367.365216294078</v>
      </c>
      <c r="Q84" s="12">
        <f t="shared" si="27"/>
        <v>-20064.191147127785</v>
      </c>
      <c r="R84" s="12">
        <f t="shared" si="32"/>
        <v>-953.99679134702058</v>
      </c>
      <c r="S84" s="12"/>
    </row>
    <row r="85" spans="1:19" x14ac:dyDescent="0.2">
      <c r="A85" s="12">
        <f t="shared" si="28"/>
        <v>350</v>
      </c>
      <c r="B85" s="13">
        <f t="shared" si="18"/>
        <v>6.2291860392133655E-3</v>
      </c>
      <c r="C85" s="13">
        <f t="shared" si="23"/>
        <v>-6.4586375845613659</v>
      </c>
      <c r="D85" s="12">
        <f t="shared" si="19"/>
        <v>107.62096928511093</v>
      </c>
      <c r="E85" s="12">
        <f t="shared" si="20"/>
        <v>167.08752791600239</v>
      </c>
      <c r="F85" s="12">
        <f t="shared" si="21"/>
        <v>46.87436409728646</v>
      </c>
      <c r="G85" s="12">
        <f t="shared" si="22"/>
        <v>351.75066365492864</v>
      </c>
      <c r="H85" s="12"/>
      <c r="I85" s="12">
        <f t="shared" si="29"/>
        <v>0.54155047009998813</v>
      </c>
      <c r="J85" s="12">
        <f t="shared" si="30"/>
        <v>-0.5128789351130294</v>
      </c>
      <c r="K85" s="12">
        <f t="shared" si="31"/>
        <v>1.8285872624408896</v>
      </c>
      <c r="L85" s="10"/>
      <c r="M85" s="22">
        <v>11264</v>
      </c>
      <c r="N85" s="12">
        <f t="shared" si="24"/>
        <v>-40549.910210910086</v>
      </c>
      <c r="O85" s="12">
        <f t="shared" si="25"/>
        <v>-49661.340344406635</v>
      </c>
      <c r="P85" s="12">
        <f t="shared" si="26"/>
        <v>9111.4301334965494</v>
      </c>
      <c r="Q85" s="12">
        <f t="shared" si="27"/>
        <v>-36871.317363161383</v>
      </c>
      <c r="R85" s="12">
        <f t="shared" si="32"/>
        <v>-666.78997288933101</v>
      </c>
      <c r="S85" s="12"/>
    </row>
    <row r="86" spans="1:19" x14ac:dyDescent="0.2">
      <c r="A86" s="12">
        <f t="shared" si="28"/>
        <v>355</v>
      </c>
      <c r="B86" s="13">
        <f t="shared" si="18"/>
        <v>1.4351674467253466E-3</v>
      </c>
      <c r="C86" s="13">
        <f t="shared" si="23"/>
        <v>-3.0950299112893078</v>
      </c>
      <c r="D86" s="12">
        <f t="shared" si="19"/>
        <v>107.06987846224469</v>
      </c>
      <c r="E86" s="12">
        <f t="shared" si="20"/>
        <v>166.57904621654001</v>
      </c>
      <c r="F86" s="12">
        <f t="shared" si="21"/>
        <v>46.72029657706981</v>
      </c>
      <c r="G86" s="12">
        <f t="shared" si="22"/>
        <v>356.04550531184577</v>
      </c>
      <c r="H86" s="12"/>
      <c r="I86" s="12">
        <f t="shared" si="29"/>
        <v>0.12477001016724483</v>
      </c>
      <c r="J86" s="12">
        <f t="shared" si="30"/>
        <v>-0.30091549207144069</v>
      </c>
      <c r="K86" s="12">
        <f t="shared" si="31"/>
        <v>1.8365247315015845</v>
      </c>
      <c r="L86" s="10"/>
      <c r="M86" s="22">
        <v>11264</v>
      </c>
      <c r="N86" s="12">
        <f t="shared" si="24"/>
        <v>-19431.835795038791</v>
      </c>
      <c r="O86" s="12">
        <f t="shared" si="25"/>
        <v>-24925.519298353611</v>
      </c>
      <c r="P86" s="12">
        <f t="shared" si="26"/>
        <v>5493.68350331482</v>
      </c>
      <c r="Q86" s="12">
        <f t="shared" si="27"/>
        <v>-90352.56769438785</v>
      </c>
      <c r="R86" s="12">
        <f t="shared" si="32"/>
        <v>-391.21792505686841</v>
      </c>
      <c r="S86" s="12"/>
    </row>
    <row r="87" spans="1:19" x14ac:dyDescent="0.2">
      <c r="A87" s="12">
        <f t="shared" si="28"/>
        <v>360</v>
      </c>
      <c r="B87" s="13">
        <f t="shared" si="18"/>
        <v>9.357710904757864E-6</v>
      </c>
      <c r="C87" s="13">
        <f t="shared" si="23"/>
        <v>0.24912830784432674</v>
      </c>
      <c r="D87" s="12">
        <f t="shared" si="19"/>
        <v>106.38939072575974</v>
      </c>
      <c r="E87" s="12">
        <f t="shared" si="20"/>
        <v>165.94694144198434</v>
      </c>
      <c r="F87" s="12">
        <f t="shared" si="21"/>
        <v>46.674474691722338</v>
      </c>
      <c r="G87" s="12">
        <f t="shared" si="22"/>
        <v>360.31919569001332</v>
      </c>
      <c r="H87" s="12"/>
      <c r="I87" s="12">
        <f t="shared" si="29"/>
        <v>8.1353690636784429E-4</v>
      </c>
      <c r="J87" s="12">
        <f t="shared" si="30"/>
        <v>-8.9496573694353168E-2</v>
      </c>
      <c r="K87" s="12">
        <f t="shared" si="31"/>
        <v>1.83180678109033</v>
      </c>
      <c r="L87" s="10"/>
      <c r="M87" s="22">
        <v>11264</v>
      </c>
      <c r="N87" s="12">
        <f t="shared" si="24"/>
        <v>1564.1271679698211</v>
      </c>
      <c r="O87" s="12">
        <f t="shared" si="25"/>
        <v>-7.0075615199764661E-11</v>
      </c>
      <c r="P87" s="12">
        <f t="shared" si="26"/>
        <v>1564.1271679698912</v>
      </c>
      <c r="Q87" s="12">
        <f t="shared" si="27"/>
        <v>30500</v>
      </c>
      <c r="R87" s="12">
        <f t="shared" si="32"/>
        <v>-116.35380956754319</v>
      </c>
      <c r="S87" s="12"/>
    </row>
    <row r="88" spans="1:19" x14ac:dyDescent="0.2">
      <c r="N88" s="12"/>
      <c r="O88" s="12"/>
      <c r="P88" s="12"/>
      <c r="Q88" s="12"/>
      <c r="R88" s="12"/>
      <c r="S88" s="12"/>
    </row>
    <row r="89" spans="1:19" x14ac:dyDescent="0.2">
      <c r="N89" s="12"/>
      <c r="O89" s="12"/>
      <c r="P89" s="12"/>
      <c r="Q89" s="17" t="s">
        <v>84</v>
      </c>
      <c r="R89" s="12">
        <f>SUM(R16:R87)</f>
        <v>56851.073999415712</v>
      </c>
      <c r="S89" s="17" t="s">
        <v>72</v>
      </c>
    </row>
    <row r="90" spans="1:19" x14ac:dyDescent="0.2">
      <c r="N90" s="12"/>
      <c r="O90" s="12"/>
      <c r="P90" s="12"/>
      <c r="Q90" s="17" t="s">
        <v>74</v>
      </c>
      <c r="R90" s="16">
        <f>E8*R89/33000</f>
        <v>12.438325887144892</v>
      </c>
      <c r="S90" s="17" t="s">
        <v>73</v>
      </c>
    </row>
    <row r="91" spans="1:19" x14ac:dyDescent="0.2">
      <c r="N91" s="12"/>
      <c r="O91" s="12"/>
      <c r="P91" s="12"/>
      <c r="Q91" s="17" t="s">
        <v>95</v>
      </c>
      <c r="R91" s="16">
        <f>R90*1.5/0.9</f>
        <v>20.730543145241487</v>
      </c>
      <c r="S91" s="17" t="s">
        <v>73</v>
      </c>
    </row>
  </sheetData>
  <sheetProtection sheet="1"/>
  <mergeCells count="3">
    <mergeCell ref="E1:G1"/>
    <mergeCell ref="F2:G2"/>
    <mergeCell ref="I12:K12"/>
  </mergeCells>
  <phoneticPr fontId="1" type="noConversion"/>
  <printOptions gridLines="1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1"/>
  <sheetViews>
    <sheetView workbookViewId="0">
      <selection activeCell="F12" sqref="F12"/>
    </sheetView>
  </sheetViews>
  <sheetFormatPr defaultRowHeight="12.75" x14ac:dyDescent="0.2"/>
  <cols>
    <col min="1" max="1" width="9.140625" style="4"/>
    <col min="2" max="2" width="12.42578125" style="4" bestFit="1" customWidth="1"/>
    <col min="3" max="3" width="9.140625" style="4"/>
    <col min="4" max="4" width="9.28515625" style="4" customWidth="1"/>
    <col min="5" max="10" width="9.140625" style="4"/>
    <col min="11" max="11" width="11.28515625" style="4" customWidth="1"/>
    <col min="12" max="16" width="9.140625" style="4"/>
    <col min="17" max="17" width="12.42578125" style="4" bestFit="1" customWidth="1"/>
    <col min="18" max="16384" width="9.140625" style="4"/>
  </cols>
  <sheetData>
    <row r="1" spans="1:19" x14ac:dyDescent="0.2">
      <c r="A1" s="4" t="s">
        <v>22</v>
      </c>
      <c r="E1" s="29" t="s">
        <v>91</v>
      </c>
      <c r="F1" s="30"/>
      <c r="G1" s="31"/>
    </row>
    <row r="2" spans="1:19" x14ac:dyDescent="0.2">
      <c r="A2" s="4" t="s">
        <v>0</v>
      </c>
      <c r="E2" s="7" t="s">
        <v>90</v>
      </c>
      <c r="F2" s="29" t="s">
        <v>66</v>
      </c>
      <c r="G2" s="31"/>
    </row>
    <row r="3" spans="1:19" x14ac:dyDescent="0.2">
      <c r="A3" s="4" t="s">
        <v>1</v>
      </c>
      <c r="B3" s="8">
        <v>120.5</v>
      </c>
      <c r="C3" s="4" t="s">
        <v>7</v>
      </c>
      <c r="E3" s="7" t="s">
        <v>34</v>
      </c>
      <c r="F3" s="8">
        <v>320000</v>
      </c>
      <c r="G3" s="7" t="s">
        <v>75</v>
      </c>
    </row>
    <row r="4" spans="1:19" x14ac:dyDescent="0.2">
      <c r="A4" s="4" t="s">
        <v>2</v>
      </c>
      <c r="B4" s="8">
        <v>149</v>
      </c>
      <c r="C4" s="4" t="s">
        <v>7</v>
      </c>
      <c r="E4" s="7" t="s">
        <v>96</v>
      </c>
      <c r="F4" s="8">
        <v>30500</v>
      </c>
      <c r="G4" s="7" t="s">
        <v>97</v>
      </c>
      <c r="K4" s="4" t="s">
        <v>35</v>
      </c>
      <c r="L4" s="12">
        <v>4519</v>
      </c>
      <c r="M4" s="4" t="s">
        <v>36</v>
      </c>
    </row>
    <row r="5" spans="1:19" x14ac:dyDescent="0.2">
      <c r="A5" s="4" t="s">
        <v>3</v>
      </c>
      <c r="B5" s="8">
        <v>103</v>
      </c>
      <c r="C5" s="4" t="s">
        <v>7</v>
      </c>
      <c r="K5" s="4" t="s">
        <v>31</v>
      </c>
      <c r="L5" s="8">
        <v>6500</v>
      </c>
      <c r="M5" s="4" t="s">
        <v>37</v>
      </c>
    </row>
    <row r="6" spans="1:19" x14ac:dyDescent="0.2">
      <c r="A6" s="4" t="s">
        <v>4</v>
      </c>
      <c r="B6" s="8">
        <v>142</v>
      </c>
      <c r="C6" s="4" t="s">
        <v>7</v>
      </c>
      <c r="D6" s="4" t="s">
        <v>25</v>
      </c>
      <c r="K6" s="4" t="s">
        <v>38</v>
      </c>
      <c r="L6" s="13">
        <f>C33</f>
        <v>45.730370748797505</v>
      </c>
      <c r="M6" s="4" t="s">
        <v>39</v>
      </c>
      <c r="N6" s="12">
        <f>A33</f>
        <v>90</v>
      </c>
      <c r="O6" s="4" t="s">
        <v>28</v>
      </c>
    </row>
    <row r="7" spans="1:19" x14ac:dyDescent="0.2">
      <c r="A7" s="4" t="s">
        <v>5</v>
      </c>
      <c r="B7" s="8">
        <v>200.73349999999999</v>
      </c>
      <c r="C7" s="4" t="s">
        <v>7</v>
      </c>
      <c r="K7" s="4" t="s">
        <v>40</v>
      </c>
      <c r="L7" s="8">
        <v>340</v>
      </c>
      <c r="M7" s="4" t="s">
        <v>37</v>
      </c>
    </row>
    <row r="8" spans="1:19" x14ac:dyDescent="0.2">
      <c r="A8" s="4" t="s">
        <v>6</v>
      </c>
      <c r="B8" s="8">
        <v>39</v>
      </c>
      <c r="C8" s="4" t="s">
        <v>7</v>
      </c>
      <c r="D8" s="4" t="s">
        <v>68</v>
      </c>
      <c r="E8" s="8">
        <v>1</v>
      </c>
      <c r="F8" s="7" t="s">
        <v>102</v>
      </c>
      <c r="K8" s="4" t="s">
        <v>41</v>
      </c>
      <c r="L8" s="12">
        <f>ABS(L6*(L5-L7)/SIN(RADIANS((N6-B9))))</f>
        <v>288538.60075040458</v>
      </c>
      <c r="M8" s="4" t="s">
        <v>33</v>
      </c>
    </row>
    <row r="9" spans="1:19" x14ac:dyDescent="0.2">
      <c r="A9" s="4" t="s">
        <v>27</v>
      </c>
      <c r="B9" s="8">
        <v>12.5</v>
      </c>
      <c r="C9" s="4" t="s">
        <v>28</v>
      </c>
      <c r="F9" s="7" t="s">
        <v>101</v>
      </c>
    </row>
    <row r="10" spans="1:19" x14ac:dyDescent="0.2">
      <c r="A10" s="4" t="s">
        <v>8</v>
      </c>
      <c r="B10" s="12">
        <f>DEGREES(ASIN($B$6/B7))</f>
        <v>45.024217139043358</v>
      </c>
      <c r="D10" s="4" t="s">
        <v>70</v>
      </c>
      <c r="E10" s="8">
        <v>7.22</v>
      </c>
      <c r="F10" s="4" t="s">
        <v>71</v>
      </c>
    </row>
    <row r="11" spans="1:19" x14ac:dyDescent="0.2">
      <c r="A11" s="4" t="s">
        <v>9</v>
      </c>
      <c r="B11" s="12">
        <f>DEGREES(ACOS((B5^2+B7^2-(B4+B8)^2)/(2*B5*B7)))</f>
        <v>67.897531683125038</v>
      </c>
    </row>
    <row r="12" spans="1:19" x14ac:dyDescent="0.2">
      <c r="A12" s="4" t="s">
        <v>10</v>
      </c>
      <c r="B12" s="12">
        <f>DEGREES(ACOS((B5^2+B7^2-(B4-B8)^2)/(2*B5*B7)))</f>
        <v>20.219179203708165</v>
      </c>
      <c r="I12" s="32" t="s">
        <v>86</v>
      </c>
      <c r="J12" s="33"/>
      <c r="K12" s="34"/>
      <c r="M12" s="4" t="s">
        <v>29</v>
      </c>
      <c r="N12" s="4" t="s">
        <v>29</v>
      </c>
      <c r="O12" s="4" t="s">
        <v>31</v>
      </c>
      <c r="P12" s="4" t="s">
        <v>34</v>
      </c>
      <c r="Q12" s="7" t="s">
        <v>87</v>
      </c>
      <c r="R12" s="7" t="s">
        <v>13</v>
      </c>
    </row>
    <row r="13" spans="1:19" x14ac:dyDescent="0.2">
      <c r="A13" s="4" t="s">
        <v>11</v>
      </c>
      <c r="B13" s="7" t="s">
        <v>77</v>
      </c>
      <c r="C13" s="7" t="s">
        <v>32</v>
      </c>
      <c r="I13" s="4" t="s">
        <v>18</v>
      </c>
      <c r="J13" s="4" t="s">
        <v>19</v>
      </c>
      <c r="K13" s="4" t="s">
        <v>21</v>
      </c>
      <c r="M13" s="4" t="s">
        <v>30</v>
      </c>
      <c r="N13" s="4" t="s">
        <v>32</v>
      </c>
      <c r="O13" s="4" t="s">
        <v>32</v>
      </c>
      <c r="P13" s="4" t="s">
        <v>32</v>
      </c>
      <c r="Q13" s="7" t="s">
        <v>103</v>
      </c>
      <c r="R13" s="7" t="s">
        <v>82</v>
      </c>
    </row>
    <row r="14" spans="1:19" x14ac:dyDescent="0.2">
      <c r="A14" s="4" t="s">
        <v>12</v>
      </c>
      <c r="B14" s="7" t="s">
        <v>18</v>
      </c>
      <c r="C14" s="7" t="s">
        <v>78</v>
      </c>
      <c r="D14" s="4" t="s">
        <v>14</v>
      </c>
      <c r="E14" s="4" t="s">
        <v>15</v>
      </c>
      <c r="F14" s="4" t="s">
        <v>16</v>
      </c>
      <c r="G14" s="4" t="s">
        <v>17</v>
      </c>
      <c r="I14" s="7" t="s">
        <v>92</v>
      </c>
      <c r="J14" s="4" t="s">
        <v>20</v>
      </c>
      <c r="K14" s="4" t="s">
        <v>26</v>
      </c>
      <c r="N14" s="7" t="s">
        <v>93</v>
      </c>
      <c r="O14" s="7" t="s">
        <v>93</v>
      </c>
      <c r="P14" s="7" t="s">
        <v>93</v>
      </c>
      <c r="Q14" s="7" t="s">
        <v>89</v>
      </c>
      <c r="R14" s="7" t="s">
        <v>83</v>
      </c>
    </row>
    <row r="15" spans="1:19" x14ac:dyDescent="0.2">
      <c r="A15" s="12">
        <f>IF(E8&gt;0,0,360)</f>
        <v>0</v>
      </c>
      <c r="B15" s="13">
        <f t="shared" ref="B15:B46" si="0">($B$11-F15)/($B$11-$B$12)</f>
        <v>1.8290868300925432E-2</v>
      </c>
      <c r="C15" s="13">
        <f>$E$8*$B$8*$B$3/$B$5*SIN(RADIANS(G15))/SIN(RADIANS(D15))</f>
        <v>-14.281580126631514</v>
      </c>
      <c r="D15" s="12">
        <f t="shared" ref="D15:D46" si="1">DEGREES(ACOS(($B$5^2+$B$4^2-$B$7^2-$B$8^2+2*$B$7*$B$8*COS(RADIANS(A15-$B$10)))/(2*$B$5*$B$4)))</f>
        <v>86.148566939904498</v>
      </c>
      <c r="E15" s="12">
        <f t="shared" ref="E15:E46" si="2">SQRT($B$8^2+$B$7^2-2*$B$8*$B$7*COS(RADIANS(A15-$B$10)))</f>
        <v>175.35192336146562</v>
      </c>
      <c r="F15" s="12">
        <f>DEGREES(ACOS(($B$5^2+E15^2-$B$4^2)/(2*$B$5*E15)))-DEGREES(ASIN($B$8*SIN(RADIANS(A15-$B$10))/E15))</f>
        <v>67.025453217118923</v>
      </c>
      <c r="G15" s="12">
        <f t="shared" ref="G15:G46" si="3">D15+F15-(A15-$B$10)</f>
        <v>198.19823729606679</v>
      </c>
      <c r="H15" s="12"/>
      <c r="I15" s="12">
        <f t="shared" ref="I15:I46" si="4">$B$3*B15*($B$11-$B$12)*2*3.1415/360</f>
        <v>1.8340330964748031</v>
      </c>
      <c r="J15" s="12">
        <f>(I15-I86)/10*$E$10</f>
        <v>-1.0450426972916065</v>
      </c>
      <c r="K15" s="12">
        <f>(J15-J86)/0.8333*$E$8*$E$10</f>
        <v>2.4320806684746605</v>
      </c>
      <c r="M15" s="8">
        <v>4745</v>
      </c>
      <c r="N15" s="12">
        <f>C15*(M15-$L$7)</f>
        <v>-62910.360457811817</v>
      </c>
      <c r="O15" s="12">
        <f>$E$8*$L$8*SIN(RADIANS(A15-$B$9))</f>
        <v>-62451.183352657972</v>
      </c>
      <c r="P15" s="12">
        <f>N15-O15</f>
        <v>-459.17710515384533</v>
      </c>
      <c r="Q15" s="12">
        <f>IF(($F$3+O15)/C15+$L$7,($F$3+O15)/C15+$L$7,$F$4)</f>
        <v>-17693.635939701027</v>
      </c>
      <c r="R15" s="12"/>
      <c r="S15" s="12"/>
    </row>
    <row r="16" spans="1:19" x14ac:dyDescent="0.2">
      <c r="A16" s="12">
        <f>A15+$E$8*5</f>
        <v>5</v>
      </c>
      <c r="B16" s="13">
        <f t="shared" si="0"/>
        <v>7.9279147574017241E-3</v>
      </c>
      <c r="C16" s="13">
        <f t="shared" ref="C16:C79" si="5">$E$8*$B$8*$B$3/$B$5*SIN(RADIANS(G16))/SIN(RADIANS(D16))</f>
        <v>-9.5024742564050602</v>
      </c>
      <c r="D16" s="12">
        <f t="shared" si="1"/>
        <v>84.419283872396875</v>
      </c>
      <c r="E16" s="12">
        <f t="shared" si="2"/>
        <v>172.69936864386938</v>
      </c>
      <c r="F16" s="12">
        <f t="shared" ref="F16:F79" si="6">DEGREES(ACOS(($B$5^2+E16^2-$B$4^2)/(2*$B$5*E16)))-DEGREES(ASIN($B$8*SIN(RADIANS(A16-$B$10))/E16))</f>
        <v>67.519541768894868</v>
      </c>
      <c r="G16" s="12">
        <f t="shared" si="3"/>
        <v>191.96304278033512</v>
      </c>
      <c r="H16" s="12"/>
      <c r="I16" s="12">
        <f t="shared" si="4"/>
        <v>0.79493536402370324</v>
      </c>
      <c r="J16" s="12">
        <f>(I16-I15)/10*$E$10</f>
        <v>-0.75022856282969397</v>
      </c>
      <c r="K16" s="12">
        <f>(J16-J15)/0.8333*$E$8*$E$10</f>
        <v>2.5543718358514438</v>
      </c>
      <c r="M16" s="8">
        <v>4519</v>
      </c>
      <c r="N16" s="12">
        <f t="shared" ref="N16:N79" si="7">C16*(M16-$L$7)</f>
        <v>-39710.839917516743</v>
      </c>
      <c r="O16" s="12">
        <f t="shared" ref="O16:O79" si="8">$E$8*$L$8*SIN(RADIANS(A16-$B$9))</f>
        <v>-37661.844864452025</v>
      </c>
      <c r="P16" s="12">
        <f t="shared" ref="P16:P79" si="9">N16-O16</f>
        <v>-2048.9950530647184</v>
      </c>
      <c r="Q16" s="12">
        <f t="shared" ref="Q16:Q79" si="10">IF(($F$3+O16)/C16+$L$7,($F$3+O16)/C16+$L$7,$F$4)</f>
        <v>-29372.067353956827</v>
      </c>
      <c r="R16" s="12">
        <f>(M16+M15)/2*(I16-I15)/12</f>
        <v>-401.09172472612448</v>
      </c>
      <c r="S16" s="12"/>
    </row>
    <row r="17" spans="1:19" x14ac:dyDescent="0.2">
      <c r="A17" s="12">
        <f t="shared" ref="A17:A80" si="11">A16+$E$8*5</f>
        <v>10</v>
      </c>
      <c r="B17" s="13">
        <f t="shared" si="0"/>
        <v>1.798306240601175E-3</v>
      </c>
      <c r="C17" s="13">
        <f t="shared" si="5"/>
        <v>-4.5611174427790635</v>
      </c>
      <c r="D17" s="12">
        <f t="shared" si="1"/>
        <v>82.856583411108687</v>
      </c>
      <c r="E17" s="12">
        <f t="shared" si="2"/>
        <v>170.27359441222251</v>
      </c>
      <c r="F17" s="12">
        <f t="shared" si="6"/>
        <v>67.81179140431972</v>
      </c>
      <c r="G17" s="12">
        <f t="shared" si="3"/>
        <v>185.69259195447177</v>
      </c>
      <c r="H17" s="12"/>
      <c r="I17" s="12">
        <f t="shared" si="4"/>
        <v>0.18031692692756771</v>
      </c>
      <c r="J17" s="12">
        <f t="shared" ref="J17:J80" si="12">(I17-I16)/10*$E$10</f>
        <v>-0.44375451158340984</v>
      </c>
      <c r="K17" s="12">
        <f t="shared" ref="K17:K80" si="13">(J17-J16)/0.8333*$E$8*$E$10</f>
        <v>2.6553973958936412</v>
      </c>
      <c r="M17" s="8">
        <v>4293</v>
      </c>
      <c r="N17" s="12">
        <f t="shared" si="7"/>
        <v>-18030.097251305637</v>
      </c>
      <c r="O17" s="12">
        <f t="shared" si="8"/>
        <v>-12585.876995983926</v>
      </c>
      <c r="P17" s="12">
        <f t="shared" si="9"/>
        <v>-5444.2202553217103</v>
      </c>
      <c r="Q17" s="12">
        <f t="shared" si="10"/>
        <v>-67058.861542295723</v>
      </c>
      <c r="R17" s="12">
        <f t="shared" ref="R17:R80" si="14">(M17+M16)/2*(I17-I16)/12</f>
        <v>-225.66740282046442</v>
      </c>
      <c r="S17" s="12"/>
    </row>
    <row r="18" spans="1:19" x14ac:dyDescent="0.2">
      <c r="A18" s="12">
        <f t="shared" si="11"/>
        <v>15</v>
      </c>
      <c r="B18" s="13">
        <f t="shared" si="0"/>
        <v>2.0421274804249685E-5</v>
      </c>
      <c r="C18" s="13">
        <f t="shared" si="5"/>
        <v>0.48833708382308699</v>
      </c>
      <c r="D18" s="12">
        <f t="shared" si="1"/>
        <v>81.472756170225509</v>
      </c>
      <c r="E18" s="12">
        <f t="shared" si="2"/>
        <v>168.10325377782925</v>
      </c>
      <c r="F18" s="12">
        <f t="shared" si="6"/>
        <v>67.896558030386842</v>
      </c>
      <c r="G18" s="12">
        <f t="shared" si="3"/>
        <v>179.39353133965568</v>
      </c>
      <c r="H18" s="12"/>
      <c r="I18" s="12">
        <f t="shared" si="4"/>
        <v>2.0476498571314937E-3</v>
      </c>
      <c r="J18" s="12">
        <f t="shared" si="12"/>
        <v>-0.12871041804485495</v>
      </c>
      <c r="K18" s="12">
        <f t="shared" si="13"/>
        <v>2.7296512124665382</v>
      </c>
      <c r="M18" s="8">
        <v>4067</v>
      </c>
      <c r="N18" s="12">
        <f t="shared" si="7"/>
        <v>1820.0323114086452</v>
      </c>
      <c r="O18" s="12">
        <f t="shared" si="8"/>
        <v>12585.876995983926</v>
      </c>
      <c r="P18" s="12">
        <f t="shared" si="9"/>
        <v>-10765.844684575281</v>
      </c>
      <c r="Q18" s="12">
        <f t="shared" si="10"/>
        <v>681397.99869270623</v>
      </c>
      <c r="R18" s="12">
        <f t="shared" si="14"/>
        <v>-62.097131512868621</v>
      </c>
      <c r="S18" s="12"/>
    </row>
    <row r="19" spans="1:19" x14ac:dyDescent="0.2">
      <c r="A19" s="12">
        <f t="shared" si="11"/>
        <v>20</v>
      </c>
      <c r="B19" s="13">
        <f t="shared" si="0"/>
        <v>2.6611742530129458E-3</v>
      </c>
      <c r="C19" s="13">
        <f t="shared" si="5"/>
        <v>5.5819132490693466</v>
      </c>
      <c r="D19" s="12">
        <f t="shared" si="1"/>
        <v>80.279348105331124</v>
      </c>
      <c r="E19" s="12">
        <f t="shared" si="2"/>
        <v>166.21516788260683</v>
      </c>
      <c r="F19" s="12">
        <f t="shared" si="6"/>
        <v>67.770651279080738</v>
      </c>
      <c r="G19" s="12">
        <f t="shared" si="3"/>
        <v>173.07421652345522</v>
      </c>
      <c r="H19" s="12"/>
      <c r="I19" s="12">
        <f t="shared" si="4"/>
        <v>0.26683706728484918</v>
      </c>
      <c r="J19" s="12">
        <f t="shared" si="12"/>
        <v>0.19117795938281215</v>
      </c>
      <c r="K19" s="12">
        <f t="shared" si="13"/>
        <v>2.7716237669839869</v>
      </c>
      <c r="M19" s="8">
        <v>4216</v>
      </c>
      <c r="N19" s="12">
        <f t="shared" si="7"/>
        <v>21635.495753392788</v>
      </c>
      <c r="O19" s="12">
        <f t="shared" si="8"/>
        <v>37661.844864452025</v>
      </c>
      <c r="P19" s="12">
        <f t="shared" si="9"/>
        <v>-16026.349111059237</v>
      </c>
      <c r="Q19" s="12">
        <f t="shared" si="10"/>
        <v>64415.134977076857</v>
      </c>
      <c r="R19" s="12">
        <f t="shared" si="14"/>
        <v>91.385447689741056</v>
      </c>
      <c r="S19" s="12"/>
    </row>
    <row r="20" spans="1:19" x14ac:dyDescent="0.2">
      <c r="A20" s="12">
        <f t="shared" si="11"/>
        <v>25</v>
      </c>
      <c r="B20" s="13">
        <f t="shared" si="0"/>
        <v>9.7279770576582138E-3</v>
      </c>
      <c r="C20" s="13">
        <f t="shared" si="5"/>
        <v>10.64715375086741</v>
      </c>
      <c r="D20" s="12">
        <f t="shared" si="1"/>
        <v>79.286865778503511</v>
      </c>
      <c r="E20" s="12">
        <f t="shared" si="2"/>
        <v>164.63363946800771</v>
      </c>
      <c r="F20" s="12">
        <f t="shared" si="6"/>
        <v>67.433717764058329</v>
      </c>
      <c r="G20" s="12">
        <f t="shared" si="3"/>
        <v>166.74480068160517</v>
      </c>
      <c r="H20" s="12"/>
      <c r="I20" s="12">
        <f t="shared" si="4"/>
        <v>0.97542837179523312</v>
      </c>
      <c r="J20" s="12">
        <f t="shared" si="12"/>
        <v>0.51160292185649714</v>
      </c>
      <c r="K20" s="12">
        <f t="shared" si="13"/>
        <v>2.7762729257890384</v>
      </c>
      <c r="M20" s="8">
        <v>4370</v>
      </c>
      <c r="N20" s="12">
        <f t="shared" si="7"/>
        <v>42908.029615995663</v>
      </c>
      <c r="O20" s="12">
        <f t="shared" si="8"/>
        <v>62451.183352657972</v>
      </c>
      <c r="P20" s="12">
        <f t="shared" si="9"/>
        <v>-19543.153736662309</v>
      </c>
      <c r="Q20" s="12">
        <f t="shared" si="10"/>
        <v>36260.509114607281</v>
      </c>
      <c r="R20" s="12">
        <f t="shared" si="14"/>
        <v>253.49853918858989</v>
      </c>
      <c r="S20" s="12"/>
    </row>
    <row r="21" spans="1:19" x14ac:dyDescent="0.2">
      <c r="A21" s="12">
        <f t="shared" si="11"/>
        <v>30</v>
      </c>
      <c r="B21" s="13">
        <f t="shared" si="0"/>
        <v>2.1162317772025457E-2</v>
      </c>
      <c r="C21" s="13">
        <f t="shared" si="5"/>
        <v>15.605499784408456</v>
      </c>
      <c r="D21" s="12">
        <f t="shared" si="1"/>
        <v>78.504467312057443</v>
      </c>
      <c r="E21" s="12">
        <f t="shared" si="2"/>
        <v>163.3797594116993</v>
      </c>
      <c r="F21" s="12">
        <f t="shared" si="6"/>
        <v>66.88854723710898</v>
      </c>
      <c r="G21" s="12">
        <f t="shared" si="3"/>
        <v>160.41723168820977</v>
      </c>
      <c r="H21" s="12"/>
      <c r="I21" s="12">
        <f t="shared" si="4"/>
        <v>2.1219545487650731</v>
      </c>
      <c r="J21" s="12">
        <f t="shared" si="12"/>
        <v>0.82779189977222434</v>
      </c>
      <c r="K21" s="12">
        <f t="shared" si="13"/>
        <v>2.7395708874973601</v>
      </c>
      <c r="M21" s="8">
        <v>4519</v>
      </c>
      <c r="N21" s="12">
        <f t="shared" si="7"/>
        <v>65215.383599042936</v>
      </c>
      <c r="O21" s="12">
        <f t="shared" si="8"/>
        <v>86765.230626494667</v>
      </c>
      <c r="P21" s="12">
        <f t="shared" si="9"/>
        <v>-21549.847027451731</v>
      </c>
      <c r="Q21" s="12">
        <f t="shared" si="10"/>
        <v>26405.50486982135</v>
      </c>
      <c r="R21" s="12">
        <f t="shared" si="14"/>
        <v>424.64463279520442</v>
      </c>
      <c r="S21" s="12"/>
    </row>
    <row r="22" spans="1:19" x14ac:dyDescent="0.2">
      <c r="A22" s="12">
        <f t="shared" si="11"/>
        <v>35</v>
      </c>
      <c r="B22" s="13">
        <f t="shared" si="0"/>
        <v>3.6835851048957813E-2</v>
      </c>
      <c r="C22" s="13">
        <f t="shared" si="5"/>
        <v>20.375661709650959</v>
      </c>
      <c r="D22" s="12">
        <f t="shared" si="1"/>
        <v>77.939660305349136</v>
      </c>
      <c r="E22" s="12">
        <f t="shared" si="2"/>
        <v>162.47074757690484</v>
      </c>
      <c r="F22" s="12">
        <f t="shared" si="6"/>
        <v>66.14125899293353</v>
      </c>
      <c r="G22" s="12">
        <f t="shared" si="3"/>
        <v>154.105136437326</v>
      </c>
      <c r="H22" s="12"/>
      <c r="I22" s="12">
        <f t="shared" si="4"/>
        <v>3.6935463559806281</v>
      </c>
      <c r="J22" s="12">
        <f t="shared" si="12"/>
        <v>1.1346892848096306</v>
      </c>
      <c r="K22" s="12">
        <f t="shared" si="13"/>
        <v>2.6590653065763505</v>
      </c>
      <c r="M22" s="8">
        <v>4894</v>
      </c>
      <c r="N22" s="12">
        <f t="shared" si="7"/>
        <v>92790.763425750469</v>
      </c>
      <c r="O22" s="12">
        <f t="shared" si="8"/>
        <v>110418.94210498509</v>
      </c>
      <c r="P22" s="12">
        <f t="shared" si="9"/>
        <v>-17628.178679234625</v>
      </c>
      <c r="Q22" s="12">
        <f t="shared" si="10"/>
        <v>21464.170014126052</v>
      </c>
      <c r="R22" s="12">
        <f t="shared" si="14"/>
        <v>616.3914033883342</v>
      </c>
      <c r="S22" s="12"/>
    </row>
    <row r="23" spans="1:19" x14ac:dyDescent="0.2">
      <c r="A23" s="12">
        <f t="shared" si="11"/>
        <v>40</v>
      </c>
      <c r="B23" s="13">
        <f t="shared" si="0"/>
        <v>5.6549779963736023E-2</v>
      </c>
      <c r="C23" s="13">
        <f t="shared" si="5"/>
        <v>24.877760915671832</v>
      </c>
      <c r="D23" s="12">
        <f t="shared" si="1"/>
        <v>77.598030915944506</v>
      </c>
      <c r="E23" s="12">
        <f t="shared" si="2"/>
        <v>161.9193738211242</v>
      </c>
      <c r="F23" s="12">
        <f t="shared" si="6"/>
        <v>65.201331341380566</v>
      </c>
      <c r="G23" s="12">
        <f t="shared" si="3"/>
        <v>147.82357939636842</v>
      </c>
      <c r="H23" s="12"/>
      <c r="I23" s="12">
        <f t="shared" si="4"/>
        <v>5.6702703417645894</v>
      </c>
      <c r="J23" s="12">
        <f t="shared" si="12"/>
        <v>1.42719471773602</v>
      </c>
      <c r="K23" s="12">
        <f t="shared" si="13"/>
        <v>2.5343684456120621</v>
      </c>
      <c r="M23" s="8">
        <v>5273</v>
      </c>
      <c r="N23" s="12">
        <f t="shared" si="7"/>
        <v>122721.99459700915</v>
      </c>
      <c r="O23" s="12">
        <f t="shared" si="8"/>
        <v>133232.29876127644</v>
      </c>
      <c r="P23" s="12">
        <f t="shared" si="9"/>
        <v>-10510.304164267291</v>
      </c>
      <c r="Q23" s="12">
        <f t="shared" si="10"/>
        <v>18558.371834089023</v>
      </c>
      <c r="R23" s="12">
        <f t="shared" si="14"/>
        <v>837.38969847773069</v>
      </c>
      <c r="S23" s="12"/>
    </row>
    <row r="24" spans="1:19" x14ac:dyDescent="0.2">
      <c r="A24" s="12">
        <f t="shared" si="11"/>
        <v>45</v>
      </c>
      <c r="B24" s="13">
        <f t="shared" si="0"/>
        <v>8.003804165223545E-2</v>
      </c>
      <c r="C24" s="13">
        <f t="shared" si="5"/>
        <v>29.037851700575665</v>
      </c>
      <c r="D24" s="12">
        <f t="shared" si="1"/>
        <v>77.483028408709913</v>
      </c>
      <c r="E24" s="12">
        <f t="shared" si="2"/>
        <v>161.73350432369327</v>
      </c>
      <c r="F24" s="12">
        <f t="shared" si="6"/>
        <v>64.081449721467507</v>
      </c>
      <c r="G24" s="12">
        <f t="shared" si="3"/>
        <v>141.58869526922075</v>
      </c>
      <c r="H24" s="12"/>
      <c r="I24" s="12">
        <f t="shared" si="4"/>
        <v>8.0254482702607213</v>
      </c>
      <c r="J24" s="12">
        <f t="shared" si="12"/>
        <v>1.7004384643742072</v>
      </c>
      <c r="K24" s="12">
        <f t="shared" si="13"/>
        <v>2.3674785200140542</v>
      </c>
      <c r="M24" s="8">
        <v>5648</v>
      </c>
      <c r="N24" s="12">
        <f t="shared" si="7"/>
        <v>154132.91682665562</v>
      </c>
      <c r="O24" s="12">
        <f t="shared" si="8"/>
        <v>155031.67717613297</v>
      </c>
      <c r="P24" s="12">
        <f t="shared" si="9"/>
        <v>-898.76034947735025</v>
      </c>
      <c r="Q24" s="12">
        <f t="shared" si="10"/>
        <v>16699.050320747923</v>
      </c>
      <c r="R24" s="12">
        <f t="shared" si="14"/>
        <v>1071.7040898794273</v>
      </c>
      <c r="S24" s="12"/>
    </row>
    <row r="25" spans="1:19" x14ac:dyDescent="0.2">
      <c r="A25" s="12">
        <f t="shared" si="11"/>
        <v>50</v>
      </c>
      <c r="B25" s="13">
        <f t="shared" si="0"/>
        <v>0.10697440938134797</v>
      </c>
      <c r="C25" s="13">
        <f t="shared" si="5"/>
        <v>32.792307662152254</v>
      </c>
      <c r="D25" s="12">
        <f t="shared" si="1"/>
        <v>77.595826131908041</v>
      </c>
      <c r="E25" s="12">
        <f t="shared" si="2"/>
        <v>161.9158116349017</v>
      </c>
      <c r="F25" s="12">
        <f t="shared" si="6"/>
        <v>62.797168086363691</v>
      </c>
      <c r="G25" s="12">
        <f t="shared" si="3"/>
        <v>135.41721135731507</v>
      </c>
      <c r="H25" s="12"/>
      <c r="I25" s="12">
        <f t="shared" si="4"/>
        <v>10.726369249037255</v>
      </c>
      <c r="J25" s="12">
        <f t="shared" si="12"/>
        <v>1.9500649466766573</v>
      </c>
      <c r="K25" s="12">
        <f t="shared" si="13"/>
        <v>2.1628503566826947</v>
      </c>
      <c r="M25" s="8">
        <v>6191</v>
      </c>
      <c r="N25" s="12">
        <f t="shared" si="7"/>
        <v>191867.79213125285</v>
      </c>
      <c r="O25" s="12">
        <f t="shared" si="8"/>
        <v>175651.17091699303</v>
      </c>
      <c r="P25" s="12">
        <f t="shared" si="9"/>
        <v>16216.621214259823</v>
      </c>
      <c r="Q25" s="12">
        <f t="shared" si="10"/>
        <v>15454.86096140335</v>
      </c>
      <c r="R25" s="12">
        <f t="shared" si="14"/>
        <v>1332.3418111556409</v>
      </c>
      <c r="S25" s="12"/>
    </row>
    <row r="26" spans="1:19" x14ac:dyDescent="0.2">
      <c r="A26" s="12">
        <f t="shared" si="11"/>
        <v>55</v>
      </c>
      <c r="B26" s="13">
        <f t="shared" si="0"/>
        <v>0.13698315222469512</v>
      </c>
      <c r="C26" s="13">
        <f t="shared" si="5"/>
        <v>36.091522179974348</v>
      </c>
      <c r="D26" s="12">
        <f t="shared" si="1"/>
        <v>77.935273173911241</v>
      </c>
      <c r="E26" s="12">
        <f t="shared" si="2"/>
        <v>162.46367432452064</v>
      </c>
      <c r="F26" s="12">
        <f t="shared" si="6"/>
        <v>61.366400667614407</v>
      </c>
      <c r="G26" s="12">
        <f t="shared" si="3"/>
        <v>129.325890980569</v>
      </c>
      <c r="H26" s="12"/>
      <c r="I26" s="12">
        <f t="shared" si="4"/>
        <v>13.735358579276731</v>
      </c>
      <c r="J26" s="12">
        <f t="shared" si="12"/>
        <v>2.172490296432902</v>
      </c>
      <c r="K26" s="12">
        <f t="shared" si="13"/>
        <v>1.9271703171007881</v>
      </c>
      <c r="M26" s="8">
        <v>6688</v>
      </c>
      <c r="N26" s="12">
        <f t="shared" si="7"/>
        <v>229108.98279847717</v>
      </c>
      <c r="O26" s="12">
        <f t="shared" si="8"/>
        <v>194933.85318609793</v>
      </c>
      <c r="P26" s="12">
        <f t="shared" si="9"/>
        <v>34175.129612379242</v>
      </c>
      <c r="Q26" s="12">
        <f t="shared" si="10"/>
        <v>14607.446261155836</v>
      </c>
      <c r="R26" s="12">
        <f t="shared" si="14"/>
        <v>1614.698899339759</v>
      </c>
      <c r="S26" s="12"/>
    </row>
    <row r="27" spans="1:19" x14ac:dyDescent="0.2">
      <c r="A27" s="12">
        <f t="shared" si="11"/>
        <v>60</v>
      </c>
      <c r="B27" s="13">
        <f t="shared" si="0"/>
        <v>0.16965243945751668</v>
      </c>
      <c r="C27" s="13">
        <f t="shared" si="5"/>
        <v>38.902448595564998</v>
      </c>
      <c r="D27" s="12">
        <f t="shared" si="1"/>
        <v>78.497941787090895</v>
      </c>
      <c r="E27" s="12">
        <f t="shared" si="2"/>
        <v>163.36927542255677</v>
      </c>
      <c r="F27" s="12">
        <f t="shared" si="6"/>
        <v>59.808782875676627</v>
      </c>
      <c r="G27" s="12">
        <f t="shared" si="3"/>
        <v>123.33094180181088</v>
      </c>
      <c r="H27" s="12"/>
      <c r="I27" s="12">
        <f t="shared" si="4"/>
        <v>17.011121820117786</v>
      </c>
      <c r="J27" s="12">
        <f t="shared" si="12"/>
        <v>2.365101059887242</v>
      </c>
      <c r="K27" s="12">
        <f t="shared" si="13"/>
        <v>1.6688464084247379</v>
      </c>
      <c r="M27" s="8">
        <v>7230</v>
      </c>
      <c r="N27" s="12">
        <f t="shared" si="7"/>
        <v>268037.87082344282</v>
      </c>
      <c r="O27" s="12">
        <f t="shared" si="8"/>
        <v>212732.97112817797</v>
      </c>
      <c r="P27" s="12">
        <f t="shared" si="9"/>
        <v>55304.899695264845</v>
      </c>
      <c r="Q27" s="12">
        <f t="shared" si="10"/>
        <v>14034.073004672287</v>
      </c>
      <c r="R27" s="12">
        <f t="shared" si="14"/>
        <v>1899.6696994177419</v>
      </c>
      <c r="S27" s="12"/>
    </row>
    <row r="28" spans="1:19" x14ac:dyDescent="0.2">
      <c r="A28" s="12">
        <f t="shared" si="11"/>
        <v>65</v>
      </c>
      <c r="B28" s="13">
        <f t="shared" si="0"/>
        <v>0.20454933452057461</v>
      </c>
      <c r="C28" s="13">
        <f t="shared" si="5"/>
        <v>41.209681942041648</v>
      </c>
      <c r="D28" s="12">
        <f t="shared" si="1"/>
        <v>79.278265588440689</v>
      </c>
      <c r="E28" s="12">
        <f t="shared" si="2"/>
        <v>164.61989063332365</v>
      </c>
      <c r="F28" s="12">
        <f t="shared" si="6"/>
        <v>58.144956412422928</v>
      </c>
      <c r="G28" s="12">
        <f t="shared" si="3"/>
        <v>117.44743913990699</v>
      </c>
      <c r="H28" s="12"/>
      <c r="I28" s="12">
        <f t="shared" si="4"/>
        <v>20.510248239754095</v>
      </c>
      <c r="J28" s="12">
        <f t="shared" si="12"/>
        <v>2.5263692749774145</v>
      </c>
      <c r="K28" s="12">
        <f t="shared" si="13"/>
        <v>1.3972837068895303</v>
      </c>
      <c r="M28" s="8">
        <v>7817</v>
      </c>
      <c r="N28" s="12">
        <f t="shared" si="7"/>
        <v>308124.79188064538</v>
      </c>
      <c r="O28" s="12">
        <f t="shared" si="8"/>
        <v>228913.06270829256</v>
      </c>
      <c r="P28" s="12">
        <f t="shared" si="9"/>
        <v>79211.729172352818</v>
      </c>
      <c r="Q28" s="12">
        <f t="shared" si="10"/>
        <v>13660.002408179174</v>
      </c>
      <c r="R28" s="12">
        <f t="shared" si="14"/>
        <v>2193.8064681778137</v>
      </c>
      <c r="S28" s="12"/>
    </row>
    <row r="29" spans="1:19" x14ac:dyDescent="0.2">
      <c r="A29" s="12">
        <f t="shared" si="11"/>
        <v>70</v>
      </c>
      <c r="B29" s="13">
        <f t="shared" si="0"/>
        <v>0.24123506378332321</v>
      </c>
      <c r="C29" s="13">
        <f t="shared" si="5"/>
        <v>43.015018548888435</v>
      </c>
      <c r="D29" s="12">
        <f t="shared" si="1"/>
        <v>80.268754362393238</v>
      </c>
      <c r="E29" s="12">
        <f t="shared" si="2"/>
        <v>166.19834059023415</v>
      </c>
      <c r="F29" s="12">
        <f t="shared" si="6"/>
        <v>56.395841281669142</v>
      </c>
      <c r="G29" s="12">
        <f t="shared" si="3"/>
        <v>111.68881278310575</v>
      </c>
      <c r="H29" s="12"/>
      <c r="I29" s="12">
        <f t="shared" si="4"/>
        <v>24.188741820771838</v>
      </c>
      <c r="J29" s="12">
        <f t="shared" si="12"/>
        <v>2.6558723654948109</v>
      </c>
      <c r="K29" s="12">
        <f t="shared" si="13"/>
        <v>1.1220596586290674</v>
      </c>
      <c r="M29" s="8">
        <v>8450</v>
      </c>
      <c r="N29" s="12">
        <f t="shared" si="7"/>
        <v>348851.80043148523</v>
      </c>
      <c r="O29" s="12">
        <f t="shared" si="8"/>
        <v>243350.98765971072</v>
      </c>
      <c r="P29" s="12">
        <f t="shared" si="9"/>
        <v>105500.81277177451</v>
      </c>
      <c r="Q29" s="12">
        <f t="shared" si="10"/>
        <v>13436.611524633841</v>
      </c>
      <c r="R29" s="12">
        <f t="shared" si="14"/>
        <v>2493.2522951006517</v>
      </c>
      <c r="S29" s="12"/>
    </row>
    <row r="30" spans="1:19" x14ac:dyDescent="0.2">
      <c r="A30" s="12">
        <f t="shared" si="11"/>
        <v>75</v>
      </c>
      <c r="B30" s="13">
        <f t="shared" si="0"/>
        <v>0.27927929385918687</v>
      </c>
      <c r="C30" s="13">
        <f t="shared" si="5"/>
        <v>44.335663550035754</v>
      </c>
      <c r="D30" s="12">
        <f t="shared" si="1"/>
        <v>81.460264556385525</v>
      </c>
      <c r="E30" s="12">
        <f t="shared" si="2"/>
        <v>168.08356884382468</v>
      </c>
      <c r="F30" s="12">
        <f t="shared" si="6"/>
        <v>54.581955070304083</v>
      </c>
      <c r="G30" s="12">
        <f t="shared" si="3"/>
        <v>106.06643676573297</v>
      </c>
      <c r="H30" s="12"/>
      <c r="I30" s="12">
        <f t="shared" si="4"/>
        <v>28.003452852587959</v>
      </c>
      <c r="J30" s="12">
        <f t="shared" si="12"/>
        <v>2.7542213649712388</v>
      </c>
      <c r="K30" s="12">
        <f t="shared" si="13"/>
        <v>0.85212981665643783</v>
      </c>
      <c r="M30" s="8">
        <v>9038</v>
      </c>
      <c r="N30" s="12">
        <f t="shared" si="7"/>
        <v>385631.60155821097</v>
      </c>
      <c r="O30" s="12">
        <f t="shared" si="8"/>
        <v>255936.86465569463</v>
      </c>
      <c r="P30" s="12">
        <f t="shared" si="9"/>
        <v>129694.73690251634</v>
      </c>
      <c r="Q30" s="12">
        <f t="shared" si="10"/>
        <v>13330.374306808593</v>
      </c>
      <c r="R30" s="12">
        <f t="shared" si="14"/>
        <v>2779.6527718500129</v>
      </c>
      <c r="S30" s="12"/>
    </row>
    <row r="31" spans="1:19" x14ac:dyDescent="0.2">
      <c r="A31" s="12">
        <f t="shared" si="11"/>
        <v>80</v>
      </c>
      <c r="B31" s="13">
        <f t="shared" si="0"/>
        <v>0.31827238226079602</v>
      </c>
      <c r="C31" s="13">
        <f t="shared" si="5"/>
        <v>45.201434310890733</v>
      </c>
      <c r="D31" s="12">
        <f t="shared" si="1"/>
        <v>82.842301180977429</v>
      </c>
      <c r="E31" s="12">
        <f t="shared" si="2"/>
        <v>170.25130045932687</v>
      </c>
      <c r="F31" s="12">
        <f t="shared" si="6"/>
        <v>52.7228288572311</v>
      </c>
      <c r="G31" s="12">
        <f t="shared" si="3"/>
        <v>100.5893471772519</v>
      </c>
      <c r="H31" s="12"/>
      <c r="I31" s="12">
        <f t="shared" si="4"/>
        <v>31.913306309829274</v>
      </c>
      <c r="J31" s="12">
        <f t="shared" si="12"/>
        <v>2.8229141961282296</v>
      </c>
      <c r="K31" s="12">
        <f t="shared" si="13"/>
        <v>0.59517849628401931</v>
      </c>
      <c r="M31" s="8">
        <v>8586</v>
      </c>
      <c r="N31" s="12">
        <f t="shared" si="7"/>
        <v>372731.027327605</v>
      </c>
      <c r="O31" s="12">
        <f t="shared" si="8"/>
        <v>266574.90757274459</v>
      </c>
      <c r="P31" s="12">
        <f t="shared" si="9"/>
        <v>106156.11975486041</v>
      </c>
      <c r="Q31" s="12">
        <f t="shared" si="10"/>
        <v>13316.909173685592</v>
      </c>
      <c r="R31" s="12">
        <f t="shared" si="14"/>
        <v>2871.1357221008725</v>
      </c>
      <c r="S31" s="12"/>
    </row>
    <row r="32" spans="1:19" x14ac:dyDescent="0.2">
      <c r="A32" s="12">
        <f t="shared" si="11"/>
        <v>85</v>
      </c>
      <c r="B32" s="13">
        <f t="shared" si="0"/>
        <v>0.35783491486268754</v>
      </c>
      <c r="C32" s="13">
        <f t="shared" si="5"/>
        <v>45.651397065921245</v>
      </c>
      <c r="D32" s="12">
        <f t="shared" si="1"/>
        <v>84.403326897231253</v>
      </c>
      <c r="E32" s="12">
        <f t="shared" si="2"/>
        <v>172.67473535663879</v>
      </c>
      <c r="F32" s="12">
        <f t="shared" si="6"/>
        <v>50.836552482859695</v>
      </c>
      <c r="G32" s="12">
        <f t="shared" si="3"/>
        <v>95.264096519134299</v>
      </c>
      <c r="H32" s="12"/>
      <c r="I32" s="12">
        <f t="shared" si="4"/>
        <v>35.880258177749141</v>
      </c>
      <c r="J32" s="12">
        <f t="shared" si="12"/>
        <v>2.8641392486381441</v>
      </c>
      <c r="K32" s="12">
        <f t="shared" si="13"/>
        <v>0.35718814247159791</v>
      </c>
      <c r="M32" s="8">
        <v>8134</v>
      </c>
      <c r="N32" s="12">
        <f t="shared" si="7"/>
        <v>355806.98873179016</v>
      </c>
      <c r="O32" s="12">
        <f t="shared" si="8"/>
        <v>275184.15448083595</v>
      </c>
      <c r="P32" s="12">
        <f t="shared" si="9"/>
        <v>80622.834250954213</v>
      </c>
      <c r="Q32" s="12">
        <f t="shared" si="10"/>
        <v>13377.58904949572</v>
      </c>
      <c r="R32" s="12">
        <f t="shared" si="14"/>
        <v>2763.6431346508411</v>
      </c>
      <c r="S32" s="12"/>
    </row>
    <row r="33" spans="1:19" x14ac:dyDescent="0.2">
      <c r="A33" s="12">
        <f t="shared" si="11"/>
        <v>90</v>
      </c>
      <c r="B33" s="13">
        <f t="shared" si="0"/>
        <v>0.39762422899302924</v>
      </c>
      <c r="C33" s="13">
        <f t="shared" si="5"/>
        <v>45.730370748797505</v>
      </c>
      <c r="D33" s="12">
        <f t="shared" si="1"/>
        <v>86.131056978178606</v>
      </c>
      <c r="E33" s="12">
        <f t="shared" si="2"/>
        <v>175.32523498415736</v>
      </c>
      <c r="F33" s="12">
        <f t="shared" si="6"/>
        <v>48.939463538839021</v>
      </c>
      <c r="G33" s="12">
        <f t="shared" si="3"/>
        <v>90.094737656060985</v>
      </c>
      <c r="H33" s="12"/>
      <c r="I33" s="12">
        <f t="shared" si="4"/>
        <v>39.869949525392116</v>
      </c>
      <c r="J33" s="12">
        <f t="shared" si="12"/>
        <v>2.8805571529982275</v>
      </c>
      <c r="K33" s="12">
        <f t="shared" si="13"/>
        <v>0.14225041339229819</v>
      </c>
      <c r="M33" s="8">
        <v>7682</v>
      </c>
      <c r="N33" s="12">
        <f t="shared" si="7"/>
        <v>335752.38203767128</v>
      </c>
      <c r="O33" s="12">
        <f t="shared" si="8"/>
        <v>281699.08381259261</v>
      </c>
      <c r="P33" s="12">
        <f t="shared" si="9"/>
        <v>54053.298225078674</v>
      </c>
      <c r="Q33" s="12">
        <f t="shared" si="10"/>
        <v>13497.537845424409</v>
      </c>
      <c r="R33" s="12">
        <f t="shared" si="14"/>
        <v>2629.2065980967204</v>
      </c>
      <c r="S33" s="12"/>
    </row>
    <row r="34" spans="1:19" x14ac:dyDescent="0.2">
      <c r="A34" s="12">
        <f t="shared" si="11"/>
        <v>95</v>
      </c>
      <c r="B34" s="13">
        <f t="shared" si="0"/>
        <v>0.43733796997465713</v>
      </c>
      <c r="C34" s="13">
        <f t="shared" si="5"/>
        <v>45.485656630028046</v>
      </c>
      <c r="D34" s="12">
        <f t="shared" si="1"/>
        <v>88.012723529918389</v>
      </c>
      <c r="E34" s="12">
        <f t="shared" si="2"/>
        <v>178.17296894278439</v>
      </c>
      <c r="F34" s="12">
        <f t="shared" si="6"/>
        <v>47.045977798040703</v>
      </c>
      <c r="G34" s="12">
        <f t="shared" si="3"/>
        <v>85.082918467002443</v>
      </c>
      <c r="H34" s="12"/>
      <c r="I34" s="12">
        <f t="shared" si="4"/>
        <v>43.852063121467161</v>
      </c>
      <c r="J34" s="12">
        <f t="shared" si="12"/>
        <v>2.8750860163661827</v>
      </c>
      <c r="K34" s="12">
        <f t="shared" si="13"/>
        <v>-4.7403823932993402E-2</v>
      </c>
      <c r="M34" s="8">
        <v>7817</v>
      </c>
      <c r="N34" s="12">
        <f t="shared" si="7"/>
        <v>340096.25462271972</v>
      </c>
      <c r="O34" s="12">
        <f t="shared" si="8"/>
        <v>286070.11302197812</v>
      </c>
      <c r="P34" s="12">
        <f t="shared" si="9"/>
        <v>54026.141600741597</v>
      </c>
      <c r="Q34" s="12">
        <f t="shared" si="10"/>
        <v>13664.422640562076</v>
      </c>
      <c r="R34" s="12">
        <f t="shared" si="14"/>
        <v>2571.6157760652973</v>
      </c>
      <c r="S34" s="12"/>
    </row>
    <row r="35" spans="1:19" x14ac:dyDescent="0.2">
      <c r="A35" s="12">
        <f t="shared" si="11"/>
        <v>100</v>
      </c>
      <c r="B35" s="13">
        <f t="shared" si="0"/>
        <v>0.47671499278395157</v>
      </c>
      <c r="C35" s="13">
        <f t="shared" si="5"/>
        <v>44.964237863200864</v>
      </c>
      <c r="D35" s="12">
        <f t="shared" si="1"/>
        <v>90.035297726104332</v>
      </c>
      <c r="E35" s="12">
        <f t="shared" si="2"/>
        <v>181.18749789011815</v>
      </c>
      <c r="F35" s="12">
        <f t="shared" si="6"/>
        <v>45.168546224949125</v>
      </c>
      <c r="G35" s="12">
        <f t="shared" si="3"/>
        <v>80.228061090096801</v>
      </c>
      <c r="H35" s="12"/>
      <c r="I35" s="12">
        <f t="shared" si="4"/>
        <v>47.800413844064373</v>
      </c>
      <c r="J35" s="12">
        <f t="shared" si="12"/>
        <v>2.8507092217151868</v>
      </c>
      <c r="K35" s="12">
        <f t="shared" si="13"/>
        <v>-0.21120899721611666</v>
      </c>
      <c r="M35" s="8">
        <v>7998</v>
      </c>
      <c r="N35" s="12">
        <f t="shared" si="7"/>
        <v>344336.13355639222</v>
      </c>
      <c r="O35" s="12">
        <f t="shared" si="8"/>
        <v>288263.97593740938</v>
      </c>
      <c r="P35" s="12">
        <f t="shared" si="9"/>
        <v>56072.157618982834</v>
      </c>
      <c r="Q35" s="12">
        <f t="shared" si="10"/>
        <v>13867.727919863577</v>
      </c>
      <c r="R35" s="12">
        <f t="shared" si="14"/>
        <v>2601.7986115781209</v>
      </c>
      <c r="S35" s="12"/>
    </row>
    <row r="36" spans="1:19" x14ac:dyDescent="0.2">
      <c r="A36" s="12">
        <f t="shared" si="11"/>
        <v>105</v>
      </c>
      <c r="B36" s="13">
        <f t="shared" si="0"/>
        <v>0.51553407971451171</v>
      </c>
      <c r="C36" s="13">
        <f t="shared" si="5"/>
        <v>44.210571973418645</v>
      </c>
      <c r="D36" s="12">
        <f t="shared" si="1"/>
        <v>92.18566390142955</v>
      </c>
      <c r="E36" s="12">
        <f t="shared" si="2"/>
        <v>184.33827878459698</v>
      </c>
      <c r="F36" s="12">
        <f t="shared" si="6"/>
        <v>43.317716115344751</v>
      </c>
      <c r="G36" s="12">
        <f t="shared" si="3"/>
        <v>75.527597155817674</v>
      </c>
      <c r="H36" s="12"/>
      <c r="I36" s="12">
        <f t="shared" si="4"/>
        <v>51.692820100249463</v>
      </c>
      <c r="J36" s="12">
        <f t="shared" si="12"/>
        <v>2.810317316965635</v>
      </c>
      <c r="K36" s="12">
        <f t="shared" si="13"/>
        <v>-0.34996946152857783</v>
      </c>
      <c r="M36" s="8">
        <v>8134</v>
      </c>
      <c r="N36" s="12">
        <f t="shared" si="7"/>
        <v>344577.19796082494</v>
      </c>
      <c r="O36" s="12">
        <f t="shared" si="8"/>
        <v>288263.97593740938</v>
      </c>
      <c r="P36" s="12">
        <f t="shared" si="9"/>
        <v>56313.222023415554</v>
      </c>
      <c r="Q36" s="12">
        <f t="shared" si="10"/>
        <v>14098.337628002746</v>
      </c>
      <c r="R36" s="12">
        <f t="shared" si="14"/>
        <v>2616.3457385324114</v>
      </c>
      <c r="S36" s="12"/>
    </row>
    <row r="37" spans="1:19" x14ac:dyDescent="0.2">
      <c r="A37" s="12">
        <f t="shared" si="11"/>
        <v>110</v>
      </c>
      <c r="B37" s="13">
        <f t="shared" si="0"/>
        <v>0.55361100496876625</v>
      </c>
      <c r="C37" s="13">
        <f t="shared" si="5"/>
        <v>43.264995445841009</v>
      </c>
      <c r="D37" s="12">
        <f t="shared" si="1"/>
        <v>94.450743537080371</v>
      </c>
      <c r="E37" s="12">
        <f t="shared" si="2"/>
        <v>187.5950870729377</v>
      </c>
      <c r="F37" s="12">
        <f t="shared" si="6"/>
        <v>41.502271051739996</v>
      </c>
      <c r="G37" s="12">
        <f t="shared" si="3"/>
        <v>70.977231727863725</v>
      </c>
      <c r="H37" s="12"/>
      <c r="I37" s="12">
        <f t="shared" si="4"/>
        <v>55.510809491423799</v>
      </c>
      <c r="J37" s="12">
        <f t="shared" si="12"/>
        <v>2.7565883404278706</v>
      </c>
      <c r="K37" s="12">
        <f t="shared" si="13"/>
        <v>-0.46552647378214229</v>
      </c>
      <c r="M37" s="8">
        <v>8224</v>
      </c>
      <c r="N37" s="12">
        <f t="shared" si="7"/>
        <v>341101.22409501049</v>
      </c>
      <c r="O37" s="12">
        <f t="shared" si="8"/>
        <v>286070.11302197812</v>
      </c>
      <c r="P37" s="12">
        <f t="shared" si="9"/>
        <v>55031.111073032371</v>
      </c>
      <c r="Q37" s="12">
        <f t="shared" si="10"/>
        <v>14348.324900453414</v>
      </c>
      <c r="R37" s="12">
        <f t="shared" si="14"/>
        <v>2602.2779358679081</v>
      </c>
      <c r="S37" s="12"/>
    </row>
    <row r="38" spans="1:19" x14ac:dyDescent="0.2">
      <c r="A38" s="12">
        <f t="shared" si="11"/>
        <v>115</v>
      </c>
      <c r="B38" s="13">
        <f t="shared" si="0"/>
        <v>0.59079445898442184</v>
      </c>
      <c r="C38" s="13">
        <f t="shared" si="5"/>
        <v>42.162684905221454</v>
      </c>
      <c r="D38" s="12">
        <f t="shared" si="1"/>
        <v>96.817570159702896</v>
      </c>
      <c r="E38" s="12">
        <f t="shared" si="2"/>
        <v>190.92835712365172</v>
      </c>
      <c r="F38" s="12">
        <f t="shared" si="6"/>
        <v>39.729425224779376</v>
      </c>
      <c r="G38" s="12">
        <f t="shared" si="3"/>
        <v>66.571212523525631</v>
      </c>
      <c r="H38" s="12"/>
      <c r="I38" s="12">
        <f t="shared" si="4"/>
        <v>59.239210143814411</v>
      </c>
      <c r="J38" s="12">
        <f t="shared" si="12"/>
        <v>2.6919052710260214</v>
      </c>
      <c r="K38" s="12">
        <f t="shared" si="13"/>
        <v>-0.5604365307588518</v>
      </c>
      <c r="M38" s="8">
        <v>8269</v>
      </c>
      <c r="N38" s="12">
        <f t="shared" si="7"/>
        <v>334307.9286135009</v>
      </c>
      <c r="O38" s="12">
        <f t="shared" si="8"/>
        <v>281699.08381259261</v>
      </c>
      <c r="P38" s="12">
        <f t="shared" si="9"/>
        <v>52608.844800908293</v>
      </c>
      <c r="Q38" s="12">
        <f t="shared" si="10"/>
        <v>14610.891077386719</v>
      </c>
      <c r="R38" s="12">
        <f t="shared" si="14"/>
        <v>2562.1879983282647</v>
      </c>
      <c r="S38" s="12"/>
    </row>
    <row r="39" spans="1:19" x14ac:dyDescent="0.2">
      <c r="A39" s="12">
        <f t="shared" si="11"/>
        <v>120</v>
      </c>
      <c r="B39" s="13">
        <f t="shared" si="0"/>
        <v>0.62696127586601713</v>
      </c>
      <c r="C39" s="13">
        <f t="shared" si="5"/>
        <v>40.933075739270222</v>
      </c>
      <c r="D39" s="12">
        <f t="shared" si="1"/>
        <v>99.273317939995479</v>
      </c>
      <c r="E39" s="12">
        <f t="shared" si="2"/>
        <v>194.3094468824815</v>
      </c>
      <c r="F39" s="12">
        <f t="shared" si="6"/>
        <v>38.005050981440156</v>
      </c>
      <c r="G39" s="12">
        <f t="shared" si="3"/>
        <v>62.302586060478987</v>
      </c>
      <c r="H39" s="12"/>
      <c r="I39" s="12">
        <f t="shared" si="4"/>
        <v>62.865672161018551</v>
      </c>
      <c r="J39" s="12">
        <f t="shared" si="12"/>
        <v>2.6183055764213896</v>
      </c>
      <c r="K39" s="12">
        <f t="shared" si="13"/>
        <v>-0.63769326178500108</v>
      </c>
      <c r="M39" s="8">
        <v>8360</v>
      </c>
      <c r="N39" s="12">
        <f t="shared" si="7"/>
        <v>328283.26742894721</v>
      </c>
      <c r="O39" s="12">
        <f t="shared" si="8"/>
        <v>275184.15448083595</v>
      </c>
      <c r="P39" s="12">
        <f t="shared" si="9"/>
        <v>53099.112948111258</v>
      </c>
      <c r="Q39" s="12">
        <f t="shared" si="10"/>
        <v>14880.421009942098</v>
      </c>
      <c r="R39" s="12">
        <f t="shared" si="14"/>
        <v>2512.6848701703188</v>
      </c>
      <c r="S39" s="12"/>
    </row>
    <row r="40" spans="1:19" x14ac:dyDescent="0.2">
      <c r="A40" s="12">
        <f t="shared" si="11"/>
        <v>125</v>
      </c>
      <c r="B40" s="13">
        <f t="shared" si="0"/>
        <v>0.66201131181016082</v>
      </c>
      <c r="C40" s="13">
        <f t="shared" si="5"/>
        <v>39.599621677779346</v>
      </c>
      <c r="D40" s="12">
        <f t="shared" si="1"/>
        <v>101.80528746519381</v>
      </c>
      <c r="E40" s="12">
        <f t="shared" si="2"/>
        <v>197.71083552599322</v>
      </c>
      <c r="F40" s="12">
        <f t="shared" si="6"/>
        <v>36.333923013279041</v>
      </c>
      <c r="G40" s="12">
        <f t="shared" si="3"/>
        <v>58.163427617516206</v>
      </c>
      <c r="H40" s="12"/>
      <c r="I40" s="12">
        <f t="shared" si="4"/>
        <v>66.380154081537256</v>
      </c>
      <c r="J40" s="12">
        <f t="shared" si="12"/>
        <v>2.537455946614505</v>
      </c>
      <c r="K40" s="12">
        <f t="shared" si="13"/>
        <v>-0.70050921301536873</v>
      </c>
      <c r="M40" s="8">
        <v>8134</v>
      </c>
      <c r="N40" s="12">
        <f t="shared" si="7"/>
        <v>308639.4513566122</v>
      </c>
      <c r="O40" s="12">
        <f t="shared" si="8"/>
        <v>266574.90757274459</v>
      </c>
      <c r="P40" s="12">
        <f t="shared" si="9"/>
        <v>42064.543783867615</v>
      </c>
      <c r="Q40" s="12">
        <f t="shared" si="10"/>
        <v>15152.639179881135</v>
      </c>
      <c r="R40" s="12">
        <f t="shared" si="14"/>
        <v>2415.32769987648</v>
      </c>
      <c r="S40" s="12"/>
    </row>
    <row r="41" spans="1:19" x14ac:dyDescent="0.2">
      <c r="A41" s="12">
        <f t="shared" si="11"/>
        <v>130</v>
      </c>
      <c r="B41" s="13">
        <f t="shared" si="0"/>
        <v>0.69586222058501823</v>
      </c>
      <c r="C41" s="13">
        <f t="shared" si="5"/>
        <v>38.179780277266183</v>
      </c>
      <c r="D41" s="12">
        <f t="shared" si="1"/>
        <v>104.4008520014082</v>
      </c>
      <c r="E41" s="12">
        <f t="shared" si="2"/>
        <v>201.10626415688651</v>
      </c>
      <c r="F41" s="12">
        <f t="shared" si="6"/>
        <v>34.719967452962806</v>
      </c>
      <c r="G41" s="12">
        <f t="shared" si="3"/>
        <v>54.14503659341436</v>
      </c>
      <c r="H41" s="12"/>
      <c r="I41" s="12">
        <f t="shared" si="4"/>
        <v>69.774399013894921</v>
      </c>
      <c r="J41" s="12">
        <f t="shared" si="12"/>
        <v>2.4506448411622341</v>
      </c>
      <c r="K41" s="12">
        <f t="shared" si="13"/>
        <v>-0.7521615040986388</v>
      </c>
      <c r="M41" s="8">
        <v>7908</v>
      </c>
      <c r="N41" s="12">
        <f t="shared" si="7"/>
        <v>288944.57713835046</v>
      </c>
      <c r="O41" s="12">
        <f t="shared" si="8"/>
        <v>255936.86465569466</v>
      </c>
      <c r="P41" s="12">
        <f t="shared" si="9"/>
        <v>33007.712482655799</v>
      </c>
      <c r="Q41" s="12">
        <f t="shared" si="10"/>
        <v>15424.865875947204</v>
      </c>
      <c r="R41" s="12">
        <f t="shared" si="14"/>
        <v>2268.769883536736</v>
      </c>
      <c r="S41" s="12"/>
    </row>
    <row r="42" spans="1:19" x14ac:dyDescent="0.2">
      <c r="A42" s="12">
        <f t="shared" si="11"/>
        <v>135</v>
      </c>
      <c r="B42" s="13">
        <f t="shared" si="0"/>
        <v>0.7284442769522671</v>
      </c>
      <c r="C42" s="13">
        <f t="shared" si="5"/>
        <v>36.685121968116526</v>
      </c>
      <c r="D42" s="12">
        <f t="shared" si="1"/>
        <v>107.04736680483921</v>
      </c>
      <c r="E42" s="12">
        <f t="shared" si="2"/>
        <v>204.47082972109612</v>
      </c>
      <c r="F42" s="12">
        <f t="shared" si="6"/>
        <v>33.166508684980883</v>
      </c>
      <c r="G42" s="12">
        <f t="shared" si="3"/>
        <v>50.23809262886347</v>
      </c>
      <c r="H42" s="12"/>
      <c r="I42" s="12">
        <f t="shared" si="4"/>
        <v>73.041415578970657</v>
      </c>
      <c r="J42" s="12">
        <f t="shared" si="12"/>
        <v>2.3587859599846808</v>
      </c>
      <c r="K42" s="12">
        <f t="shared" si="13"/>
        <v>-0.79589718240961871</v>
      </c>
      <c r="M42" s="8">
        <v>7682</v>
      </c>
      <c r="N42" s="12">
        <f t="shared" si="7"/>
        <v>269342.16548991151</v>
      </c>
      <c r="O42" s="12">
        <f t="shared" si="8"/>
        <v>243350.98765971069</v>
      </c>
      <c r="P42" s="12">
        <f t="shared" si="9"/>
        <v>25991.177830200817</v>
      </c>
      <c r="Q42" s="12">
        <f t="shared" si="10"/>
        <v>15696.388569440378</v>
      </c>
      <c r="R42" s="12">
        <f t="shared" si="14"/>
        <v>2122.199510397113</v>
      </c>
      <c r="S42" s="12"/>
    </row>
    <row r="43" spans="1:19" x14ac:dyDescent="0.2">
      <c r="A43" s="12">
        <f t="shared" si="11"/>
        <v>140</v>
      </c>
      <c r="B43" s="13">
        <f t="shared" si="0"/>
        <v>0.75969531748535113</v>
      </c>
      <c r="C43" s="13">
        <f t="shared" si="5"/>
        <v>35.121478372615904</v>
      </c>
      <c r="D43" s="12">
        <f t="shared" si="1"/>
        <v>109.73204291812816</v>
      </c>
      <c r="E43" s="12">
        <f t="shared" si="2"/>
        <v>207.78104171482732</v>
      </c>
      <c r="F43" s="12">
        <f t="shared" si="6"/>
        <v>31.676510559095956</v>
      </c>
      <c r="G43" s="12">
        <f t="shared" si="3"/>
        <v>46.432770616267462</v>
      </c>
      <c r="H43" s="12"/>
      <c r="I43" s="12">
        <f t="shared" si="4"/>
        <v>76.174970623705846</v>
      </c>
      <c r="J43" s="12">
        <f t="shared" si="12"/>
        <v>2.2624267422988065</v>
      </c>
      <c r="K43" s="12">
        <f t="shared" si="13"/>
        <v>-0.83488965761671952</v>
      </c>
      <c r="M43" s="8">
        <v>7998</v>
      </c>
      <c r="N43" s="12">
        <f t="shared" si="7"/>
        <v>268960.28137749259</v>
      </c>
      <c r="O43" s="12">
        <f t="shared" si="8"/>
        <v>228913.06270829256</v>
      </c>
      <c r="P43" s="12">
        <f t="shared" si="9"/>
        <v>40047.218669200025</v>
      </c>
      <c r="Q43" s="12">
        <f t="shared" si="10"/>
        <v>15968.985115167539</v>
      </c>
      <c r="R43" s="12">
        <f t="shared" si="14"/>
        <v>2047.2559625603235</v>
      </c>
      <c r="S43" s="12"/>
    </row>
    <row r="44" spans="1:19" x14ac:dyDescent="0.2">
      <c r="A44" s="12">
        <f t="shared" si="11"/>
        <v>145</v>
      </c>
      <c r="B44" s="13">
        <f t="shared" si="0"/>
        <v>0.78955580340065012</v>
      </c>
      <c r="C44" s="13">
        <f t="shared" si="5"/>
        <v>33.48906525891973</v>
      </c>
      <c r="D44" s="12">
        <f t="shared" si="1"/>
        <v>112.44178561394224</v>
      </c>
      <c r="E44" s="12">
        <f t="shared" si="2"/>
        <v>211.01485020787823</v>
      </c>
      <c r="F44" s="12">
        <f t="shared" si="6"/>
        <v>30.25281178641967</v>
      </c>
      <c r="G44" s="12">
        <f t="shared" si="3"/>
        <v>42.718814539405273</v>
      </c>
      <c r="H44" s="12"/>
      <c r="I44" s="12">
        <f t="shared" si="4"/>
        <v>79.169094169098571</v>
      </c>
      <c r="J44" s="12">
        <f t="shared" si="12"/>
        <v>2.1617571997735476</v>
      </c>
      <c r="K44" s="12">
        <f t="shared" si="13"/>
        <v>-0.8722358058710773</v>
      </c>
      <c r="M44" s="8">
        <v>8269</v>
      </c>
      <c r="N44" s="12">
        <f t="shared" si="7"/>
        <v>265534.79843797453</v>
      </c>
      <c r="O44" s="12">
        <f t="shared" si="8"/>
        <v>212732.97112817797</v>
      </c>
      <c r="P44" s="12">
        <f t="shared" si="9"/>
        <v>52801.827309796558</v>
      </c>
      <c r="Q44" s="12">
        <f t="shared" si="10"/>
        <v>16247.669175277617</v>
      </c>
      <c r="R44" s="12">
        <f t="shared" si="14"/>
        <v>2029.3919880376441</v>
      </c>
      <c r="S44" s="12"/>
    </row>
    <row r="45" spans="1:19" x14ac:dyDescent="0.2">
      <c r="A45" s="12">
        <f t="shared" si="11"/>
        <v>150</v>
      </c>
      <c r="B45" s="13">
        <f t="shared" si="0"/>
        <v>0.81796396236185842</v>
      </c>
      <c r="C45" s="13">
        <f t="shared" si="5"/>
        <v>31.782535250411112</v>
      </c>
      <c r="D45" s="12">
        <f t="shared" si="1"/>
        <v>115.16299644111153</v>
      </c>
      <c r="E45" s="12">
        <f t="shared" si="2"/>
        <v>214.15165247804006</v>
      </c>
      <c r="F45" s="12">
        <f t="shared" si="6"/>
        <v>28.898357570175875</v>
      </c>
      <c r="G45" s="12">
        <f t="shared" si="3"/>
        <v>39.08557115033075</v>
      </c>
      <c r="H45" s="12"/>
      <c r="I45" s="12">
        <f t="shared" si="4"/>
        <v>82.01759227687495</v>
      </c>
      <c r="J45" s="12">
        <f t="shared" si="12"/>
        <v>2.056615633814546</v>
      </c>
      <c r="K45" s="12">
        <f t="shared" si="13"/>
        <v>-0.91098296678746116</v>
      </c>
      <c r="M45" s="8">
        <v>8586</v>
      </c>
      <c r="N45" s="12">
        <f t="shared" si="7"/>
        <v>262078.78567489004</v>
      </c>
      <c r="O45" s="12">
        <f t="shared" si="8"/>
        <v>194933.85318609796</v>
      </c>
      <c r="P45" s="12">
        <f t="shared" si="9"/>
        <v>67144.932488792081</v>
      </c>
      <c r="Q45" s="12">
        <f t="shared" si="10"/>
        <v>16541.786582756555</v>
      </c>
      <c r="R45" s="12">
        <f t="shared" si="14"/>
        <v>2000.4764836071197</v>
      </c>
      <c r="S45" s="12"/>
    </row>
    <row r="46" spans="1:19" x14ac:dyDescent="0.2">
      <c r="A46" s="12">
        <f t="shared" si="11"/>
        <v>155</v>
      </c>
      <c r="B46" s="13">
        <f t="shared" si="0"/>
        <v>0.84485093593660088</v>
      </c>
      <c r="C46" s="13">
        <f t="shared" si="5"/>
        <v>29.990935852646963</v>
      </c>
      <c r="D46" s="12">
        <f t="shared" si="1"/>
        <v>117.88133695965674</v>
      </c>
      <c r="E46" s="12">
        <f t="shared" si="2"/>
        <v>217.17228429506852</v>
      </c>
      <c r="F46" s="12">
        <f t="shared" si="6"/>
        <v>27.616430966974541</v>
      </c>
      <c r="G46" s="12">
        <f t="shared" si="3"/>
        <v>35.521985065674627</v>
      </c>
      <c r="H46" s="12"/>
      <c r="I46" s="12">
        <f t="shared" si="4"/>
        <v>84.713560482912825</v>
      </c>
      <c r="J46" s="12">
        <f t="shared" si="12"/>
        <v>1.9464890447593459</v>
      </c>
      <c r="K46" s="12">
        <f t="shared" si="13"/>
        <v>-0.9541749345716366</v>
      </c>
      <c r="M46" s="8">
        <v>8270</v>
      </c>
      <c r="N46" s="12">
        <f t="shared" si="7"/>
        <v>237828.12131149042</v>
      </c>
      <c r="O46" s="12">
        <f t="shared" si="8"/>
        <v>175651.17091699308</v>
      </c>
      <c r="P46" s="12">
        <f t="shared" si="9"/>
        <v>62176.95039449734</v>
      </c>
      <c r="Q46" s="12">
        <f t="shared" si="10"/>
        <v>16866.699045079898</v>
      </c>
      <c r="R46" s="12">
        <f t="shared" si="14"/>
        <v>1893.4683367072678</v>
      </c>
      <c r="S46" s="12"/>
    </row>
    <row r="47" spans="1:19" x14ac:dyDescent="0.2">
      <c r="A47" s="12">
        <f t="shared" si="11"/>
        <v>160</v>
      </c>
      <c r="B47" s="13">
        <f t="shared" ref="B47:B78" si="15">($B$11-F47)/($B$11-$B$12)</f>
        <v>0.87013584807232325</v>
      </c>
      <c r="C47" s="13">
        <f t="shared" si="5"/>
        <v>28.097572123214732</v>
      </c>
      <c r="D47" s="12">
        <f t="shared" ref="D47:D78" si="16">DEGREES(ACOS(($B$5^2+$B$4^2-$B$7^2-$B$8^2+2*$B$7*$B$8*COS(RADIANS(A47-$B$10)))/(2*$B$5*$B$4)))</f>
        <v>120.58145211662463</v>
      </c>
      <c r="E47" s="12">
        <f t="shared" ref="E47:E78" si="17">SQRT($B$8^2+$B$7^2-2*$B$8*$B$7*COS(RADIANS(A47-$B$10)))</f>
        <v>220.05900071414169</v>
      </c>
      <c r="F47" s="12">
        <f t="shared" si="6"/>
        <v>26.410888013756484</v>
      </c>
      <c r="G47" s="12">
        <f t="shared" ref="G47:G78" si="18">D47+F47-(A47-$B$10)</f>
        <v>32.016557269424467</v>
      </c>
      <c r="H47" s="12"/>
      <c r="I47" s="12">
        <f t="shared" ref="I47:I78" si="19">$B$3*B47*($B$11-$B$12)*2*3.1415/360</f>
        <v>87.248889311234564</v>
      </c>
      <c r="J47" s="12">
        <f t="shared" si="12"/>
        <v>1.8305074140482946</v>
      </c>
      <c r="K47" s="12">
        <f t="shared" si="13"/>
        <v>-1.0049050446823355</v>
      </c>
      <c r="M47" s="8">
        <v>7998</v>
      </c>
      <c r="N47" s="12">
        <f t="shared" si="7"/>
        <v>215171.20731957842</v>
      </c>
      <c r="O47" s="12">
        <f t="shared" si="8"/>
        <v>155031.67717613294</v>
      </c>
      <c r="P47" s="12">
        <f t="shared" si="9"/>
        <v>60139.530143445474</v>
      </c>
      <c r="Q47" s="12">
        <f t="shared" si="10"/>
        <v>17246.502636348891</v>
      </c>
      <c r="R47" s="12">
        <f t="shared" si="14"/>
        <v>1718.5303907974182</v>
      </c>
      <c r="S47" s="12"/>
    </row>
    <row r="48" spans="1:19" x14ac:dyDescent="0.2">
      <c r="A48" s="12">
        <f t="shared" si="11"/>
        <v>165</v>
      </c>
      <c r="B48" s="13">
        <f t="shared" si="15"/>
        <v>0.89372072242608736</v>
      </c>
      <c r="C48" s="13">
        <f t="shared" si="5"/>
        <v>26.079805183437553</v>
      </c>
      <c r="D48" s="12">
        <f t="shared" si="16"/>
        <v>123.24665244485809</v>
      </c>
      <c r="E48" s="12">
        <f t="shared" si="17"/>
        <v>222.79545019298683</v>
      </c>
      <c r="F48" s="12">
        <f t="shared" si="6"/>
        <v>25.286400061134959</v>
      </c>
      <c r="G48" s="12">
        <f t="shared" si="18"/>
        <v>28.557269645036413</v>
      </c>
      <c r="H48" s="12"/>
      <c r="I48" s="12">
        <f t="shared" si="19"/>
        <v>89.613754632517015</v>
      </c>
      <c r="J48" s="12">
        <f t="shared" si="12"/>
        <v>1.7074327619659297</v>
      </c>
      <c r="K48" s="12">
        <f t="shared" si="13"/>
        <v>-1.0663614400992134</v>
      </c>
      <c r="M48" s="8">
        <v>7682</v>
      </c>
      <c r="N48" s="12">
        <f t="shared" si="7"/>
        <v>191477.92965679851</v>
      </c>
      <c r="O48" s="12">
        <f t="shared" si="8"/>
        <v>133232.29876127644</v>
      </c>
      <c r="P48" s="12">
        <f t="shared" si="9"/>
        <v>58245.630895522074</v>
      </c>
      <c r="Q48" s="12">
        <f t="shared" si="10"/>
        <v>17718.668880897534</v>
      </c>
      <c r="R48" s="12">
        <f t="shared" si="14"/>
        <v>1545.0453432378681</v>
      </c>
      <c r="S48" s="12"/>
    </row>
    <row r="49" spans="1:19" x14ac:dyDescent="0.2">
      <c r="A49" s="12">
        <f t="shared" si="11"/>
        <v>170</v>
      </c>
      <c r="B49" s="13">
        <f t="shared" si="15"/>
        <v>0.91548522261483756</v>
      </c>
      <c r="C49" s="13">
        <f t="shared" si="5"/>
        <v>23.908864870232495</v>
      </c>
      <c r="D49" s="12">
        <f t="shared" si="16"/>
        <v>125.85855786557516</v>
      </c>
      <c r="E49" s="12">
        <f t="shared" si="17"/>
        <v>225.36664495608949</v>
      </c>
      <c r="F49" s="12">
        <f t="shared" si="6"/>
        <v>24.248704549597392</v>
      </c>
      <c r="G49" s="12">
        <f t="shared" si="18"/>
        <v>25.131479554215915</v>
      </c>
      <c r="H49" s="12"/>
      <c r="I49" s="12">
        <f t="shared" si="19"/>
        <v>91.796090266762434</v>
      </c>
      <c r="J49" s="12">
        <f t="shared" si="12"/>
        <v>1.5756463279251924</v>
      </c>
      <c r="K49" s="12">
        <f t="shared" si="13"/>
        <v>-1.1418433382624784</v>
      </c>
      <c r="M49" s="8">
        <v>7817</v>
      </c>
      <c r="N49" s="12">
        <f t="shared" si="7"/>
        <v>178766.58263472837</v>
      </c>
      <c r="O49" s="12">
        <f t="shared" si="8"/>
        <v>110418.94210498512</v>
      </c>
      <c r="P49" s="12">
        <f t="shared" si="9"/>
        <v>68347.64052974325</v>
      </c>
      <c r="Q49" s="12">
        <f t="shared" si="10"/>
        <v>18342.483365108401</v>
      </c>
      <c r="R49" s="12">
        <f t="shared" si="14"/>
        <v>1409.3341664654063</v>
      </c>
      <c r="S49" s="12"/>
    </row>
    <row r="50" spans="1:19" x14ac:dyDescent="0.2">
      <c r="A50" s="12">
        <f t="shared" si="11"/>
        <v>175</v>
      </c>
      <c r="B50" s="13">
        <f t="shared" si="15"/>
        <v>0.9352812865684349</v>
      </c>
      <c r="C50" s="13">
        <f t="shared" si="5"/>
        <v>21.549826291610021</v>
      </c>
      <c r="D50" s="12">
        <f t="shared" si="16"/>
        <v>128.39671337477409</v>
      </c>
      <c r="E50" s="12">
        <f t="shared" si="17"/>
        <v>227.75892979455884</v>
      </c>
      <c r="F50" s="12">
        <f t="shared" si="6"/>
        <v>23.304860834712695</v>
      </c>
      <c r="G50" s="12">
        <f t="shared" si="18"/>
        <v>21.725791348530123</v>
      </c>
      <c r="H50" s="12"/>
      <c r="I50" s="12">
        <f t="shared" si="19"/>
        <v>93.78104996760905</v>
      </c>
      <c r="J50" s="12">
        <f t="shared" si="12"/>
        <v>1.433140904011257</v>
      </c>
      <c r="K50" s="12">
        <f t="shared" si="13"/>
        <v>-1.2347163814455939</v>
      </c>
      <c r="M50" s="8">
        <v>7998</v>
      </c>
      <c r="N50" s="12">
        <f t="shared" si="7"/>
        <v>165028.56974114955</v>
      </c>
      <c r="O50" s="12">
        <f t="shared" si="8"/>
        <v>86765.23062649474</v>
      </c>
      <c r="P50" s="12">
        <f t="shared" si="9"/>
        <v>78263.339114654809</v>
      </c>
      <c r="Q50" s="12">
        <f t="shared" si="10"/>
        <v>19215.568884973349</v>
      </c>
      <c r="R50" s="12">
        <f t="shared" si="14"/>
        <v>1308.005736203718</v>
      </c>
      <c r="S50" s="12"/>
    </row>
    <row r="51" spans="1:19" x14ac:dyDescent="0.2">
      <c r="A51" s="12">
        <f t="shared" si="11"/>
        <v>180</v>
      </c>
      <c r="B51" s="13">
        <f t="shared" si="15"/>
        <v>0.95292789949315104</v>
      </c>
      <c r="C51" s="13">
        <f t="shared" si="5"/>
        <v>18.96200500450772</v>
      </c>
      <c r="D51" s="12">
        <f t="shared" si="16"/>
        <v>130.83820044228918</v>
      </c>
      <c r="E51" s="12">
        <f t="shared" si="17"/>
        <v>229.95995090000929</v>
      </c>
      <c r="F51" s="12">
        <f t="shared" si="6"/>
        <v>22.463499403620251</v>
      </c>
      <c r="G51" s="12">
        <f t="shared" si="18"/>
        <v>18.325916984952784</v>
      </c>
      <c r="H51" s="12"/>
      <c r="I51" s="12">
        <f t="shared" si="19"/>
        <v>95.550483305170829</v>
      </c>
      <c r="J51" s="12">
        <f t="shared" si="12"/>
        <v>1.2775308697196042</v>
      </c>
      <c r="K51" s="12">
        <f t="shared" si="13"/>
        <v>-1.3482592674735794</v>
      </c>
      <c r="M51" s="8">
        <v>8134</v>
      </c>
      <c r="N51" s="12">
        <f t="shared" si="7"/>
        <v>147789.86700513316</v>
      </c>
      <c r="O51" s="12">
        <f t="shared" si="8"/>
        <v>62451.183352657928</v>
      </c>
      <c r="P51" s="12">
        <f t="shared" si="9"/>
        <v>85338.683652475229</v>
      </c>
      <c r="Q51" s="12">
        <f t="shared" si="10"/>
        <v>20509.34302368026</v>
      </c>
      <c r="R51" s="12">
        <f t="shared" si="14"/>
        <v>1189.3541083977757</v>
      </c>
      <c r="S51" s="12"/>
    </row>
    <row r="52" spans="1:19" x14ac:dyDescent="0.2">
      <c r="A52" s="12">
        <f t="shared" si="11"/>
        <v>185</v>
      </c>
      <c r="B52" s="13">
        <f t="shared" si="15"/>
        <v>0.96820653069593443</v>
      </c>
      <c r="C52" s="13">
        <f t="shared" si="5"/>
        <v>16.100166768990171</v>
      </c>
      <c r="D52" s="12">
        <f t="shared" si="16"/>
        <v>133.1572901349698</v>
      </c>
      <c r="E52" s="12">
        <f t="shared" si="17"/>
        <v>231.9586258678666</v>
      </c>
      <c r="F52" s="12">
        <f t="shared" si="6"/>
        <v>21.735039439730929</v>
      </c>
      <c r="G52" s="12">
        <f t="shared" si="18"/>
        <v>14.916546713744083</v>
      </c>
      <c r="H52" s="12"/>
      <c r="I52" s="12">
        <f t="shared" si="19"/>
        <v>97.082478114477922</v>
      </c>
      <c r="J52" s="12">
        <f t="shared" si="12"/>
        <v>1.1061002523197214</v>
      </c>
      <c r="K52" s="12">
        <f t="shared" si="13"/>
        <v>-1.4853342825238849</v>
      </c>
      <c r="M52" s="8">
        <v>8043</v>
      </c>
      <c r="N52" s="12">
        <f t="shared" si="7"/>
        <v>124019.58462153129</v>
      </c>
      <c r="O52" s="12">
        <f t="shared" si="8"/>
        <v>37661.844864452025</v>
      </c>
      <c r="P52" s="12">
        <f t="shared" si="9"/>
        <v>86357.739757079267</v>
      </c>
      <c r="Q52" s="12">
        <f t="shared" si="10"/>
        <v>22554.791312182486</v>
      </c>
      <c r="R52" s="12">
        <f t="shared" si="14"/>
        <v>1032.6283345900354</v>
      </c>
      <c r="S52" s="12"/>
    </row>
    <row r="53" spans="1:19" x14ac:dyDescent="0.2">
      <c r="A53" s="12">
        <f t="shared" si="11"/>
        <v>190</v>
      </c>
      <c r="B53" s="13">
        <f t="shared" si="15"/>
        <v>0.98085817368278228</v>
      </c>
      <c r="C53" s="13">
        <f t="shared" si="5"/>
        <v>12.91710725710411</v>
      </c>
      <c r="D53" s="12">
        <f t="shared" si="16"/>
        <v>135.32521692096827</v>
      </c>
      <c r="E53" s="12">
        <f t="shared" si="17"/>
        <v>233.74511565044935</v>
      </c>
      <c r="F53" s="12">
        <f t="shared" si="6"/>
        <v>21.131829945960249</v>
      </c>
      <c r="G53" s="12">
        <f t="shared" si="18"/>
        <v>11.481264005971866</v>
      </c>
      <c r="H53" s="12"/>
      <c r="I53" s="12">
        <f t="shared" si="19"/>
        <v>98.351063704889086</v>
      </c>
      <c r="J53" s="12">
        <f t="shared" si="12"/>
        <v>0.91591879627686001</v>
      </c>
      <c r="K53" s="12">
        <f t="shared" si="13"/>
        <v>-1.6477980470772342</v>
      </c>
      <c r="M53" s="8">
        <v>7998</v>
      </c>
      <c r="N53" s="12">
        <f t="shared" si="7"/>
        <v>98919.207374903272</v>
      </c>
      <c r="O53" s="12">
        <f t="shared" si="8"/>
        <v>12585.876995983946</v>
      </c>
      <c r="P53" s="12">
        <f t="shared" si="9"/>
        <v>86333.330378919331</v>
      </c>
      <c r="Q53" s="12">
        <f t="shared" si="10"/>
        <v>26087.705765396458</v>
      </c>
      <c r="R53" s="12">
        <f t="shared" si="14"/>
        <v>847.89089399106126</v>
      </c>
      <c r="S53" s="12"/>
    </row>
    <row r="54" spans="1:19" x14ac:dyDescent="0.2">
      <c r="A54" s="12">
        <f t="shared" si="11"/>
        <v>195</v>
      </c>
      <c r="B54" s="13">
        <f t="shared" si="15"/>
        <v>0.99058346862788316</v>
      </c>
      <c r="C54" s="13">
        <f t="shared" si="5"/>
        <v>9.368269571576592</v>
      </c>
      <c r="D54" s="12">
        <f t="shared" si="16"/>
        <v>137.31019518148375</v>
      </c>
      <c r="E54" s="12">
        <f t="shared" si="17"/>
        <v>235.31079897405203</v>
      </c>
      <c r="F54" s="12">
        <f t="shared" si="6"/>
        <v>20.668143905601443</v>
      </c>
      <c r="G54" s="12">
        <f t="shared" si="18"/>
        <v>8.0025562261285472</v>
      </c>
      <c r="H54" s="12"/>
      <c r="I54" s="12">
        <f t="shared" si="19"/>
        <v>99.326223140124426</v>
      </c>
      <c r="J54" s="12">
        <f t="shared" si="12"/>
        <v>0.70406511223991597</v>
      </c>
      <c r="K54" s="12">
        <f t="shared" si="13"/>
        <v>-1.8355737414457411</v>
      </c>
      <c r="M54" s="8">
        <v>7908</v>
      </c>
      <c r="N54" s="12">
        <f t="shared" si="7"/>
        <v>70899.064117691654</v>
      </c>
      <c r="O54" s="12">
        <f t="shared" si="8"/>
        <v>-12585.876995983876</v>
      </c>
      <c r="P54" s="12">
        <f t="shared" si="9"/>
        <v>83484.941113675537</v>
      </c>
      <c r="Q54" s="12">
        <f t="shared" si="10"/>
        <v>33154.397648922604</v>
      </c>
      <c r="R54" s="12">
        <f t="shared" si="14"/>
        <v>646.28691570222202</v>
      </c>
      <c r="S54" s="12"/>
    </row>
    <row r="55" spans="1:19" x14ac:dyDescent="0.2">
      <c r="A55" s="12">
        <f t="shared" si="11"/>
        <v>200</v>
      </c>
      <c r="B55" s="13">
        <f t="shared" si="15"/>
        <v>0.99704795439970262</v>
      </c>
      <c r="C55" s="13">
        <f t="shared" si="5"/>
        <v>5.4189881392750143</v>
      </c>
      <c r="D55" s="12">
        <f t="shared" si="16"/>
        <v>139.07784578218002</v>
      </c>
      <c r="E55" s="12">
        <f t="shared" si="17"/>
        <v>236.64824953981136</v>
      </c>
      <c r="F55" s="12">
        <f t="shared" si="6"/>
        <v>20.359927874374456</v>
      </c>
      <c r="G55" s="12">
        <f t="shared" si="18"/>
        <v>4.4619907955978135</v>
      </c>
      <c r="H55" s="12"/>
      <c r="I55" s="12">
        <f t="shared" si="19"/>
        <v>99.974419861141058</v>
      </c>
      <c r="J55" s="12">
        <f t="shared" si="12"/>
        <v>0.46799803257400807</v>
      </c>
      <c r="K55" s="12">
        <f t="shared" si="13"/>
        <v>-2.0453669929051421</v>
      </c>
      <c r="M55" s="8">
        <v>7795</v>
      </c>
      <c r="N55" s="12">
        <f t="shared" si="7"/>
        <v>40398.556578295233</v>
      </c>
      <c r="O55" s="12">
        <f t="shared" si="8"/>
        <v>-37661.844864451952</v>
      </c>
      <c r="P55" s="12">
        <f t="shared" si="9"/>
        <v>78060.401442747185</v>
      </c>
      <c r="Q55" s="12">
        <f t="shared" si="10"/>
        <v>52441.637405192952</v>
      </c>
      <c r="R55" s="12">
        <f t="shared" si="14"/>
        <v>424.10971292184036</v>
      </c>
      <c r="S55" s="12"/>
    </row>
    <row r="56" spans="1:19" x14ac:dyDescent="0.2">
      <c r="A56" s="12">
        <f t="shared" si="11"/>
        <v>205</v>
      </c>
      <c r="B56" s="13">
        <f t="shared" si="15"/>
        <v>0.99989483086173214</v>
      </c>
      <c r="C56" s="13">
        <f t="shared" si="5"/>
        <v>1.0544442342847289</v>
      </c>
      <c r="D56" s="12">
        <f t="shared" si="16"/>
        <v>140.59222636716447</v>
      </c>
      <c r="E56" s="12">
        <f t="shared" si="17"/>
        <v>237.75121619040783</v>
      </c>
      <c r="F56" s="12">
        <f t="shared" si="6"/>
        <v>20.224193494952456</v>
      </c>
      <c r="G56" s="12">
        <f t="shared" si="18"/>
        <v>0.84063700116027462</v>
      </c>
      <c r="H56" s="12"/>
      <c r="I56" s="12">
        <f t="shared" si="19"/>
        <v>100.25987736742429</v>
      </c>
      <c r="J56" s="12">
        <f t="shared" si="12"/>
        <v>0.20610031953649691</v>
      </c>
      <c r="K56" s="12">
        <f t="shared" si="13"/>
        <v>-2.2691725526591031</v>
      </c>
      <c r="M56" s="8">
        <v>7682</v>
      </c>
      <c r="N56" s="12">
        <f t="shared" si="7"/>
        <v>7741.7295681184796</v>
      </c>
      <c r="O56" s="12">
        <f t="shared" si="8"/>
        <v>-62451.183352657987</v>
      </c>
      <c r="P56" s="12">
        <f t="shared" si="9"/>
        <v>70192.912920776464</v>
      </c>
      <c r="Q56" s="12">
        <f t="shared" si="10"/>
        <v>244590.77047535617</v>
      </c>
      <c r="R56" s="12">
        <f t="shared" si="14"/>
        <v>184.08440936440229</v>
      </c>
      <c r="S56" s="12"/>
    </row>
    <row r="57" spans="1:19" x14ac:dyDescent="0.2">
      <c r="A57" s="12">
        <f t="shared" si="11"/>
        <v>210</v>
      </c>
      <c r="B57" s="13">
        <f t="shared" si="15"/>
        <v>0.99876723559139269</v>
      </c>
      <c r="C57" s="13">
        <f t="shared" si="5"/>
        <v>-3.7087360781881302</v>
      </c>
      <c r="D57" s="12">
        <f t="shared" si="16"/>
        <v>141.81762790853878</v>
      </c>
      <c r="E57" s="12">
        <f t="shared" si="17"/>
        <v>238.61460613104816</v>
      </c>
      <c r="F57" s="12">
        <f t="shared" si="6"/>
        <v>20.277955379705823</v>
      </c>
      <c r="G57" s="12">
        <f t="shared" si="18"/>
        <v>-2.8801995727120584</v>
      </c>
      <c r="H57" s="12"/>
      <c r="I57" s="12">
        <f t="shared" si="19"/>
        <v>100.14681291300874</v>
      </c>
      <c r="J57" s="12">
        <f t="shared" si="12"/>
        <v>-8.1632536088027188E-2</v>
      </c>
      <c r="K57" s="12">
        <f t="shared" si="13"/>
        <v>-2.4930171818181495</v>
      </c>
      <c r="M57" s="8">
        <v>7570</v>
      </c>
      <c r="N57" s="12">
        <f t="shared" si="7"/>
        <v>-26814.161845300183</v>
      </c>
      <c r="O57" s="12">
        <f t="shared" si="8"/>
        <v>-86765.230626494653</v>
      </c>
      <c r="P57" s="12">
        <f t="shared" si="9"/>
        <v>59951.068781194466</v>
      </c>
      <c r="Q57" s="12">
        <f t="shared" si="10"/>
        <v>-62547.939302343162</v>
      </c>
      <c r="R57" s="12">
        <f t="shared" si="14"/>
        <v>-71.852460781082115</v>
      </c>
      <c r="S57" s="12"/>
    </row>
    <row r="58" spans="1:19" x14ac:dyDescent="0.2">
      <c r="A58" s="12">
        <f t="shared" si="11"/>
        <v>215</v>
      </c>
      <c r="B58" s="13">
        <f t="shared" si="15"/>
        <v>0.99334037565258992</v>
      </c>
      <c r="C58" s="13">
        <f t="shared" si="5"/>
        <v>-8.8120585517354559</v>
      </c>
      <c r="D58" s="12">
        <f t="shared" si="16"/>
        <v>142.7211649196644</v>
      </c>
      <c r="E58" s="12">
        <f t="shared" si="17"/>
        <v>239.23447123335228</v>
      </c>
      <c r="F58" s="12">
        <f t="shared" si="6"/>
        <v>20.536699120724492</v>
      </c>
      <c r="G58" s="12">
        <f t="shared" si="18"/>
        <v>-6.7179188205677747</v>
      </c>
      <c r="H58" s="12"/>
      <c r="I58" s="12">
        <f t="shared" si="19"/>
        <v>99.602659372895289</v>
      </c>
      <c r="J58" s="12">
        <f t="shared" si="12"/>
        <v>-0.39287885596191507</v>
      </c>
      <c r="K58" s="12">
        <f t="shared" si="13"/>
        <v>-2.6967459852267739</v>
      </c>
      <c r="M58" s="8">
        <v>7380</v>
      </c>
      <c r="N58" s="12">
        <f t="shared" si="7"/>
        <v>-62036.892204217613</v>
      </c>
      <c r="O58" s="12">
        <f t="shared" si="8"/>
        <v>-110418.94210498506</v>
      </c>
      <c r="P58" s="12">
        <f t="shared" si="9"/>
        <v>48382.049900767452</v>
      </c>
      <c r="Q58" s="12">
        <f t="shared" si="10"/>
        <v>-23443.439098204792</v>
      </c>
      <c r="R58" s="12">
        <f t="shared" si="14"/>
        <v>-338.96230936234019</v>
      </c>
      <c r="S58" s="12"/>
    </row>
    <row r="59" spans="1:19" x14ac:dyDescent="0.2">
      <c r="A59" s="12">
        <f t="shared" si="11"/>
        <v>220</v>
      </c>
      <c r="B59" s="13">
        <f t="shared" si="15"/>
        <v>0.98336065003493534</v>
      </c>
      <c r="C59" s="13">
        <f t="shared" si="5"/>
        <v>-14.150328192232537</v>
      </c>
      <c r="D59" s="12">
        <f t="shared" si="16"/>
        <v>143.2759271704723</v>
      </c>
      <c r="E59" s="12">
        <f t="shared" si="17"/>
        <v>239.60799741635302</v>
      </c>
      <c r="F59" s="12">
        <f t="shared" si="6"/>
        <v>21.01251599637089</v>
      </c>
      <c r="G59" s="12">
        <f t="shared" si="18"/>
        <v>-10.687339694113462</v>
      </c>
      <c r="H59" s="12"/>
      <c r="I59" s="12">
        <f t="shared" si="19"/>
        <v>98.601988066569717</v>
      </c>
      <c r="J59" s="12">
        <f t="shared" si="12"/>
        <v>-0.72248468316706271</v>
      </c>
      <c r="K59" s="12">
        <f t="shared" si="13"/>
        <v>-2.8558191196701856</v>
      </c>
      <c r="M59" s="8">
        <v>7185</v>
      </c>
      <c r="N59" s="12">
        <f t="shared" si="7"/>
        <v>-96858.996475831722</v>
      </c>
      <c r="O59" s="12">
        <f t="shared" si="8"/>
        <v>-133232.29876127638</v>
      </c>
      <c r="P59" s="12">
        <f t="shared" si="9"/>
        <v>36373.302285444661</v>
      </c>
      <c r="Q59" s="12">
        <f t="shared" si="10"/>
        <v>-12858.824698726423</v>
      </c>
      <c r="R59" s="12">
        <f t="shared" si="14"/>
        <v>-607.28239902633129</v>
      </c>
      <c r="S59" s="12"/>
    </row>
    <row r="60" spans="1:19" x14ac:dyDescent="0.2">
      <c r="A60" s="12">
        <f t="shared" si="11"/>
        <v>225</v>
      </c>
      <c r="B60" s="13">
        <f t="shared" si="15"/>
        <v>0.96868488973096833</v>
      </c>
      <c r="C60" s="13">
        <f t="shared" si="5"/>
        <v>-19.576794957032313</v>
      </c>
      <c r="D60" s="12">
        <f t="shared" si="16"/>
        <v>143.46413650047964</v>
      </c>
      <c r="E60" s="12">
        <f t="shared" si="17"/>
        <v>239.73349708306907</v>
      </c>
      <c r="F60" s="12">
        <f t="shared" si="6"/>
        <v>21.712232069046863</v>
      </c>
      <c r="G60" s="12">
        <f t="shared" si="18"/>
        <v>-14.799414291430139</v>
      </c>
      <c r="H60" s="12"/>
      <c r="I60" s="12">
        <f t="shared" si="19"/>
        <v>97.130443377133346</v>
      </c>
      <c r="J60" s="12">
        <f t="shared" si="12"/>
        <v>-1.0624552657730597</v>
      </c>
      <c r="K60" s="12">
        <f t="shared" si="13"/>
        <v>-2.9456229526164623</v>
      </c>
      <c r="M60" s="8">
        <v>7004</v>
      </c>
      <c r="N60" s="12">
        <f t="shared" si="7"/>
        <v>-130459.76159366334</v>
      </c>
      <c r="O60" s="12">
        <f t="shared" si="8"/>
        <v>-155031.67717613297</v>
      </c>
      <c r="P60" s="12">
        <f t="shared" si="9"/>
        <v>24571.915582469635</v>
      </c>
      <c r="Q60" s="12">
        <f t="shared" si="10"/>
        <v>-8086.7278267941219</v>
      </c>
      <c r="R60" s="12">
        <f t="shared" si="14"/>
        <v>-869.98948326719437</v>
      </c>
      <c r="S60" s="12"/>
    </row>
    <row r="61" spans="1:19" x14ac:dyDescent="0.2">
      <c r="A61" s="12">
        <f t="shared" si="11"/>
        <v>230</v>
      </c>
      <c r="B61" s="13">
        <f t="shared" si="15"/>
        <v>0.9493100713146404</v>
      </c>
      <c r="C61" s="13">
        <f t="shared" si="5"/>
        <v>-24.919752274701011</v>
      </c>
      <c r="D61" s="12">
        <f t="shared" si="16"/>
        <v>143.27952843095824</v>
      </c>
      <c r="E61" s="12">
        <f t="shared" si="17"/>
        <v>239.61040458859674</v>
      </c>
      <c r="F61" s="12">
        <f t="shared" si="6"/>
        <v>22.63599149072525</v>
      </c>
      <c r="G61" s="12">
        <f t="shared" si="18"/>
        <v>-19.060262939273173</v>
      </c>
      <c r="H61" s="12"/>
      <c r="I61" s="12">
        <f t="shared" si="19"/>
        <v>95.18772214437827</v>
      </c>
      <c r="J61" s="12">
        <f t="shared" si="12"/>
        <v>-1.4026447300491651</v>
      </c>
      <c r="K61" s="12">
        <f t="shared" si="13"/>
        <v>-2.9475194192649479</v>
      </c>
      <c r="M61" s="8">
        <v>6552</v>
      </c>
      <c r="N61" s="12">
        <f t="shared" si="7"/>
        <v>-154801.50113044269</v>
      </c>
      <c r="O61" s="12">
        <f t="shared" si="8"/>
        <v>-175651.17091699303</v>
      </c>
      <c r="P61" s="12">
        <f t="shared" si="9"/>
        <v>20849.669786550337</v>
      </c>
      <c r="Q61" s="12">
        <f t="shared" si="10"/>
        <v>-5452.5467112107908</v>
      </c>
      <c r="R61" s="12">
        <f t="shared" si="14"/>
        <v>-1097.3137096344922</v>
      </c>
      <c r="S61" s="12"/>
    </row>
    <row r="62" spans="1:19" x14ac:dyDescent="0.2">
      <c r="A62" s="12">
        <f t="shared" si="11"/>
        <v>235</v>
      </c>
      <c r="B62" s="13">
        <f t="shared" si="15"/>
        <v>0.92538472729796539</v>
      </c>
      <c r="C62" s="13">
        <f t="shared" si="5"/>
        <v>-30.006960936242923</v>
      </c>
      <c r="D62" s="12">
        <f t="shared" si="16"/>
        <v>142.72824870922454</v>
      </c>
      <c r="E62" s="12">
        <f t="shared" si="17"/>
        <v>239.23927472193208</v>
      </c>
      <c r="F62" s="12">
        <f t="shared" si="6"/>
        <v>23.776712475943587</v>
      </c>
      <c r="G62" s="12">
        <f t="shared" si="18"/>
        <v>-23.470821675788528</v>
      </c>
      <c r="H62" s="12"/>
      <c r="I62" s="12">
        <f t="shared" si="19"/>
        <v>92.788717786071928</v>
      </c>
      <c r="J62" s="12">
        <f t="shared" si="12"/>
        <v>-1.7320811466971793</v>
      </c>
      <c r="K62" s="12">
        <f t="shared" si="13"/>
        <v>-2.85435128788991</v>
      </c>
      <c r="M62" s="8">
        <v>6191</v>
      </c>
      <c r="N62" s="12">
        <f t="shared" si="7"/>
        <v>-175570.72843795735</v>
      </c>
      <c r="O62" s="12">
        <f t="shared" si="8"/>
        <v>-194933.8531860979</v>
      </c>
      <c r="P62" s="12">
        <f t="shared" si="9"/>
        <v>19363.124748140544</v>
      </c>
      <c r="Q62" s="12">
        <f t="shared" si="10"/>
        <v>-3827.9044765524741</v>
      </c>
      <c r="R62" s="12">
        <f t="shared" si="14"/>
        <v>-1273.7713557457384</v>
      </c>
      <c r="S62" s="12"/>
    </row>
    <row r="63" spans="1:19" x14ac:dyDescent="0.2">
      <c r="A63" s="12">
        <f t="shared" si="11"/>
        <v>240</v>
      </c>
      <c r="B63" s="13">
        <f t="shared" si="15"/>
        <v>0.89719844978032948</v>
      </c>
      <c r="C63" s="13">
        <f t="shared" si="5"/>
        <v>-34.690117242260229</v>
      </c>
      <c r="D63" s="12">
        <f t="shared" si="16"/>
        <v>141.82797347693548</v>
      </c>
      <c r="E63" s="12">
        <f t="shared" si="17"/>
        <v>238.62178419500762</v>
      </c>
      <c r="F63" s="12">
        <f t="shared" si="6"/>
        <v>25.120587750512094</v>
      </c>
      <c r="G63" s="12">
        <f t="shared" si="18"/>
        <v>-28.027221633509072</v>
      </c>
      <c r="H63" s="12"/>
      <c r="I63" s="12">
        <f t="shared" si="19"/>
        <v>89.962467824436573</v>
      </c>
      <c r="J63" s="12">
        <f t="shared" si="12"/>
        <v>-2.0405524723007264</v>
      </c>
      <c r="K63" s="12">
        <f t="shared" si="13"/>
        <v>-2.6727024731280578</v>
      </c>
      <c r="M63" s="8">
        <v>5761</v>
      </c>
      <c r="N63" s="12">
        <f t="shared" si="7"/>
        <v>-188055.1255702927</v>
      </c>
      <c r="O63" s="12">
        <f t="shared" si="8"/>
        <v>-212732.97112817789</v>
      </c>
      <c r="P63" s="12">
        <f t="shared" si="9"/>
        <v>24677.845557885186</v>
      </c>
      <c r="Q63" s="12">
        <f t="shared" si="10"/>
        <v>-2752.1495053682656</v>
      </c>
      <c r="R63" s="12">
        <f t="shared" si="14"/>
        <v>-1407.4724808944068</v>
      </c>
      <c r="S63" s="12"/>
    </row>
    <row r="64" spans="1:19" x14ac:dyDescent="0.2">
      <c r="A64" s="12">
        <f t="shared" si="11"/>
        <v>245</v>
      </c>
      <c r="B64" s="13">
        <f t="shared" si="15"/>
        <v>0.86515302073075928</v>
      </c>
      <c r="C64" s="13">
        <f t="shared" si="5"/>
        <v>-38.86156129201423</v>
      </c>
      <c r="D64" s="12">
        <f t="shared" si="16"/>
        <v>140.60553905621316</v>
      </c>
      <c r="E64" s="12">
        <f t="shared" si="17"/>
        <v>237.76073614533701</v>
      </c>
      <c r="F64" s="12">
        <f t="shared" si="6"/>
        <v>26.648461012091644</v>
      </c>
      <c r="G64" s="12">
        <f t="shared" si="18"/>
        <v>-32.721782792651851</v>
      </c>
      <c r="H64" s="12"/>
      <c r="I64" s="12">
        <f t="shared" si="19"/>
        <v>86.749259107348308</v>
      </c>
      <c r="J64" s="12">
        <f t="shared" si="12"/>
        <v>-2.3199366937377266</v>
      </c>
      <c r="K64" s="12">
        <f t="shared" si="13"/>
        <v>-2.4206817217990406</v>
      </c>
      <c r="M64" s="8">
        <v>5242</v>
      </c>
      <c r="N64" s="12">
        <f t="shared" si="7"/>
        <v>-190499.37345345377</v>
      </c>
      <c r="O64" s="12">
        <f t="shared" si="8"/>
        <v>-228913.06270829251</v>
      </c>
      <c r="P64" s="12">
        <f t="shared" si="9"/>
        <v>38413.68925483874</v>
      </c>
      <c r="Q64" s="12">
        <f t="shared" si="10"/>
        <v>-2003.8825992414568</v>
      </c>
      <c r="R64" s="12">
        <f t="shared" si="14"/>
        <v>-1473.1223130884237</v>
      </c>
      <c r="S64" s="12"/>
    </row>
    <row r="65" spans="1:19" x14ac:dyDescent="0.2">
      <c r="A65" s="12">
        <f t="shared" si="11"/>
        <v>250</v>
      </c>
      <c r="B65" s="13">
        <f t="shared" si="15"/>
        <v>0.8297239097705198</v>
      </c>
      <c r="C65" s="13">
        <f t="shared" si="5"/>
        <v>-42.459547935619234</v>
      </c>
      <c r="D65" s="12">
        <f t="shared" si="16"/>
        <v>139.09378872768971</v>
      </c>
      <c r="E65" s="12">
        <f t="shared" si="17"/>
        <v>236.66006766996523</v>
      </c>
      <c r="F65" s="12">
        <f t="shared" si="6"/>
        <v>28.337662652486316</v>
      </c>
      <c r="G65" s="12">
        <f t="shared" si="18"/>
        <v>-37.544331480780613</v>
      </c>
      <c r="H65" s="12"/>
      <c r="I65" s="12">
        <f t="shared" si="19"/>
        <v>83.196767174722567</v>
      </c>
      <c r="J65" s="12">
        <f t="shared" si="12"/>
        <v>-2.5648991753557855</v>
      </c>
      <c r="K65" s="12">
        <f t="shared" si="13"/>
        <v>-2.1224398383323955</v>
      </c>
      <c r="M65" s="8">
        <v>4700</v>
      </c>
      <c r="N65" s="12">
        <f t="shared" si="7"/>
        <v>-185123.62899929986</v>
      </c>
      <c r="O65" s="12">
        <f t="shared" si="8"/>
        <v>-243350.98765971066</v>
      </c>
      <c r="P65" s="12">
        <f t="shared" si="9"/>
        <v>58227.358660410799</v>
      </c>
      <c r="Q65" s="12">
        <f t="shared" si="10"/>
        <v>-1465.2244092780043</v>
      </c>
      <c r="R65" s="12">
        <f t="shared" si="14"/>
        <v>-1471.6197830902136</v>
      </c>
      <c r="S65" s="12"/>
    </row>
    <row r="66" spans="1:19" x14ac:dyDescent="0.2">
      <c r="A66" s="12">
        <f t="shared" si="11"/>
        <v>255</v>
      </c>
      <c r="B66" s="13">
        <f t="shared" si="15"/>
        <v>0.79142178953237408</v>
      </c>
      <c r="C66" s="13">
        <f t="shared" si="5"/>
        <v>-45.463514458736803</v>
      </c>
      <c r="D66" s="12">
        <f t="shared" si="16"/>
        <v>137.32841778717611</v>
      </c>
      <c r="E66" s="12">
        <f t="shared" si="17"/>
        <v>235.32486041475352</v>
      </c>
      <c r="F66" s="12">
        <f t="shared" si="6"/>
        <v>30.163844641909638</v>
      </c>
      <c r="G66" s="12">
        <f t="shared" si="18"/>
        <v>-42.483520431870915</v>
      </c>
      <c r="H66" s="12"/>
      <c r="I66" s="12">
        <f t="shared" si="19"/>
        <v>79.35619738731873</v>
      </c>
      <c r="J66" s="12">
        <f t="shared" si="12"/>
        <v>-2.7728913865055702</v>
      </c>
      <c r="K66" s="12">
        <f t="shared" si="13"/>
        <v>-1.8021166020658173</v>
      </c>
      <c r="M66" s="8">
        <v>4100</v>
      </c>
      <c r="N66" s="12">
        <f t="shared" si="7"/>
        <v>-170942.81436485038</v>
      </c>
      <c r="O66" s="12">
        <f t="shared" si="8"/>
        <v>-255936.86465569458</v>
      </c>
      <c r="P66" s="12">
        <f t="shared" si="9"/>
        <v>84994.050290844199</v>
      </c>
      <c r="Q66" s="12">
        <f t="shared" si="10"/>
        <v>-1069.1109344934134</v>
      </c>
      <c r="R66" s="12">
        <f t="shared" si="14"/>
        <v>-1408.2089220480736</v>
      </c>
      <c r="S66" s="12"/>
    </row>
    <row r="67" spans="1:19" x14ac:dyDescent="0.2">
      <c r="A67" s="12">
        <f t="shared" si="11"/>
        <v>260</v>
      </c>
      <c r="B67" s="13">
        <f t="shared" si="15"/>
        <v>0.75076097028781963</v>
      </c>
      <c r="C67" s="13">
        <f t="shared" si="5"/>
        <v>-47.8837217313746</v>
      </c>
      <c r="D67" s="12">
        <f t="shared" si="16"/>
        <v>135.3453762710094</v>
      </c>
      <c r="E67" s="12">
        <f t="shared" si="17"/>
        <v>233.76135424061866</v>
      </c>
      <c r="F67" s="12">
        <f t="shared" si="6"/>
        <v>32.102485513953354</v>
      </c>
      <c r="G67" s="12">
        <f t="shared" si="18"/>
        <v>-47.527921075993902</v>
      </c>
      <c r="H67" s="12"/>
      <c r="I67" s="12">
        <f t="shared" si="19"/>
        <v>75.279119853469822</v>
      </c>
      <c r="J67" s="12">
        <f t="shared" si="12"/>
        <v>-2.943649979438911</v>
      </c>
      <c r="K67" s="12">
        <f t="shared" si="13"/>
        <v>-1.4795116296396504</v>
      </c>
      <c r="M67" s="8">
        <v>3877</v>
      </c>
      <c r="N67" s="12">
        <f t="shared" si="7"/>
        <v>-169364.72376387197</v>
      </c>
      <c r="O67" s="12">
        <f t="shared" si="8"/>
        <v>-266574.90757274465</v>
      </c>
      <c r="P67" s="12">
        <f t="shared" si="9"/>
        <v>97210.18380887268</v>
      </c>
      <c r="Q67" s="12">
        <f t="shared" si="10"/>
        <v>-775.72556383498295</v>
      </c>
      <c r="R67" s="12">
        <f t="shared" si="14"/>
        <v>-1355.1186453130306</v>
      </c>
      <c r="S67" s="12"/>
    </row>
    <row r="68" spans="1:19" x14ac:dyDescent="0.2">
      <c r="A68" s="12">
        <f t="shared" si="11"/>
        <v>265</v>
      </c>
      <c r="B68" s="13">
        <f t="shared" si="15"/>
        <v>0.70823764448893167</v>
      </c>
      <c r="C68" s="13">
        <f t="shared" si="5"/>
        <v>-49.74969899262436</v>
      </c>
      <c r="D68" s="12">
        <f t="shared" si="16"/>
        <v>133.17906452829158</v>
      </c>
      <c r="E68" s="12">
        <f t="shared" si="17"/>
        <v>231.97696397275044</v>
      </c>
      <c r="F68" s="12">
        <f t="shared" si="6"/>
        <v>34.129927629989815</v>
      </c>
      <c r="G68" s="12">
        <f t="shared" si="18"/>
        <v>-52.666790702675257</v>
      </c>
      <c r="H68" s="12"/>
      <c r="I68" s="12">
        <f t="shared" si="19"/>
        <v>71.015288000096547</v>
      </c>
      <c r="J68" s="12">
        <f t="shared" si="12"/>
        <v>-3.078486598135505</v>
      </c>
      <c r="K68" s="12">
        <f t="shared" si="13"/>
        <v>-1.168271195235099</v>
      </c>
      <c r="M68" s="8">
        <v>3579</v>
      </c>
      <c r="N68" s="12">
        <f t="shared" si="7"/>
        <v>-161139.27503711029</v>
      </c>
      <c r="O68" s="12">
        <f t="shared" si="8"/>
        <v>-275184.15448083595</v>
      </c>
      <c r="P68" s="12">
        <f t="shared" si="9"/>
        <v>114044.87944372566</v>
      </c>
      <c r="Q68" s="12">
        <f t="shared" si="10"/>
        <v>-560.82646582059169</v>
      </c>
      <c r="R68" s="12">
        <f t="shared" si="14"/>
        <v>-1324.6304291146309</v>
      </c>
      <c r="S68" s="12"/>
    </row>
    <row r="69" spans="1:19" x14ac:dyDescent="0.2">
      <c r="A69" s="12">
        <f t="shared" si="11"/>
        <v>270</v>
      </c>
      <c r="B69" s="13">
        <f t="shared" si="15"/>
        <v>0.66431760974799725</v>
      </c>
      <c r="C69" s="13">
        <f t="shared" si="5"/>
        <v>-51.100332122235628</v>
      </c>
      <c r="D69" s="12">
        <f t="shared" si="16"/>
        <v>130.86129616350303</v>
      </c>
      <c r="E69" s="12">
        <f t="shared" si="17"/>
        <v>229.98029920462753</v>
      </c>
      <c r="F69" s="12">
        <f t="shared" si="6"/>
        <v>36.223962527276321</v>
      </c>
      <c r="G69" s="12">
        <f t="shared" si="18"/>
        <v>-57.890524170177315</v>
      </c>
      <c r="H69" s="12"/>
      <c r="I69" s="12">
        <f t="shared" si="19"/>
        <v>66.611407550685556</v>
      </c>
      <c r="J69" s="12">
        <f t="shared" si="12"/>
        <v>-3.1796016844747355</v>
      </c>
      <c r="K69" s="12">
        <f t="shared" si="13"/>
        <v>-0.87609615188916856</v>
      </c>
      <c r="M69" s="8">
        <v>3276</v>
      </c>
      <c r="N69" s="12">
        <f t="shared" si="7"/>
        <v>-150030.5751108838</v>
      </c>
      <c r="O69" s="12">
        <f t="shared" si="8"/>
        <v>-281699.08381259261</v>
      </c>
      <c r="P69" s="12">
        <f t="shared" si="9"/>
        <v>131668.50870170881</v>
      </c>
      <c r="Q69" s="12">
        <f t="shared" si="10"/>
        <v>-409.52382101527007</v>
      </c>
      <c r="R69" s="12">
        <f t="shared" si="14"/>
        <v>-1257.8583533630142</v>
      </c>
      <c r="S69" s="12"/>
    </row>
    <row r="70" spans="1:19" x14ac:dyDescent="0.2">
      <c r="A70" s="12">
        <f t="shared" si="11"/>
        <v>275</v>
      </c>
      <c r="B70" s="13">
        <f t="shared" si="15"/>
        <v>0.61943145582350601</v>
      </c>
      <c r="C70" s="13">
        <f t="shared" si="5"/>
        <v>-51.976685276438289</v>
      </c>
      <c r="D70" s="12">
        <f t="shared" si="16"/>
        <v>128.42086655676613</v>
      </c>
      <c r="E70" s="12">
        <f t="shared" si="17"/>
        <v>227.78118706911152</v>
      </c>
      <c r="F70" s="12">
        <f t="shared" si="6"/>
        <v>38.364060395533578</v>
      </c>
      <c r="G70" s="12">
        <f t="shared" si="18"/>
        <v>-63.190855908656943</v>
      </c>
      <c r="H70" s="12"/>
      <c r="I70" s="12">
        <f t="shared" si="19"/>
        <v>62.11065392234007</v>
      </c>
      <c r="J70" s="12">
        <f t="shared" si="12"/>
        <v>-3.24954411966544</v>
      </c>
      <c r="K70" s="12">
        <f t="shared" si="13"/>
        <v>-0.60600549871221243</v>
      </c>
      <c r="M70" s="8">
        <v>3804</v>
      </c>
      <c r="N70" s="12">
        <f t="shared" si="7"/>
        <v>-180047.23779758223</v>
      </c>
      <c r="O70" s="12">
        <f t="shared" si="8"/>
        <v>-286070.11302197812</v>
      </c>
      <c r="P70" s="12">
        <f t="shared" si="9"/>
        <v>106022.87522439589</v>
      </c>
      <c r="Q70" s="12">
        <f t="shared" si="10"/>
        <v>-312.79051169895865</v>
      </c>
      <c r="R70" s="12">
        <f t="shared" si="14"/>
        <v>-1327.7223203619183</v>
      </c>
      <c r="S70" s="12"/>
    </row>
    <row r="71" spans="1:19" x14ac:dyDescent="0.2">
      <c r="A71" s="12">
        <f t="shared" si="11"/>
        <v>280</v>
      </c>
      <c r="B71" s="13">
        <f t="shared" si="15"/>
        <v>0.5739748089449046</v>
      </c>
      <c r="C71" s="13">
        <f t="shared" si="5"/>
        <v>-52.41748596689434</v>
      </c>
      <c r="D71" s="12">
        <f t="shared" si="16"/>
        <v>125.88353324998586</v>
      </c>
      <c r="E71" s="12">
        <f t="shared" si="17"/>
        <v>225.39069779566861</v>
      </c>
      <c r="F71" s="12">
        <f t="shared" si="6"/>
        <v>40.531358427943921</v>
      </c>
      <c r="G71" s="12">
        <f t="shared" si="18"/>
        <v>-68.560891183026882</v>
      </c>
      <c r="H71" s="12"/>
      <c r="I71" s="12">
        <f t="shared" si="19"/>
        <v>57.552696724326402</v>
      </c>
      <c r="J71" s="12">
        <f t="shared" si="12"/>
        <v>-3.2908450969658682</v>
      </c>
      <c r="K71" s="12">
        <f t="shared" si="13"/>
        <v>-0.35784598117015715</v>
      </c>
      <c r="M71" s="8">
        <v>4329</v>
      </c>
      <c r="N71" s="12">
        <f t="shared" si="7"/>
        <v>-209093.35152194151</v>
      </c>
      <c r="O71" s="12">
        <f t="shared" si="8"/>
        <v>-288263.97593740938</v>
      </c>
      <c r="P71" s="12">
        <f t="shared" si="9"/>
        <v>79170.624415467872</v>
      </c>
      <c r="Q71" s="12">
        <f t="shared" si="10"/>
        <v>-265.44727541176519</v>
      </c>
      <c r="R71" s="12">
        <f t="shared" si="14"/>
        <v>-1544.5777454768815</v>
      </c>
      <c r="S71" s="12"/>
    </row>
    <row r="72" spans="1:19" x14ac:dyDescent="0.2">
      <c r="A72" s="12">
        <f t="shared" si="11"/>
        <v>285</v>
      </c>
      <c r="B72" s="13">
        <f t="shared" si="15"/>
        <v>0.52831154880805897</v>
      </c>
      <c r="C72" s="13">
        <f t="shared" si="5"/>
        <v>-52.456696625273004</v>
      </c>
      <c r="D72" s="12">
        <f t="shared" si="16"/>
        <v>123.27224045240965</v>
      </c>
      <c r="E72" s="12">
        <f t="shared" si="17"/>
        <v>222.82117273551944</v>
      </c>
      <c r="F72" s="12">
        <f t="shared" si="6"/>
        <v>42.708507440107752</v>
      </c>
      <c r="G72" s="12">
        <f t="shared" si="18"/>
        <v>-73.995034968439256</v>
      </c>
      <c r="H72" s="12"/>
      <c r="I72" s="12">
        <f t="shared" si="19"/>
        <v>52.974022327568754</v>
      </c>
      <c r="J72" s="12">
        <f t="shared" si="12"/>
        <v>-3.3058029144590217</v>
      </c>
      <c r="K72" s="12">
        <f t="shared" si="13"/>
        <v>-0.1295997147492719</v>
      </c>
      <c r="M72" s="8">
        <v>4857</v>
      </c>
      <c r="N72" s="12">
        <f t="shared" si="7"/>
        <v>-236946.89865635816</v>
      </c>
      <c r="O72" s="12">
        <f t="shared" si="8"/>
        <v>-288263.97593740938</v>
      </c>
      <c r="P72" s="12">
        <f t="shared" si="9"/>
        <v>51317.077281051228</v>
      </c>
      <c r="Q72" s="12">
        <f t="shared" si="10"/>
        <v>-264.99471191063492</v>
      </c>
      <c r="R72" s="12">
        <f t="shared" si="14"/>
        <v>-1752.48762535899</v>
      </c>
      <c r="S72" s="12"/>
    </row>
    <row r="73" spans="1:19" x14ac:dyDescent="0.2">
      <c r="A73" s="12">
        <f t="shared" si="11"/>
        <v>290</v>
      </c>
      <c r="B73" s="13">
        <f t="shared" si="15"/>
        <v>0.48277847220670822</v>
      </c>
      <c r="C73" s="13">
        <f t="shared" si="5"/>
        <v>-52.122515328717554</v>
      </c>
      <c r="D73" s="12">
        <f t="shared" si="16"/>
        <v>120.60746518952715</v>
      </c>
      <c r="E73" s="12">
        <f t="shared" si="17"/>
        <v>220.08625434269382</v>
      </c>
      <c r="F73" s="12">
        <f t="shared" si="6"/>
        <v>44.879449515779243</v>
      </c>
      <c r="G73" s="12">
        <f t="shared" si="18"/>
        <v>-79.488868155650266</v>
      </c>
      <c r="H73" s="12"/>
      <c r="I73" s="12">
        <f t="shared" si="19"/>
        <v>48.408401488946545</v>
      </c>
      <c r="J73" s="12">
        <f t="shared" si="12"/>
        <v>-3.2963782454852351</v>
      </c>
      <c r="K73" s="12">
        <f t="shared" si="13"/>
        <v>8.1658598332821158E-2</v>
      </c>
      <c r="M73" s="8">
        <v>4370</v>
      </c>
      <c r="N73" s="12">
        <f t="shared" si="7"/>
        <v>-210053.73677473175</v>
      </c>
      <c r="O73" s="12">
        <f t="shared" si="8"/>
        <v>-286070.11302197812</v>
      </c>
      <c r="P73" s="12">
        <f t="shared" si="9"/>
        <v>76016.376247246371</v>
      </c>
      <c r="Q73" s="12">
        <f t="shared" si="10"/>
        <v>-310.9641133786148</v>
      </c>
      <c r="R73" s="12">
        <f t="shared" si="14"/>
        <v>-1755.2909782486302</v>
      </c>
      <c r="S73" s="12"/>
    </row>
    <row r="74" spans="1:19" x14ac:dyDescent="0.2">
      <c r="A74" s="12">
        <f t="shared" si="11"/>
        <v>295</v>
      </c>
      <c r="B74" s="13">
        <f t="shared" si="15"/>
        <v>0.43769040751578547</v>
      </c>
      <c r="C74" s="13">
        <f t="shared" si="5"/>
        <v>-51.437261684605858</v>
      </c>
      <c r="D74" s="12">
        <f t="shared" si="16"/>
        <v>117.90760576460765</v>
      </c>
      <c r="E74" s="12">
        <f t="shared" si="17"/>
        <v>217.20091733361375</v>
      </c>
      <c r="F74" s="12">
        <f t="shared" si="6"/>
        <v>47.029174156727805</v>
      </c>
      <c r="G74" s="12">
        <f t="shared" si="18"/>
        <v>-85.039002939621184</v>
      </c>
      <c r="H74" s="12"/>
      <c r="I74" s="12">
        <f t="shared" si="19"/>
        <v>43.887402182698985</v>
      </c>
      <c r="J74" s="12">
        <f t="shared" si="12"/>
        <v>-3.2641614991107386</v>
      </c>
      <c r="K74" s="12">
        <f t="shared" si="13"/>
        <v>0.27913705607088007</v>
      </c>
      <c r="M74" s="8">
        <v>3922</v>
      </c>
      <c r="N74" s="12">
        <f t="shared" si="7"/>
        <v>-184248.27135425818</v>
      </c>
      <c r="O74" s="12">
        <f t="shared" si="8"/>
        <v>-281699.08381259261</v>
      </c>
      <c r="P74" s="12">
        <f t="shared" si="9"/>
        <v>97450.812458334432</v>
      </c>
      <c r="Q74" s="12">
        <f t="shared" si="10"/>
        <v>-404.61421415187988</v>
      </c>
      <c r="R74" s="12">
        <f t="shared" si="14"/>
        <v>-1562.0052603085321</v>
      </c>
      <c r="S74" s="12"/>
    </row>
    <row r="75" spans="1:19" x14ac:dyDescent="0.2">
      <c r="A75" s="12">
        <f t="shared" si="11"/>
        <v>300</v>
      </c>
      <c r="B75" s="13">
        <f t="shared" si="15"/>
        <v>0.39334518778798566</v>
      </c>
      <c r="C75" s="13">
        <f t="shared" si="5"/>
        <v>-50.41776500688178</v>
      </c>
      <c r="D75" s="12">
        <f t="shared" si="16"/>
        <v>115.18936625613735</v>
      </c>
      <c r="E75" s="12">
        <f t="shared" si="17"/>
        <v>214.1814998937212</v>
      </c>
      <c r="F75" s="12">
        <f t="shared" si="6"/>
        <v>49.143481173687036</v>
      </c>
      <c r="G75" s="12">
        <f t="shared" si="18"/>
        <v>-90.642935431132287</v>
      </c>
      <c r="H75" s="12"/>
      <c r="I75" s="12">
        <f t="shared" si="19"/>
        <v>39.44088825492021</v>
      </c>
      <c r="J75" s="12">
        <f t="shared" si="12"/>
        <v>-3.2103830558562749</v>
      </c>
      <c r="K75" s="12">
        <f t="shared" si="13"/>
        <v>0.4659550705594957</v>
      </c>
      <c r="M75" s="8">
        <v>3389</v>
      </c>
      <c r="N75" s="12">
        <f t="shared" si="7"/>
        <v>-153723.76550598253</v>
      </c>
      <c r="O75" s="12">
        <f t="shared" si="8"/>
        <v>-275184.15448083589</v>
      </c>
      <c r="P75" s="12">
        <f t="shared" si="9"/>
        <v>121460.38897485335</v>
      </c>
      <c r="Q75" s="12">
        <f t="shared" si="10"/>
        <v>-548.88996791204386</v>
      </c>
      <c r="R75" s="12">
        <f t="shared" si="14"/>
        <v>-1354.519305249609</v>
      </c>
      <c r="S75" s="12"/>
    </row>
    <row r="76" spans="1:19" x14ac:dyDescent="0.2">
      <c r="A76" s="12">
        <f t="shared" si="11"/>
        <v>305</v>
      </c>
      <c r="B76" s="13">
        <f t="shared" si="15"/>
        <v>0.35002815881726368</v>
      </c>
      <c r="C76" s="13">
        <f t="shared" si="5"/>
        <v>-49.076014833113653</v>
      </c>
      <c r="D76" s="12">
        <f t="shared" si="16"/>
        <v>112.46811305312627</v>
      </c>
      <c r="E76" s="12">
        <f t="shared" si="17"/>
        <v>211.04573333785655</v>
      </c>
      <c r="F76" s="12">
        <f t="shared" si="6"/>
        <v>51.208765749314232</v>
      </c>
      <c r="G76" s="12">
        <f t="shared" si="18"/>
        <v>-96.298904058516143</v>
      </c>
      <c r="H76" s="12"/>
      <c r="I76" s="12">
        <f t="shared" si="19"/>
        <v>35.09747144899184</v>
      </c>
      <c r="J76" s="12">
        <f t="shared" si="12"/>
        <v>-3.1359469338802834</v>
      </c>
      <c r="K76" s="12">
        <f t="shared" si="13"/>
        <v>0.64494035841432662</v>
      </c>
      <c r="M76" s="8">
        <v>3615</v>
      </c>
      <c r="N76" s="12">
        <f t="shared" si="7"/>
        <v>-160723.94857844722</v>
      </c>
      <c r="O76" s="12">
        <f t="shared" si="8"/>
        <v>-266574.90757274459</v>
      </c>
      <c r="P76" s="12">
        <f t="shared" si="9"/>
        <v>105850.95899429737</v>
      </c>
      <c r="Q76" s="12">
        <f t="shared" si="10"/>
        <v>-748.61920856718075</v>
      </c>
      <c r="R76" s="12">
        <f t="shared" si="14"/>
        <v>-1267.5538045300962</v>
      </c>
      <c r="S76" s="12"/>
    </row>
    <row r="77" spans="1:19" x14ac:dyDescent="0.2">
      <c r="A77" s="12">
        <f t="shared" si="11"/>
        <v>310</v>
      </c>
      <c r="B77" s="13">
        <f t="shared" si="15"/>
        <v>0.30801605851524838</v>
      </c>
      <c r="C77" s="13">
        <f t="shared" si="5"/>
        <v>-47.419939705987659</v>
      </c>
      <c r="D77" s="12">
        <f t="shared" si="16"/>
        <v>109.75819304999466</v>
      </c>
      <c r="E77" s="12">
        <f t="shared" si="17"/>
        <v>207.8127680421984</v>
      </c>
      <c r="F77" s="12">
        <f t="shared" si="6"/>
        <v>53.211833475914332</v>
      </c>
      <c r="G77" s="12">
        <f t="shared" si="18"/>
        <v>-102.00575633504766</v>
      </c>
      <c r="H77" s="12"/>
      <c r="I77" s="12">
        <f t="shared" si="19"/>
        <v>30.88490039229594</v>
      </c>
      <c r="J77" s="12">
        <f t="shared" si="12"/>
        <v>-3.0414763029344396</v>
      </c>
      <c r="K77" s="12">
        <f t="shared" si="13"/>
        <v>0.81852628756629364</v>
      </c>
      <c r="M77" s="8">
        <v>3841</v>
      </c>
      <c r="N77" s="12">
        <f t="shared" si="7"/>
        <v>-166017.2089106628</v>
      </c>
      <c r="O77" s="12">
        <f t="shared" si="8"/>
        <v>-255936.8646556946</v>
      </c>
      <c r="P77" s="12">
        <f t="shared" si="9"/>
        <v>89919.655745031807</v>
      </c>
      <c r="Q77" s="12">
        <f t="shared" si="10"/>
        <v>-1010.9746267394814</v>
      </c>
      <c r="R77" s="12">
        <f t="shared" si="14"/>
        <v>-1308.7054082801931</v>
      </c>
      <c r="S77" s="12"/>
    </row>
    <row r="78" spans="1:19" x14ac:dyDescent="0.2">
      <c r="A78" s="12">
        <f t="shared" si="11"/>
        <v>315</v>
      </c>
      <c r="B78" s="13">
        <f t="shared" si="15"/>
        <v>0.26758018752314383</v>
      </c>
      <c r="C78" s="13">
        <f t="shared" si="5"/>
        <v>-45.454251031817321</v>
      </c>
      <c r="D78" s="12">
        <f t="shared" si="16"/>
        <v>107.07321066919873</v>
      </c>
      <c r="E78" s="12">
        <f t="shared" si="17"/>
        <v>204.50319273220774</v>
      </c>
      <c r="F78" s="12">
        <f t="shared" si="6"/>
        <v>55.139749185888121</v>
      </c>
      <c r="G78" s="12">
        <f t="shared" si="18"/>
        <v>-107.76282300586979</v>
      </c>
      <c r="H78" s="12"/>
      <c r="I78" s="12">
        <f t="shared" si="19"/>
        <v>26.830378514810601</v>
      </c>
      <c r="J78" s="12">
        <f t="shared" si="12"/>
        <v>-2.9273647955444142</v>
      </c>
      <c r="K78" s="12">
        <f t="shared" si="13"/>
        <v>0.98870164809310368</v>
      </c>
      <c r="M78" s="8">
        <v>4112</v>
      </c>
      <c r="N78" s="12">
        <f t="shared" si="7"/>
        <v>-171453.43489201495</v>
      </c>
      <c r="O78" s="12">
        <f t="shared" si="8"/>
        <v>-243350.98765971072</v>
      </c>
      <c r="P78" s="12">
        <f t="shared" si="9"/>
        <v>71897.552767695772</v>
      </c>
      <c r="Q78" s="12">
        <f t="shared" si="10"/>
        <v>-1346.2891940873928</v>
      </c>
      <c r="R78" s="12">
        <f t="shared" si="14"/>
        <v>-1343.567187151704</v>
      </c>
      <c r="S78" s="12"/>
    </row>
    <row r="79" spans="1:19" x14ac:dyDescent="0.2">
      <c r="A79" s="12">
        <f t="shared" si="11"/>
        <v>320</v>
      </c>
      <c r="B79" s="13">
        <f t="shared" ref="B79:B87" si="20">($B$11-F79)/($B$11-$B$12)</f>
        <v>0.22898882513629745</v>
      </c>
      <c r="C79" s="13">
        <f t="shared" si="5"/>
        <v>-43.181332982555752</v>
      </c>
      <c r="D79" s="12">
        <f t="shared" ref="D79:D87" si="21">DEGREES(ACOS(($B$5^2+$B$4^2-$B$7^2-$B$8^2+2*$B$7*$B$8*COS(RADIANS(A79-$B$10)))/(2*$B$5*$B$4)))</f>
        <v>104.42626450796945</v>
      </c>
      <c r="E79" s="12">
        <f t="shared" ref="E79:E87" si="22">SQRT($B$8^2+$B$7^2-2*$B$8*$B$7*COS(RADIANS(A79-$B$10)))</f>
        <v>201.13904332178069</v>
      </c>
      <c r="F79" s="12">
        <f t="shared" si="6"/>
        <v>56.979721764429094</v>
      </c>
      <c r="G79" s="12">
        <f t="shared" ref="G79:G87" si="23">D79+F79-(A79-$B$10)</f>
        <v>-113.56979658855812</v>
      </c>
      <c r="H79" s="12"/>
      <c r="I79" s="12">
        <f t="shared" ref="I79:I87" si="24">$B$3*B79*($B$11-$B$12)*2*3.1415/360</f>
        <v>22.960806294887718</v>
      </c>
      <c r="J79" s="12">
        <f t="shared" si="12"/>
        <v>-2.7938311427843217</v>
      </c>
      <c r="K79" s="12">
        <f t="shared" si="13"/>
        <v>1.1569818467873134</v>
      </c>
      <c r="M79" s="8">
        <v>4247</v>
      </c>
      <c r="N79" s="12">
        <f t="shared" si="7"/>
        <v>-168709.46796284532</v>
      </c>
      <c r="O79" s="12">
        <f t="shared" si="8"/>
        <v>-228913.06270829256</v>
      </c>
      <c r="P79" s="12">
        <f t="shared" si="9"/>
        <v>60203.594745447248</v>
      </c>
      <c r="Q79" s="12">
        <f t="shared" si="10"/>
        <v>-1769.4054073899115</v>
      </c>
      <c r="R79" s="12">
        <f t="shared" si="14"/>
        <v>-1347.7397577639742</v>
      </c>
      <c r="S79" s="12"/>
    </row>
    <row r="80" spans="1:19" x14ac:dyDescent="0.2">
      <c r="A80" s="12">
        <f t="shared" si="11"/>
        <v>325</v>
      </c>
      <c r="B80" s="13">
        <f t="shared" si="20"/>
        <v>0.19250884899022072</v>
      </c>
      <c r="C80" s="13">
        <f t="shared" ref="C80:C87" si="25">$E$8*$B$8*$B$3/$B$5*SIN(RADIANS(G80))/SIN(RADIANS(D80))</f>
        <v>-40.602184876301244</v>
      </c>
      <c r="D80" s="12">
        <f t="shared" si="21"/>
        <v>101.83014565314654</v>
      </c>
      <c r="E80" s="12">
        <f t="shared" si="22"/>
        <v>197.74379645452015</v>
      </c>
      <c r="F80" s="12">
        <f t="shared" ref="F80:F87" si="26">DEGREES(ACOS(($B$5^2+E80^2-$B$4^2)/(2*$B$5*E80)))-DEGREES(ASIN($B$8*SIN(RADIANS(A80-$B$10))/E80))</f>
        <v>58.71902692556246</v>
      </c>
      <c r="G80" s="12">
        <f t="shared" si="23"/>
        <v>-119.42661028224765</v>
      </c>
      <c r="H80" s="12"/>
      <c r="I80" s="12">
        <f t="shared" si="24"/>
        <v>19.302943665854901</v>
      </c>
      <c r="J80" s="12">
        <f t="shared" si="12"/>
        <v>-2.6409768181616933</v>
      </c>
      <c r="K80" s="12">
        <f t="shared" si="13"/>
        <v>1.324382843844206</v>
      </c>
      <c r="M80" s="8">
        <v>3976</v>
      </c>
      <c r="N80" s="12">
        <f t="shared" ref="N80:N87" si="27">C80*(M80-$L$7)</f>
        <v>-147629.54421023131</v>
      </c>
      <c r="O80" s="12">
        <f t="shared" ref="O80:O87" si="28">$E$8*$L$8*SIN(RADIANS(A80-$B$9))</f>
        <v>-212732.971128178</v>
      </c>
      <c r="P80" s="12">
        <f t="shared" ref="P80:P87" si="29">N80-O80</f>
        <v>65103.426917946694</v>
      </c>
      <c r="Q80" s="12">
        <f t="shared" ref="Q80:Q87" si="30">IF(($F$3+O80)/C80+$L$7,($F$3+O80)/C80+$L$7,$F$4)</f>
        <v>-2301.9028729272104</v>
      </c>
      <c r="R80" s="12">
        <f t="shared" si="14"/>
        <v>-1253.2751832723688</v>
      </c>
      <c r="S80" s="12"/>
    </row>
    <row r="81" spans="1:19" x14ac:dyDescent="0.2">
      <c r="A81" s="12">
        <f t="shared" ref="A81:A87" si="31">A80+$E$8*5</f>
        <v>330</v>
      </c>
      <c r="B81" s="13">
        <f t="shared" si="20"/>
        <v>0.15840650509479823</v>
      </c>
      <c r="C81" s="13">
        <f t="shared" si="25"/>
        <v>-37.717435067779327</v>
      </c>
      <c r="D81" s="12">
        <f t="shared" si="21"/>
        <v>99.297499583383726</v>
      </c>
      <c r="E81" s="12">
        <f t="shared" si="22"/>
        <v>194.34234172054411</v>
      </c>
      <c r="F81" s="12">
        <f t="shared" si="26"/>
        <v>60.344970498182704</v>
      </c>
      <c r="G81" s="12">
        <f t="shared" si="23"/>
        <v>-125.33331277939021</v>
      </c>
      <c r="H81" s="12"/>
      <c r="I81" s="12">
        <f t="shared" si="24"/>
        <v>15.883487227671164</v>
      </c>
      <c r="J81" s="12">
        <f t="shared" ref="J81:J87" si="32">(I81-I80)/10*$E$10</f>
        <v>-2.4688475483686578</v>
      </c>
      <c r="K81" s="12">
        <f t="shared" ref="K81:K87" si="33">(J81-J80)/0.8333*$E$8*$E$10</f>
        <v>1.4913876489928186</v>
      </c>
      <c r="M81" s="8">
        <v>3750</v>
      </c>
      <c r="N81" s="12">
        <f t="shared" si="27"/>
        <v>-128616.4535811275</v>
      </c>
      <c r="O81" s="12">
        <f t="shared" si="28"/>
        <v>-194933.85318609799</v>
      </c>
      <c r="P81" s="12">
        <f t="shared" si="29"/>
        <v>66317.399604970487</v>
      </c>
      <c r="Q81" s="12">
        <f t="shared" si="30"/>
        <v>-2975.8709384441045</v>
      </c>
      <c r="R81" s="12">
        <f t="shared" ref="R81:R87" si="34">(M81+M80)/2*(I81-I80)/12</f>
        <v>-1100.7800183919812</v>
      </c>
      <c r="S81" s="12"/>
    </row>
    <row r="82" spans="1:19" x14ac:dyDescent="0.2">
      <c r="A82" s="12">
        <f t="shared" si="31"/>
        <v>335</v>
      </c>
      <c r="B82" s="13">
        <f t="shared" si="20"/>
        <v>0.12694725627003878</v>
      </c>
      <c r="C82" s="13">
        <f t="shared" si="25"/>
        <v>-34.528448499010572</v>
      </c>
      <c r="D82" s="12">
        <f t="shared" si="21"/>
        <v>96.840952713955659</v>
      </c>
      <c r="E82" s="12">
        <f t="shared" si="22"/>
        <v>190.96092526630133</v>
      </c>
      <c r="F82" s="12">
        <f t="shared" si="26"/>
        <v>61.844895652387265</v>
      </c>
      <c r="G82" s="12">
        <f t="shared" si="23"/>
        <v>-131.28993449461373</v>
      </c>
      <c r="H82" s="12"/>
      <c r="I82" s="12">
        <f t="shared" si="24"/>
        <v>12.729055049515594</v>
      </c>
      <c r="J82" s="12">
        <f t="shared" si="32"/>
        <v>-2.2775000326283217</v>
      </c>
      <c r="K82" s="12">
        <f t="shared" si="33"/>
        <v>1.6579011924219691</v>
      </c>
      <c r="M82" s="8">
        <v>3660</v>
      </c>
      <c r="N82" s="12">
        <f t="shared" si="27"/>
        <v>-114634.44901671509</v>
      </c>
      <c r="O82" s="12">
        <f t="shared" si="28"/>
        <v>-175651.17091699308</v>
      </c>
      <c r="P82" s="12">
        <f t="shared" si="29"/>
        <v>61016.721900277989</v>
      </c>
      <c r="Q82" s="12">
        <f t="shared" si="30"/>
        <v>-3840.5767521567986</v>
      </c>
      <c r="R82" s="12">
        <f t="shared" si="34"/>
        <v>-973.93093500553232</v>
      </c>
      <c r="S82" s="12"/>
    </row>
    <row r="83" spans="1:19" x14ac:dyDescent="0.2">
      <c r="A83" s="12">
        <f t="shared" si="31"/>
        <v>340</v>
      </c>
      <c r="B83" s="13">
        <f t="shared" si="20"/>
        <v>9.8394619340830075E-2</v>
      </c>
      <c r="C83" s="13">
        <f t="shared" si="25"/>
        <v>-31.038545119596932</v>
      </c>
      <c r="D83" s="12">
        <f t="shared" si="21"/>
        <v>94.473203434455925</v>
      </c>
      <c r="E83" s="12">
        <f t="shared" si="22"/>
        <v>187.6270562823853</v>
      </c>
      <c r="F83" s="12">
        <f t="shared" si="26"/>
        <v>63.206238340114894</v>
      </c>
      <c r="G83" s="12">
        <f t="shared" si="23"/>
        <v>-137.29634108638584</v>
      </c>
      <c r="H83" s="12"/>
      <c r="I83" s="12">
        <f t="shared" si="24"/>
        <v>9.8660700748138783</v>
      </c>
      <c r="J83" s="12">
        <f t="shared" si="32"/>
        <v>-2.0670751517346386</v>
      </c>
      <c r="K83" s="12">
        <f t="shared" si="33"/>
        <v>1.823194095826703</v>
      </c>
      <c r="M83" s="8">
        <v>3705</v>
      </c>
      <c r="N83" s="12">
        <f t="shared" si="27"/>
        <v>-104444.70432744367</v>
      </c>
      <c r="O83" s="12">
        <f t="shared" si="28"/>
        <v>-155031.67717613306</v>
      </c>
      <c r="P83" s="12">
        <f t="shared" si="29"/>
        <v>50586.972848689387</v>
      </c>
      <c r="Q83" s="12">
        <f t="shared" si="30"/>
        <v>-4974.9502397169454</v>
      </c>
      <c r="R83" s="12">
        <f t="shared" si="34"/>
        <v>-878.57851411158902</v>
      </c>
      <c r="S83" s="12"/>
    </row>
    <row r="84" spans="1:19" x14ac:dyDescent="0.2">
      <c r="A84" s="12">
        <f t="shared" si="31"/>
        <v>345</v>
      </c>
      <c r="B84" s="13">
        <f t="shared" si="20"/>
        <v>7.30078915068888E-2</v>
      </c>
      <c r="C84" s="13">
        <f t="shared" si="25"/>
        <v>-27.254333434443211</v>
      </c>
      <c r="D84" s="12">
        <f t="shared" si="21"/>
        <v>92.207076215084214</v>
      </c>
      <c r="E84" s="12">
        <f t="shared" si="22"/>
        <v>184.36936680968537</v>
      </c>
      <c r="F84" s="12">
        <f t="shared" si="26"/>
        <v>64.416635698080569</v>
      </c>
      <c r="G84" s="12">
        <f t="shared" si="23"/>
        <v>-143.35207094779187</v>
      </c>
      <c r="H84" s="12"/>
      <c r="I84" s="12">
        <f t="shared" si="24"/>
        <v>7.3205321433920716</v>
      </c>
      <c r="J84" s="12">
        <f t="shared" si="32"/>
        <v>-1.8378783864865444</v>
      </c>
      <c r="K84" s="12">
        <f t="shared" si="33"/>
        <v>1.9858402077177966</v>
      </c>
      <c r="M84" s="8">
        <v>3750</v>
      </c>
      <c r="N84" s="12">
        <f t="shared" si="27"/>
        <v>-92937.277011451355</v>
      </c>
      <c r="O84" s="12">
        <f t="shared" si="28"/>
        <v>-133232.29876127635</v>
      </c>
      <c r="P84" s="12">
        <f t="shared" si="29"/>
        <v>40295.021749824999</v>
      </c>
      <c r="Q84" s="12">
        <f t="shared" si="30"/>
        <v>-6512.7708332316879</v>
      </c>
      <c r="R84" s="12">
        <f t="shared" si="34"/>
        <v>-790.70771994789868</v>
      </c>
      <c r="S84" s="12"/>
    </row>
    <row r="85" spans="1:19" x14ac:dyDescent="0.2">
      <c r="A85" s="12">
        <f t="shared" si="31"/>
        <v>350</v>
      </c>
      <c r="B85" s="13">
        <f t="shared" si="20"/>
        <v>5.1038671344958327E-2</v>
      </c>
      <c r="C85" s="13">
        <f t="shared" si="25"/>
        <v>-23.18714183394798</v>
      </c>
      <c r="D85" s="12">
        <f t="shared" si="21"/>
        <v>90.055536231975481</v>
      </c>
      <c r="E85" s="12">
        <f t="shared" si="22"/>
        <v>181.2174146867124</v>
      </c>
      <c r="F85" s="12">
        <f t="shared" si="26"/>
        <v>65.464091920659001</v>
      </c>
      <c r="G85" s="12">
        <f t="shared" si="23"/>
        <v>-149.45615470832217</v>
      </c>
      <c r="H85" s="12"/>
      <c r="I85" s="12">
        <f t="shared" si="24"/>
        <v>5.1176691508963339</v>
      </c>
      <c r="J85" s="12">
        <f t="shared" si="32"/>
        <v>-1.5904670805819225</v>
      </c>
      <c r="K85" s="12">
        <f t="shared" si="33"/>
        <v>2.1436573006496698</v>
      </c>
      <c r="M85" s="8">
        <v>4067</v>
      </c>
      <c r="N85" s="12">
        <f t="shared" si="27"/>
        <v>-86418.477615124124</v>
      </c>
      <c r="O85" s="12">
        <f t="shared" si="28"/>
        <v>-110418.94210498504</v>
      </c>
      <c r="P85" s="12">
        <f t="shared" si="29"/>
        <v>24000.464489860911</v>
      </c>
      <c r="Q85" s="12">
        <f t="shared" si="30"/>
        <v>-8698.6758055781665</v>
      </c>
      <c r="R85" s="12">
        <f t="shared" si="34"/>
        <v>-717.49083384746598</v>
      </c>
      <c r="S85" s="12"/>
    </row>
    <row r="86" spans="1:19" x14ac:dyDescent="0.2">
      <c r="A86" s="12">
        <f t="shared" si="31"/>
        <v>355</v>
      </c>
      <c r="B86" s="13">
        <f t="shared" si="20"/>
        <v>3.2726107719409196E-2</v>
      </c>
      <c r="C86" s="13">
        <f t="shared" si="25"/>
        <v>-18.854499593125489</v>
      </c>
      <c r="D86" s="12">
        <f t="shared" si="21"/>
        <v>88.031661200465976</v>
      </c>
      <c r="E86" s="12">
        <f t="shared" si="22"/>
        <v>178.2014195884455</v>
      </c>
      <c r="F86" s="12">
        <f t="shared" si="26"/>
        <v>66.337204783999681</v>
      </c>
      <c r="G86" s="12">
        <f t="shared" si="23"/>
        <v>-155.606916876491</v>
      </c>
      <c r="H86" s="12"/>
      <c r="I86" s="12">
        <f t="shared" si="24"/>
        <v>3.2814606550504353</v>
      </c>
      <c r="J86" s="12">
        <f t="shared" si="32"/>
        <v>-1.3257425340007387</v>
      </c>
      <c r="K86" s="12">
        <f t="shared" si="33"/>
        <v>2.2936652181881039</v>
      </c>
      <c r="M86" s="8">
        <v>4428</v>
      </c>
      <c r="N86" s="12">
        <f t="shared" si="27"/>
        <v>-77077.194336696994</v>
      </c>
      <c r="O86" s="12">
        <f t="shared" si="28"/>
        <v>-86765.230626494638</v>
      </c>
      <c r="P86" s="12">
        <f t="shared" si="29"/>
        <v>9688.0362897976447</v>
      </c>
      <c r="Q86" s="12">
        <f t="shared" si="30"/>
        <v>-12030.244472494234</v>
      </c>
      <c r="R86" s="12">
        <f t="shared" si="34"/>
        <v>-649.94129884212123</v>
      </c>
      <c r="S86" s="12"/>
    </row>
    <row r="87" spans="1:19" x14ac:dyDescent="0.2">
      <c r="A87" s="12">
        <f t="shared" si="31"/>
        <v>360</v>
      </c>
      <c r="B87" s="13">
        <f t="shared" si="20"/>
        <v>1.8290868300924835E-2</v>
      </c>
      <c r="C87" s="13">
        <f t="shared" si="25"/>
        <v>-14.281580126631507</v>
      </c>
      <c r="D87" s="12">
        <f t="shared" si="21"/>
        <v>86.148566939904484</v>
      </c>
      <c r="E87" s="12">
        <f t="shared" si="22"/>
        <v>175.35192336146559</v>
      </c>
      <c r="F87" s="12">
        <f t="shared" si="26"/>
        <v>67.025453217118951</v>
      </c>
      <c r="G87" s="12">
        <f t="shared" si="23"/>
        <v>-161.80176270393321</v>
      </c>
      <c r="H87" s="12"/>
      <c r="I87" s="12">
        <f t="shared" si="24"/>
        <v>1.8340330964747431</v>
      </c>
      <c r="J87" s="12">
        <f t="shared" si="32"/>
        <v>-1.0450426972916496</v>
      </c>
      <c r="K87" s="12">
        <f t="shared" si="33"/>
        <v>2.4320806684742871</v>
      </c>
      <c r="M87" s="8">
        <v>4744</v>
      </c>
      <c r="N87" s="12">
        <f t="shared" si="27"/>
        <v>-62896.078877685155</v>
      </c>
      <c r="O87" s="12">
        <f t="shared" si="28"/>
        <v>-62451.183352657972</v>
      </c>
      <c r="P87" s="12">
        <f t="shared" si="29"/>
        <v>-444.89552502718288</v>
      </c>
      <c r="Q87" s="12">
        <f t="shared" si="30"/>
        <v>-17693.635939701038</v>
      </c>
      <c r="R87" s="12">
        <f t="shared" si="34"/>
        <v>-553.15856530234362</v>
      </c>
      <c r="S87" s="12"/>
    </row>
    <row r="88" spans="1:19" x14ac:dyDescent="0.2">
      <c r="N88" s="12"/>
      <c r="O88" s="12"/>
      <c r="P88" s="12"/>
      <c r="Q88" s="12"/>
      <c r="R88" s="12"/>
      <c r="S88" s="12"/>
    </row>
    <row r="89" spans="1:19" x14ac:dyDescent="0.2">
      <c r="N89" s="12"/>
      <c r="O89" s="12"/>
      <c r="P89" s="12"/>
      <c r="Q89" s="17" t="s">
        <v>84</v>
      </c>
      <c r="R89" s="12">
        <f>SUM(R16:R87)</f>
        <v>28293.40065300557</v>
      </c>
      <c r="S89" s="17" t="s">
        <v>72</v>
      </c>
    </row>
    <row r="90" spans="1:19" x14ac:dyDescent="0.2">
      <c r="N90" s="12"/>
      <c r="O90" s="12"/>
      <c r="P90" s="12"/>
      <c r="Q90" s="17" t="s">
        <v>74</v>
      </c>
      <c r="R90" s="16">
        <f>E10*R89/33000</f>
        <v>6.1902531125666735</v>
      </c>
      <c r="S90" s="17" t="s">
        <v>73</v>
      </c>
    </row>
    <row r="91" spans="1:19" x14ac:dyDescent="0.2">
      <c r="N91" s="12"/>
      <c r="O91" s="12"/>
      <c r="P91" s="12"/>
      <c r="Q91" s="17" t="s">
        <v>95</v>
      </c>
      <c r="R91" s="16">
        <f>1.5*R90/0.9</f>
        <v>10.317088520944456</v>
      </c>
      <c r="S91" s="17" t="s">
        <v>73</v>
      </c>
    </row>
  </sheetData>
  <sheetProtection sheet="1"/>
  <mergeCells count="3">
    <mergeCell ref="E1:G1"/>
    <mergeCell ref="F2:G2"/>
    <mergeCell ref="I12:K12"/>
  </mergeCells>
  <phoneticPr fontId="1" type="noConversion"/>
  <printOptions gridLines="1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7"/>
  <sheetViews>
    <sheetView workbookViewId="0">
      <selection activeCell="M5" sqref="M5"/>
    </sheetView>
  </sheetViews>
  <sheetFormatPr defaultRowHeight="12.75" x14ac:dyDescent="0.2"/>
  <sheetData>
    <row r="1" spans="1:13" x14ac:dyDescent="0.2">
      <c r="A1" t="s">
        <v>63</v>
      </c>
      <c r="B1" t="s">
        <v>64</v>
      </c>
    </row>
    <row r="2" spans="1:13" x14ac:dyDescent="0.2">
      <c r="A2" t="s">
        <v>11</v>
      </c>
      <c r="B2" s="1" t="s">
        <v>56</v>
      </c>
      <c r="C2" s="1"/>
      <c r="D2" s="1"/>
      <c r="E2" s="1"/>
      <c r="F2" s="2" t="s">
        <v>60</v>
      </c>
      <c r="G2" s="2"/>
      <c r="H2" s="2"/>
      <c r="I2" s="2"/>
      <c r="J2" s="3" t="s">
        <v>61</v>
      </c>
      <c r="K2" s="3"/>
      <c r="L2" s="3"/>
      <c r="M2" s="3"/>
    </row>
    <row r="3" spans="1:13" x14ac:dyDescent="0.2">
      <c r="A3" t="s">
        <v>54</v>
      </c>
      <c r="B3" s="1" t="s">
        <v>57</v>
      </c>
      <c r="C3" s="1" t="s">
        <v>62</v>
      </c>
      <c r="D3" s="1" t="s">
        <v>58</v>
      </c>
      <c r="E3" s="1" t="s">
        <v>59</v>
      </c>
      <c r="F3" s="2" t="s">
        <v>57</v>
      </c>
      <c r="G3" s="2" t="s">
        <v>62</v>
      </c>
      <c r="H3" s="2" t="s">
        <v>58</v>
      </c>
      <c r="I3" s="2" t="s">
        <v>59</v>
      </c>
      <c r="J3" s="3" t="s">
        <v>57</v>
      </c>
      <c r="K3" s="3" t="s">
        <v>62</v>
      </c>
      <c r="L3" s="3" t="s">
        <v>58</v>
      </c>
      <c r="M3" s="3" t="s">
        <v>59</v>
      </c>
    </row>
    <row r="4" spans="1:13" x14ac:dyDescent="0.2">
      <c r="A4" t="s">
        <v>55</v>
      </c>
      <c r="B4" s="1"/>
      <c r="C4" s="1"/>
      <c r="D4" s="1"/>
      <c r="E4" s="1"/>
      <c r="F4" s="2"/>
      <c r="G4" s="2"/>
      <c r="H4" s="2"/>
      <c r="I4" s="2"/>
      <c r="J4" s="3"/>
      <c r="K4" s="3"/>
      <c r="L4" s="3"/>
      <c r="M4" s="3"/>
    </row>
    <row r="5" spans="1:13" x14ac:dyDescent="0.2">
      <c r="A5">
        <v>0</v>
      </c>
      <c r="B5">
        <f>Conventional!J15</f>
        <v>4.816491542249679E-2</v>
      </c>
      <c r="C5">
        <f>'Mark II'!I15</f>
        <v>5.0945545970377992</v>
      </c>
      <c r="D5">
        <f>'Air Balanced'!I15</f>
        <v>8.1353690636784429E-4</v>
      </c>
      <c r="E5">
        <f>RM!I15</f>
        <v>1.8340330964748031</v>
      </c>
      <c r="F5">
        <f>Conventional!K15</f>
        <v>-0.28009638444855872</v>
      </c>
      <c r="G5">
        <f>'Mark II'!J15</f>
        <v>1.0936779180151897</v>
      </c>
      <c r="H5">
        <f>'Air Balanced'!J15</f>
        <v>-8.9496573694353168E-2</v>
      </c>
      <c r="I5">
        <f>RM!J15</f>
        <v>-1.0450426972916065</v>
      </c>
      <c r="J5">
        <f>Conventional!L15</f>
        <v>2.0558382560397401</v>
      </c>
      <c r="K5">
        <f>'Mark II'!K15</f>
        <v>1.608748403075444</v>
      </c>
      <c r="L5">
        <f>'Air Balanced'!K15</f>
        <v>1.83180678109033</v>
      </c>
      <c r="M5">
        <f>RM!K15</f>
        <v>2.4320806684746605</v>
      </c>
    </row>
    <row r="6" spans="1:13" x14ac:dyDescent="0.2">
      <c r="A6">
        <f>A5+5</f>
        <v>5</v>
      </c>
      <c r="B6">
        <f>Conventional!J16</f>
        <v>8.2828915365839917E-2</v>
      </c>
      <c r="C6">
        <f>'Mark II'!I16</f>
        <v>6.8591908743243568</v>
      </c>
      <c r="D6">
        <f>'Air Balanced'!I16</f>
        <v>0.16711516646612187</v>
      </c>
      <c r="E6">
        <f>RM!I16</f>
        <v>0.79493536402370324</v>
      </c>
      <c r="F6">
        <f>Conventional!K16</f>
        <v>2.0555751966402473E-2</v>
      </c>
      <c r="G6">
        <f>'Mark II'!J16</f>
        <v>1.2740673922008945</v>
      </c>
      <c r="H6">
        <f>'Air Balanced'!J16</f>
        <v>0.1200697765421424</v>
      </c>
      <c r="I6">
        <f>RM!J16</f>
        <v>-0.75022856282969397</v>
      </c>
      <c r="J6">
        <f>Conventional!L16</f>
        <v>2.1393775051621677</v>
      </c>
      <c r="K6">
        <f>'Mark II'!K16</f>
        <v>1.5629569226218514</v>
      </c>
      <c r="L6">
        <f>'Air Balanced'!K16</f>
        <v>1.8157554886685443</v>
      </c>
      <c r="M6">
        <f>RM!K16</f>
        <v>2.5543718358514438</v>
      </c>
    </row>
    <row r="7" spans="1:13" x14ac:dyDescent="0.2">
      <c r="A7">
        <f t="shared" ref="A7:A70" si="0">A6+5</f>
        <v>10</v>
      </c>
      <c r="B7">
        <f>Conventional!J17</f>
        <v>0.63753040344368905</v>
      </c>
      <c r="C7">
        <f>'Mark II'!I17</f>
        <v>8.8659331614229302</v>
      </c>
      <c r="D7">
        <f>'Air Balanced'!I17</f>
        <v>0.6195258332118091</v>
      </c>
      <c r="E7">
        <f>RM!I17</f>
        <v>0.18031692692756771</v>
      </c>
      <c r="F7">
        <f>Conventional!K17</f>
        <v>0.32893798243016453</v>
      </c>
      <c r="G7">
        <f>'Mark II'!J17</f>
        <v>1.44886793128517</v>
      </c>
      <c r="H7">
        <f>'Air Balanced'!J17</f>
        <v>0.32664050139038614</v>
      </c>
      <c r="I7">
        <f>RM!J17</f>
        <v>-0.44375451158340984</v>
      </c>
      <c r="J7">
        <f>Conventional!L17</f>
        <v>2.1943832321062375</v>
      </c>
      <c r="K7">
        <f>'Mark II'!K17</f>
        <v>1.5145324519242398</v>
      </c>
      <c r="L7">
        <f>'Air Balanced'!K17</f>
        <v>1.7898003520992676</v>
      </c>
      <c r="M7">
        <f>RM!K17</f>
        <v>2.6553973958936412</v>
      </c>
    </row>
    <row r="8" spans="1:13" x14ac:dyDescent="0.2">
      <c r="A8">
        <f t="shared" si="0"/>
        <v>15</v>
      </c>
      <c r="B8">
        <f>Conventional!J18</f>
        <v>1.7170235781266865</v>
      </c>
      <c r="C8">
        <f>'Mark II'!I18</f>
        <v>11.106500492711687</v>
      </c>
      <c r="D8">
        <f>'Air Balanced'!I18</f>
        <v>1.3525428628076881</v>
      </c>
      <c r="E8">
        <f>RM!I18</f>
        <v>2.0476498571314937E-3</v>
      </c>
      <c r="F8">
        <f>Conventional!K18</f>
        <v>0.64013945258701743</v>
      </c>
      <c r="G8">
        <f>'Mark II'!J18</f>
        <v>1.6176896131904825</v>
      </c>
      <c r="H8">
        <f>'Air Balanced'!J18</f>
        <v>0.52923829536822464</v>
      </c>
      <c r="I8">
        <f>RM!J18</f>
        <v>-0.12871041804485495</v>
      </c>
      <c r="J8">
        <f>Conventional!L18</f>
        <v>2.2144443500912243</v>
      </c>
      <c r="K8">
        <f>'Mark II'!K18</f>
        <v>1.4627295612100761</v>
      </c>
      <c r="L8">
        <f>'Air Balanced'!K18</f>
        <v>1.7553775021240776</v>
      </c>
      <c r="M8">
        <f>RM!K18</f>
        <v>2.7296512124665382</v>
      </c>
    </row>
    <row r="9" spans="1:13" x14ac:dyDescent="0.2">
      <c r="A9">
        <f t="shared" si="0"/>
        <v>20</v>
      </c>
      <c r="B9">
        <f>Conventional!J19</f>
        <v>3.3164266419966859</v>
      </c>
      <c r="C9">
        <f>'Mark II'!I19</f>
        <v>13.571945024277627</v>
      </c>
      <c r="D9">
        <f>'Air Balanced'!I19</f>
        <v>2.3595256515878433</v>
      </c>
      <c r="E9">
        <f>RM!I19</f>
        <v>0.26683706728484918</v>
      </c>
      <c r="F9">
        <f>Conventional!K19</f>
        <v>0.94844601687490959</v>
      </c>
      <c r="G9">
        <f>'Mark II'!J19</f>
        <v>1.7800509517906082</v>
      </c>
      <c r="H9">
        <f>'Air Balanced'!J19</f>
        <v>0.72704157349927201</v>
      </c>
      <c r="I9">
        <f>RM!J19</f>
        <v>0.19117795938281215</v>
      </c>
      <c r="J9">
        <f>Conventional!L19</f>
        <v>2.1938448074787322</v>
      </c>
      <c r="K9">
        <f>'Mark II'!K19</f>
        <v>1.4067549078278021</v>
      </c>
      <c r="L9">
        <f>'Air Balanced'!K19</f>
        <v>1.7138361551736012</v>
      </c>
      <c r="M9">
        <f>RM!K19</f>
        <v>2.7716237669839869</v>
      </c>
    </row>
    <row r="10" spans="1:13" x14ac:dyDescent="0.2">
      <c r="A10">
        <f t="shared" si="0"/>
        <v>25</v>
      </c>
      <c r="B10">
        <f>Conventional!J20</f>
        <v>5.4202227021133309</v>
      </c>
      <c r="C10">
        <f>'Mark II'!I20</f>
        <v>16.252521770791127</v>
      </c>
      <c r="D10">
        <f>'Air Balanced'!I20</f>
        <v>3.6328846926605922</v>
      </c>
      <c r="E10">
        <f>RM!I20</f>
        <v>0.97542837179523312</v>
      </c>
      <c r="F10">
        <f>Conventional!K20</f>
        <v>1.2475510636491705</v>
      </c>
      <c r="G10">
        <f>'Mark II'!J20</f>
        <v>1.9353764109827469</v>
      </c>
      <c r="H10">
        <f>'Air Balanced'!J20</f>
        <v>0.91936522765452466</v>
      </c>
      <c r="I10">
        <f>RM!J20</f>
        <v>0.51160292185649714</v>
      </c>
      <c r="J10">
        <f>Conventional!L20</f>
        <v>2.1283687399651172</v>
      </c>
      <c r="K10">
        <f>'Mark II'!K20</f>
        <v>1.3457936101850969</v>
      </c>
      <c r="L10">
        <f>'Air Balanced'!K20</f>
        <v>1.6663587939528668</v>
      </c>
      <c r="M10">
        <f>RM!K20</f>
        <v>2.7762729257890384</v>
      </c>
    </row>
    <row r="11" spans="1:13" x14ac:dyDescent="0.2">
      <c r="A11">
        <f t="shared" si="0"/>
        <v>30</v>
      </c>
      <c r="B11">
        <f>Conventional!J21</f>
        <v>8.0018100037627367</v>
      </c>
      <c r="C11">
        <f>'Mark II'!I21</f>
        <v>19.137558902431557</v>
      </c>
      <c r="D11">
        <f>'Air Balanced'!I21</f>
        <v>5.1642339788698894</v>
      </c>
      <c r="E11">
        <f>RM!I21</f>
        <v>2.1219545487650731</v>
      </c>
      <c r="F11">
        <f>Conventional!K21</f>
        <v>1.5308812698780974</v>
      </c>
      <c r="G11">
        <f>'Mark II'!J21</f>
        <v>2.0829968090443907</v>
      </c>
      <c r="H11">
        <f>'Air Balanced'!J21</f>
        <v>1.1056341846431126</v>
      </c>
      <c r="I11">
        <f>RM!J21</f>
        <v>0.82779189977222434</v>
      </c>
      <c r="J11">
        <f>Conventional!L21</f>
        <v>2.016118285294715</v>
      </c>
      <c r="K11">
        <f>'Mark II'!K21</f>
        <v>1.2790342901776883</v>
      </c>
      <c r="L11">
        <f>'Air Balanced'!K21</f>
        <v>1.6138987993010976</v>
      </c>
      <c r="M11">
        <f>RM!K21</f>
        <v>2.7395708874973601</v>
      </c>
    </row>
    <row r="12" spans="1:13" x14ac:dyDescent="0.2">
      <c r="A12">
        <f t="shared" si="0"/>
        <v>35</v>
      </c>
      <c r="B12">
        <f>Conventional!J22</f>
        <v>11.02375949801446</v>
      </c>
      <c r="C12">
        <f>'Mark II'!I22</f>
        <v>22.21533237297934</v>
      </c>
      <c r="D12">
        <f>'Air Balanced'!I22</f>
        <v>6.9444997888349516</v>
      </c>
      <c r="E12">
        <f>RM!I22</f>
        <v>3.6935463559806281</v>
      </c>
      <c r="F12">
        <f>Conventional!K22</f>
        <v>1.7920160500912719</v>
      </c>
      <c r="G12">
        <f>'Mark II'!J22</f>
        <v>2.2221524457354991</v>
      </c>
      <c r="H12">
        <f>'Air Balanced'!J22</f>
        <v>1.2853519147947747</v>
      </c>
      <c r="I12">
        <f>RM!J22</f>
        <v>1.1346892848096306</v>
      </c>
      <c r="J12">
        <f>Conventional!L22</f>
        <v>1.8581802918987396</v>
      </c>
      <c r="K12">
        <f>'Mark II'!K22</f>
        <v>1.2056926639983232</v>
      </c>
      <c r="L12">
        <f>'Air Balanced'!K22</f>
        <v>1.5571366995019809</v>
      </c>
      <c r="M12">
        <f>RM!K22</f>
        <v>2.6590653065763505</v>
      </c>
    </row>
    <row r="13" spans="1:13" x14ac:dyDescent="0.2">
      <c r="A13">
        <f t="shared" si="0"/>
        <v>40</v>
      </c>
      <c r="B13">
        <f>Conventional!J23</f>
        <v>14.438859698870946</v>
      </c>
      <c r="C13">
        <f>'Mark II'!I23</f>
        <v>25.472948373960268</v>
      </c>
      <c r="D13">
        <f>'Air Balanced'!I23</f>
        <v>8.9639817138446141</v>
      </c>
      <c r="E13">
        <f>RM!I23</f>
        <v>5.6702703417645894</v>
      </c>
      <c r="F13">
        <f>Conventional!K23</f>
        <v>2.0251544191078961</v>
      </c>
      <c r="G13">
        <f>'Mark II'!J23</f>
        <v>2.35199875270823</v>
      </c>
      <c r="H13">
        <f>'Air Balanced'!J23</f>
        <v>1.4580659498569761</v>
      </c>
      <c r="I13">
        <f>RM!J23</f>
        <v>1.42719471773602</v>
      </c>
      <c r="J13">
        <f>Conventional!L23</f>
        <v>1.6589637054032331</v>
      </c>
      <c r="K13">
        <f>'Mark II'!K23</f>
        <v>1.1250334049479387</v>
      </c>
      <c r="L13">
        <f>'Air Balanced'!K23</f>
        <v>1.4964542579492308</v>
      </c>
      <c r="M13">
        <f>RM!K23</f>
        <v>2.5343684456120621</v>
      </c>
    </row>
    <row r="14" spans="1:13" x14ac:dyDescent="0.2">
      <c r="A14">
        <f t="shared" si="0"/>
        <v>45</v>
      </c>
      <c r="B14">
        <f>Conventional!J24</f>
        <v>18.191918092032651</v>
      </c>
      <c r="C14">
        <f>'Mark II'!I24</f>
        <v>28.896236773742331</v>
      </c>
      <c r="D14">
        <f>'Air Balanced'!I24</f>
        <v>11.212364326078388</v>
      </c>
      <c r="E14">
        <f>RM!I24</f>
        <v>8.0254482702607213</v>
      </c>
      <c r="F14">
        <f>Conventional!K24</f>
        <v>2.2255636271448909</v>
      </c>
      <c r="G14">
        <f>'Mark II'!J24</f>
        <v>2.4716142246426491</v>
      </c>
      <c r="H14">
        <f>'Air Balanced'!J24</f>
        <v>1.6233322460327848</v>
      </c>
      <c r="I14">
        <f>RM!J24</f>
        <v>1.7004384643742072</v>
      </c>
      <c r="J14">
        <f>Conventional!L24</f>
        <v>1.4260698647088546</v>
      </c>
      <c r="K14">
        <f>'Mark II'!K24</f>
        <v>1.0363899044359848</v>
      </c>
      <c r="L14">
        <f>'Air Balanced'!K24</f>
        <v>1.4319244670458882</v>
      </c>
      <c r="M14">
        <f>RM!K24</f>
        <v>2.3674785200140542</v>
      </c>
    </row>
    <row r="15" spans="1:13" x14ac:dyDescent="0.2">
      <c r="A15">
        <f t="shared" si="0"/>
        <v>50</v>
      </c>
      <c r="B15">
        <f>Conventional!J25</f>
        <v>22.222167947095841</v>
      </c>
      <c r="C15">
        <f>'Mark II'!I25</f>
        <v>32.469658301271402</v>
      </c>
      <c r="D15">
        <f>'Air Balanced'!I25</f>
        <v>13.678680062462821</v>
      </c>
      <c r="E15">
        <f>RM!I25</f>
        <v>10.726369249037255</v>
      </c>
      <c r="F15">
        <f>Conventional!K25</f>
        <v>2.3899381640524711</v>
      </c>
      <c r="G15">
        <f>'Mark II'!J25</f>
        <v>2.5800103428759891</v>
      </c>
      <c r="H15">
        <f>'Air Balanced'!J25</f>
        <v>1.7806799616695601</v>
      </c>
      <c r="I15">
        <f>RM!J25</f>
        <v>1.9500649466766573</v>
      </c>
      <c r="J15">
        <f>Conventional!L25</f>
        <v>1.1696547075127521</v>
      </c>
      <c r="K15">
        <f>'Mark II'!K25</f>
        <v>0.93918153563508255</v>
      </c>
      <c r="L15">
        <f>'Air Balanced'!K25</f>
        <v>1.3633151408826565</v>
      </c>
      <c r="M15">
        <f>RM!K25</f>
        <v>2.1628503566826947</v>
      </c>
    </row>
    <row r="16" spans="1:13" x14ac:dyDescent="0.2">
      <c r="A16">
        <f t="shared" si="0"/>
        <v>55</v>
      </c>
      <c r="B16">
        <f>Conventional!J26</f>
        <v>26.466029548840446</v>
      </c>
      <c r="C16">
        <f>'Mark II'!I26</f>
        <v>36.176227781653097</v>
      </c>
      <c r="D16">
        <f>'Air Balanced'!I26</f>
        <v>16.351225745062965</v>
      </c>
      <c r="E16">
        <f>RM!I26</f>
        <v>13.735358579276731</v>
      </c>
      <c r="F16">
        <f>Conventional!K26</f>
        <v>2.5166099298345506</v>
      </c>
      <c r="G16">
        <f>'Mark II'!J26</f>
        <v>2.6761431648355836</v>
      </c>
      <c r="H16">
        <f>'Air Balanced'!J26</f>
        <v>1.9295779828373045</v>
      </c>
      <c r="I16">
        <f>RM!J26</f>
        <v>2.172490296432902</v>
      </c>
      <c r="J16">
        <f>Conventional!L26</f>
        <v>0.90136970082699908</v>
      </c>
      <c r="K16">
        <f>'Mark II'!K26</f>
        <v>0.83292808658138984</v>
      </c>
      <c r="L16">
        <f>'Air Balanced'!K26</f>
        <v>1.29010405955972</v>
      </c>
      <c r="M16">
        <f>RM!K26</f>
        <v>1.9271703171007881</v>
      </c>
    </row>
    <row r="17" spans="1:13" x14ac:dyDescent="0.2">
      <c r="A17">
        <f t="shared" si="0"/>
        <v>60</v>
      </c>
      <c r="B17">
        <f>Conventional!J27</f>
        <v>30.859922506758565</v>
      </c>
      <c r="C17">
        <f>'Mark II'!I27</f>
        <v>39.997455248076911</v>
      </c>
      <c r="D17">
        <f>'Air Balanced'!I27</f>
        <v>19.217436788942013</v>
      </c>
      <c r="E17">
        <f>RM!I27</f>
        <v>17.011121820117786</v>
      </c>
      <c r="F17">
        <f>Conventional!K27</f>
        <v>2.6055785240454443</v>
      </c>
      <c r="G17">
        <f>'Mark II'!J27</f>
        <v>2.7589262307579934</v>
      </c>
      <c r="H17">
        <f>'Air Balanced'!J27</f>
        <v>2.0694043736806726</v>
      </c>
      <c r="I17">
        <f>RM!J27</f>
        <v>2.365101059887242</v>
      </c>
      <c r="J17">
        <f>Conventional!L27</f>
        <v>0.6330818446537928</v>
      </c>
      <c r="K17">
        <f>'Mark II'!K27</f>
        <v>0.71726117359870245</v>
      </c>
      <c r="L17">
        <f>'Air Balanced'!K27</f>
        <v>1.211504310439359</v>
      </c>
      <c r="M17">
        <f>RM!K27</f>
        <v>1.6688464084247379</v>
      </c>
    </row>
    <row r="18" spans="1:13" x14ac:dyDescent="0.2">
      <c r="A18">
        <f t="shared" si="0"/>
        <v>65</v>
      </c>
      <c r="B18">
        <f>Conventional!J28</f>
        <v>35.34283391088011</v>
      </c>
      <c r="C18">
        <f>'Mark II'!I28</f>
        <v>43.91330627570327</v>
      </c>
      <c r="D18">
        <f>'Air Balanced'!I28</f>
        <v>22.263724707475681</v>
      </c>
      <c r="E18">
        <f>RM!I28</f>
        <v>20.510248239754095</v>
      </c>
      <c r="F18">
        <f>Conventional!K28</f>
        <v>2.6583664626440759</v>
      </c>
      <c r="G18">
        <f>'Mark II'!J28</f>
        <v>2.8272444419462315</v>
      </c>
      <c r="H18">
        <f>'Air Balanced'!J28</f>
        <v>2.1994198771813083</v>
      </c>
      <c r="I18">
        <f>RM!J28</f>
        <v>2.5263692749774145</v>
      </c>
      <c r="J18">
        <f>Conventional!L28</f>
        <v>0.37562789251536549</v>
      </c>
      <c r="K18">
        <f>'Mark II'!K28</f>
        <v>0.59193265904125658</v>
      </c>
      <c r="L18">
        <f>'Air Balanced'!K28</f>
        <v>1.1264993823047991</v>
      </c>
      <c r="M18">
        <f>RM!K28</f>
        <v>1.3972837068895303</v>
      </c>
    </row>
    <row r="19" spans="1:13" x14ac:dyDescent="0.2">
      <c r="A19">
        <f t="shared" si="0"/>
        <v>70</v>
      </c>
      <c r="B19">
        <f>Conventional!J29</f>
        <v>39.858409950157373</v>
      </c>
      <c r="C19">
        <f>'Mark II'!I29</f>
        <v>47.902182449744934</v>
      </c>
      <c r="D19">
        <f>'Air Balanced'!I29</f>
        <v>25.475285161690074</v>
      </c>
      <c r="E19">
        <f>RM!I29</f>
        <v>24.188741820771838</v>
      </c>
      <c r="F19">
        <f>Conventional!K29</f>
        <v>2.6777365912914171</v>
      </c>
      <c r="G19">
        <f>'Mark II'!J29</f>
        <v>2.8799685976580811</v>
      </c>
      <c r="H19">
        <f>'Air Balanced'!J29</f>
        <v>2.3187466479427914</v>
      </c>
      <c r="I19">
        <f>RM!J29</f>
        <v>2.6558723654948109</v>
      </c>
      <c r="J19">
        <f>Conventional!L29</f>
        <v>0.13783377026472629</v>
      </c>
      <c r="K19">
        <f>'Mark II'!K29</f>
        <v>0.45682035790178116</v>
      </c>
      <c r="L19">
        <f>'Air Balanced'!K29</f>
        <v>1.0338884974173863</v>
      </c>
      <c r="M19">
        <f>RM!K29</f>
        <v>1.1220596586290674</v>
      </c>
    </row>
    <row r="20" spans="1:13" x14ac:dyDescent="0.2">
      <c r="A20">
        <f t="shared" si="0"/>
        <v>75</v>
      </c>
      <c r="B20">
        <f>Conventional!J30</f>
        <v>44.356435124917454</v>
      </c>
      <c r="C20">
        <f>'Mark II'!I30</f>
        <v>51.940922536723392</v>
      </c>
      <c r="D20">
        <f>'Air Balanced'!I30</f>
        <v>28.835885637108252</v>
      </c>
      <c r="E20">
        <f>RM!I30</f>
        <v>28.003452852587959</v>
      </c>
      <c r="F20">
        <f>Conventional!K30</f>
        <v>2.6673289286327275</v>
      </c>
      <c r="G20">
        <f>'Mark II'!J30</f>
        <v>2.9159703427984462</v>
      </c>
      <c r="H20">
        <f>'Air Balanced'!J30</f>
        <v>2.4263535432519241</v>
      </c>
      <c r="I20">
        <f>RM!J30</f>
        <v>2.7542213649712388</v>
      </c>
      <c r="J20">
        <f>Conventional!L30</f>
        <v>-7.4058743233359661E-2</v>
      </c>
      <c r="K20">
        <f>'Mark II'!K30</f>
        <v>0.3119315971600099</v>
      </c>
      <c r="L20">
        <f>'Air Balanced'!K30</f>
        <v>0.93234343469571346</v>
      </c>
      <c r="M20">
        <f>RM!K30</f>
        <v>0.85212981665643783</v>
      </c>
    </row>
    <row r="21" spans="1:13" x14ac:dyDescent="0.2">
      <c r="A21">
        <f t="shared" si="0"/>
        <v>80</v>
      </c>
      <c r="B21">
        <f>Conventional!J31</f>
        <v>48.7936661997595</v>
      </c>
      <c r="C21">
        <f>'Mark II'!I31</f>
        <v>56.004824717542576</v>
      </c>
      <c r="D21">
        <f>'Air Balanced'!I31</f>
        <v>32.327643939498458</v>
      </c>
      <c r="E21">
        <f>RM!I31</f>
        <v>31.913306309829274</v>
      </c>
      <c r="F21">
        <f>Conventional!K31</f>
        <v>2.6312780273813332</v>
      </c>
      <c r="G21">
        <f>'Mark II'!J31</f>
        <v>2.934137374551451</v>
      </c>
      <c r="H21">
        <f>'Air Balanced'!J31</f>
        <v>2.5210494943257284</v>
      </c>
      <c r="I21">
        <f>RM!J31</f>
        <v>2.8229141961282296</v>
      </c>
      <c r="J21">
        <f>Conventional!L31</f>
        <v>-0.25653064733791037</v>
      </c>
      <c r="K21">
        <f>'Mark II'!K31</f>
        <v>0.15740545932640587</v>
      </c>
      <c r="L21">
        <f>'Air Balanced'!K31</f>
        <v>0.82047853924501069</v>
      </c>
      <c r="M21">
        <f>RM!K31</f>
        <v>0.59517849628401931</v>
      </c>
    </row>
    <row r="22" spans="1:13" x14ac:dyDescent="0.2">
      <c r="A22">
        <f t="shared" si="0"/>
        <v>85</v>
      </c>
      <c r="B22">
        <f>Conventional!J32</f>
        <v>53.134074285176283</v>
      </c>
      <c r="C22">
        <f>'Mark II'!I32</f>
        <v>60.067690199715628</v>
      </c>
      <c r="D22">
        <f>'Air Balanced'!I32</f>
        <v>35.930811072922928</v>
      </c>
      <c r="E22">
        <f>RM!I32</f>
        <v>35.880258177749141</v>
      </c>
      <c r="F22">
        <f>Conventional!K32</f>
        <v>2.5738619946521522</v>
      </c>
      <c r="G22">
        <f>'Mark II'!J32</f>
        <v>2.9333888781289432</v>
      </c>
      <c r="H22">
        <f>'Air Balanced'!J32</f>
        <v>2.6014866703324677</v>
      </c>
      <c r="I22">
        <f>RM!J32</f>
        <v>2.8641392486381441</v>
      </c>
      <c r="J22">
        <f>Conventional!L32</f>
        <v>-0.40856043905481459</v>
      </c>
      <c r="K22">
        <f>'Mark II'!K32</f>
        <v>-6.4852324139036011E-3</v>
      </c>
      <c r="L22">
        <f>'Air Balanced'!K32</f>
        <v>0.69693557034520282</v>
      </c>
      <c r="M22">
        <f>RM!K32</f>
        <v>0.35718814247159791</v>
      </c>
    </row>
    <row r="23" spans="1:13" x14ac:dyDescent="0.2">
      <c r="A23">
        <f t="shared" si="0"/>
        <v>90</v>
      </c>
      <c r="B23">
        <f>Conventional!J33</f>
        <v>57.348604736482493</v>
      </c>
      <c r="C23">
        <f>'Mark II'!I33</f>
        <v>64.101888679278389</v>
      </c>
      <c r="D23">
        <f>'Air Balanced'!I33</f>
        <v>39.623574590806328</v>
      </c>
      <c r="E23">
        <f>RM!I33</f>
        <v>39.869949525392116</v>
      </c>
      <c r="F23">
        <f>Conventional!K33</f>
        <v>2.4992165576245822</v>
      </c>
      <c r="G23">
        <f>'Mark II'!J33</f>
        <v>2.9126913022443133</v>
      </c>
      <c r="H23">
        <f>'Air Balanced'!J33</f>
        <v>2.6661752599118143</v>
      </c>
      <c r="I23">
        <f>RM!J33</f>
        <v>2.8805571529982275</v>
      </c>
      <c r="J23">
        <f>Conventional!L33</f>
        <v>-0.53116126412410136</v>
      </c>
      <c r="K23">
        <f>'Mark II'!K33</f>
        <v>-0.17933097070326198</v>
      </c>
      <c r="L23">
        <f>'Air Balanced'!K33</f>
        <v>0.56048435948983788</v>
      </c>
      <c r="M23">
        <f>RM!K33</f>
        <v>0.14225041339229819</v>
      </c>
    </row>
    <row r="24" spans="1:13" x14ac:dyDescent="0.2">
      <c r="A24">
        <f t="shared" si="0"/>
        <v>95</v>
      </c>
      <c r="B24">
        <f>Conventional!J34</f>
        <v>61.414588751852165</v>
      </c>
      <c r="C24">
        <f>'Mark II'!I34</f>
        <v>68.078446482457082</v>
      </c>
      <c r="D24">
        <f>'Air Balanced'!I34</f>
        <v>43.381900961971439</v>
      </c>
      <c r="E24">
        <f>RM!I34</f>
        <v>43.852063121467161</v>
      </c>
      <c r="F24">
        <f>Conventional!K34</f>
        <v>2.4111285211142155</v>
      </c>
      <c r="G24">
        <f>'Mark II'!J34</f>
        <v>2.8710747338950164</v>
      </c>
      <c r="H24">
        <f>'Air Balanced'!J34</f>
        <v>2.7135116399812103</v>
      </c>
      <c r="I24">
        <f>RM!J34</f>
        <v>2.8750860163661827</v>
      </c>
      <c r="J24">
        <f>Conventional!L34</f>
        <v>-0.62681598085861479</v>
      </c>
      <c r="K24">
        <f>'Mark II'!K34</f>
        <v>-0.36058037139316346</v>
      </c>
      <c r="L24">
        <f>'Air Balanced'!K34</f>
        <v>0.41013880247334583</v>
      </c>
      <c r="M24">
        <f>RM!K34</f>
        <v>-4.7403823932993402E-2</v>
      </c>
    </row>
    <row r="25" spans="1:13" x14ac:dyDescent="0.2">
      <c r="A25">
        <f t="shared" si="0"/>
        <v>100</v>
      </c>
      <c r="B25">
        <f>Conventional!J35</f>
        <v>65.314938436429856</v>
      </c>
      <c r="C25">
        <f>'Mark II'!I35</f>
        <v>71.967158779263997</v>
      </c>
      <c r="D25">
        <f>'Air Balanced'!I35</f>
        <v>47.179437503473572</v>
      </c>
      <c r="E25">
        <f>RM!I35</f>
        <v>47.800413844064373</v>
      </c>
      <c r="F25">
        <f>Conventional!K35</f>
        <v>2.3129073629545704</v>
      </c>
      <c r="G25">
        <f>'Mark II'!J35</f>
        <v>2.8076502782945925</v>
      </c>
      <c r="H25">
        <f>'Air Balanced'!J35</f>
        <v>2.7418213829645399</v>
      </c>
      <c r="I25">
        <f>RM!J35</f>
        <v>2.8507092217151868</v>
      </c>
      <c r="J25">
        <f>Conventional!L35</f>
        <v>-0.69892114788665671</v>
      </c>
      <c r="K25">
        <f>'Mark II'!K35</f>
        <v>-0.54953146458065649</v>
      </c>
      <c r="L25">
        <f>'Air Balanced'!K35</f>
        <v>0.24528542462455319</v>
      </c>
      <c r="M25">
        <f>RM!K35</f>
        <v>-0.21120899721611666</v>
      </c>
    </row>
    <row r="26" spans="1:13" x14ac:dyDescent="0.2">
      <c r="A26">
        <f t="shared" si="0"/>
        <v>105</v>
      </c>
      <c r="B26">
        <f>Conventional!J36</f>
        <v>69.037238032628423</v>
      </c>
      <c r="C26">
        <f>'Mark II'!I36</f>
        <v>75.736728005223</v>
      </c>
      <c r="D26">
        <f>'Air Balanced'!I36</f>
        <v>50.987495508916595</v>
      </c>
      <c r="E26">
        <f>RM!I36</f>
        <v>51.692820100249463</v>
      </c>
      <c r="F26">
        <f>Conventional!K36</f>
        <v>2.2073236605457502</v>
      </c>
      <c r="G26">
        <f>'Mark II'!J36</f>
        <v>2.7216289811424001</v>
      </c>
      <c r="H26">
        <f>'Air Balanced'!J36</f>
        <v>2.7494178799298625</v>
      </c>
      <c r="I26">
        <f>RM!J36</f>
        <v>2.810317316965635</v>
      </c>
      <c r="J26">
        <f>Conventional!L36</f>
        <v>-0.75131146759390088</v>
      </c>
      <c r="K26">
        <f>'Mark II'!K36</f>
        <v>-0.74531833125984448</v>
      </c>
      <c r="L26">
        <f>'Air Balanced'!K36</f>
        <v>6.5818682454853256E-2</v>
      </c>
      <c r="M26">
        <f>RM!K36</f>
        <v>-0.34996946152857783</v>
      </c>
    </row>
    <row r="27" spans="1:13" x14ac:dyDescent="0.2">
      <c r="A27">
        <f t="shared" si="0"/>
        <v>110</v>
      </c>
      <c r="B27">
        <f>Conventional!J37</f>
        <v>72.572817221723696</v>
      </c>
      <c r="C27">
        <f>'Mark II'!I37</f>
        <v>79.354931514891902</v>
      </c>
      <c r="D27">
        <f>'Air Balanced'!I37</f>
        <v>54.775135764078541</v>
      </c>
      <c r="E27">
        <f>RM!I37</f>
        <v>55.510809491423799</v>
      </c>
      <c r="F27">
        <f>Conventional!K37</f>
        <v>2.0965984591334967</v>
      </c>
      <c r="G27">
        <f>'Mark II'!J37</f>
        <v>2.6123429339809472</v>
      </c>
      <c r="H27">
        <f>'Air Balanced'!J37</f>
        <v>2.7346762642269251</v>
      </c>
      <c r="I27">
        <f>RM!J37</f>
        <v>2.7565883404278706</v>
      </c>
      <c r="J27">
        <f>Conventional!L37</f>
        <v>-0.7878972954610205</v>
      </c>
      <c r="K27">
        <f>'Mark II'!K37</f>
        <v>-0.94689218829436006</v>
      </c>
      <c r="L27">
        <f>'Air Balanced'!K37</f>
        <v>-0.12772646750895014</v>
      </c>
      <c r="M27">
        <f>RM!K37</f>
        <v>-0.46552647378214229</v>
      </c>
    </row>
    <row r="28" spans="1:13" x14ac:dyDescent="0.2">
      <c r="A28">
        <f t="shared" si="0"/>
        <v>115</v>
      </c>
      <c r="B28">
        <f>Conventional!J38</f>
        <v>75.915864896371119</v>
      </c>
      <c r="C28">
        <f>'Mark II'!I38</f>
        <v>82.7888224639686</v>
      </c>
      <c r="D28">
        <f>'Air Balanced'!I38</f>
        <v>58.50937509876654</v>
      </c>
      <c r="E28">
        <f>RM!I38</f>
        <v>59.239210143814411</v>
      </c>
      <c r="F28">
        <f>Conventional!K38</f>
        <v>1.9824272710659214</v>
      </c>
      <c r="G28">
        <f>'Mark II'!J38</f>
        <v>2.4792692652333757</v>
      </c>
      <c r="H28">
        <f>'Air Balanced'!J38</f>
        <v>2.6961207996447349</v>
      </c>
      <c r="I28">
        <f>RM!J38</f>
        <v>2.6919052710260214</v>
      </c>
      <c r="J28">
        <f>Conventional!L38</f>
        <v>-0.81241821329447739</v>
      </c>
      <c r="K28">
        <f>'Mark II'!K38</f>
        <v>-1.152996385884395</v>
      </c>
      <c r="L28">
        <f>'Air Balanced'!K38</f>
        <v>-0.33405790745639385</v>
      </c>
      <c r="M28">
        <f>RM!K38</f>
        <v>-0.5604365307588518</v>
      </c>
    </row>
    <row r="29" spans="1:13" x14ac:dyDescent="0.2">
      <c r="A29">
        <f t="shared" si="0"/>
        <v>120</v>
      </c>
      <c r="B29">
        <f>Conventional!J39</f>
        <v>79.062617836918506</v>
      </c>
      <c r="C29">
        <f>'Mark II'!I39</f>
        <v>86.004968896252805</v>
      </c>
      <c r="D29">
        <f>'Air Balanced'!I39</f>
        <v>62.155527491913844</v>
      </c>
      <c r="E29">
        <f>RM!I39</f>
        <v>62.865672161018551</v>
      </c>
      <c r="F29">
        <f>Conventional!K39</f>
        <v>1.8660244937446004</v>
      </c>
      <c r="G29">
        <f>'Mark II'!J39</f>
        <v>2.3220577241091958</v>
      </c>
      <c r="H29">
        <f>'Air Balanced'!J39</f>
        <v>2.6325220278523531</v>
      </c>
      <c r="I29">
        <f>RM!J39</f>
        <v>2.6183055764213896</v>
      </c>
      <c r="J29">
        <f>Conventional!L39</f>
        <v>-0.82829773408270058</v>
      </c>
      <c r="K29">
        <f>'Mark II'!K39</f>
        <v>-1.362135277711003</v>
      </c>
      <c r="L29">
        <f>'Air Balanced'!K39</f>
        <v>-0.55104180048121532</v>
      </c>
      <c r="M29">
        <f>RM!K39</f>
        <v>-0.63769326178500108</v>
      </c>
    </row>
    <row r="30" spans="1:13" x14ac:dyDescent="0.2">
      <c r="A30">
        <f t="shared" si="0"/>
        <v>125</v>
      </c>
      <c r="B30">
        <f>Conventional!J40</f>
        <v>82.010640162583016</v>
      </c>
      <c r="C30">
        <f>'Mark II'!I40</f>
        <v>88.969736893355361</v>
      </c>
      <c r="D30">
        <f>'Air Balanced'!I40</f>
        <v>65.677685307796324</v>
      </c>
      <c r="E30">
        <f>RM!I40</f>
        <v>66.380154081537256</v>
      </c>
      <c r="F30">
        <f>Conventional!K40</f>
        <v>1.7481772391190546</v>
      </c>
      <c r="G30">
        <f>'Mark II'!J40</f>
        <v>2.1405624939080448</v>
      </c>
      <c r="H30">
        <f>'Air Balanced'!J40</f>
        <v>2.5429979430671503</v>
      </c>
      <c r="I30">
        <f>RM!J40</f>
        <v>2.537455946614505</v>
      </c>
      <c r="J30">
        <f>Conventional!L40</f>
        <v>-0.83857633142854016</v>
      </c>
      <c r="K30">
        <f>'Mark II'!K40</f>
        <v>-1.5725375759658107</v>
      </c>
      <c r="L30">
        <f>'Air Balanced'!K40</f>
        <v>-0.77566769728688845</v>
      </c>
      <c r="M30">
        <f>RM!K40</f>
        <v>-0.70050921301536873</v>
      </c>
    </row>
    <row r="31" spans="1:13" x14ac:dyDescent="0.2">
      <c r="A31">
        <f t="shared" si="0"/>
        <v>130</v>
      </c>
      <c r="B31">
        <f>Conventional!J41</f>
        <v>84.758196511410858</v>
      </c>
      <c r="C31">
        <f>'Mark II'!I41</f>
        <v>91.649624295197668</v>
      </c>
      <c r="D31">
        <f>'Air Balanced'!I41</f>
        <v>69.039335703271036</v>
      </c>
      <c r="E31">
        <f>RM!I41</f>
        <v>69.774399013894921</v>
      </c>
      <c r="F31">
        <f>Conventional!K41</f>
        <v>1.6293009148549107</v>
      </c>
      <c r="G31">
        <f>'Mark II'!J41</f>
        <v>1.9348787041301463</v>
      </c>
      <c r="H31">
        <f>'Air Balanced'!J41</f>
        <v>2.4271115855327419</v>
      </c>
      <c r="I31">
        <f>RM!J41</f>
        <v>2.4506448411622341</v>
      </c>
      <c r="J31">
        <f>Conventional!L41</f>
        <v>-0.84589897500697253</v>
      </c>
      <c r="K31">
        <f>'Mark II'!K41</f>
        <v>-1.7821156392612827</v>
      </c>
      <c r="L31">
        <f>'Air Balanced'!K41</f>
        <v>-1.004079564860709</v>
      </c>
      <c r="M31">
        <f>RM!K41</f>
        <v>-0.7521615040986388</v>
      </c>
    </row>
    <row r="32" spans="1:13" x14ac:dyDescent="0.2">
      <c r="A32">
        <f t="shared" si="0"/>
        <v>135</v>
      </c>
      <c r="B32">
        <f>Conventional!J42</f>
        <v>87.303713987893261</v>
      </c>
      <c r="C32">
        <f>'Mark II'!I42</f>
        <v>94.011651750545312</v>
      </c>
      <c r="D32">
        <f>'Air Balanced'!I42</f>
        <v>72.204094866057204</v>
      </c>
      <c r="E32">
        <f>RM!I42</f>
        <v>73.041415578970657</v>
      </c>
      <c r="F32">
        <f>Conventional!K42</f>
        <v>1.5094918635540646</v>
      </c>
      <c r="G32">
        <f>'Mark II'!J42</f>
        <v>1.7053838227609985</v>
      </c>
      <c r="H32">
        <f>'Air Balanced'!J42</f>
        <v>2.2849561155316138</v>
      </c>
      <c r="I32">
        <f>RM!J42</f>
        <v>2.3587859599846808</v>
      </c>
      <c r="J32">
        <f>Conventional!L42</f>
        <v>-0.85253606484964783</v>
      </c>
      <c r="K32">
        <f>'Mark II'!K42</f>
        <v>-1.9884231891098605</v>
      </c>
      <c r="L32">
        <f>'Air Balanced'!K42</f>
        <v>-1.2316842594601516</v>
      </c>
      <c r="M32">
        <f>RM!K42</f>
        <v>-0.79589718240961871</v>
      </c>
    </row>
    <row r="33" spans="1:13" x14ac:dyDescent="0.2">
      <c r="A33">
        <f t="shared" si="0"/>
        <v>140</v>
      </c>
      <c r="B33">
        <f>Conventional!J43</f>
        <v>89.645324038397419</v>
      </c>
      <c r="C33">
        <f>'Mark II'!I43</f>
        <v>96.023817504554714</v>
      </c>
      <c r="D33">
        <f>'Air Balanced'!I43</f>
        <v>75.136529852027181</v>
      </c>
      <c r="E33">
        <f>RM!I43</f>
        <v>76.174970623705846</v>
      </c>
      <c r="F33">
        <f>Conventional!K43</f>
        <v>1.388574759948966</v>
      </c>
      <c r="G33">
        <f>'Mark II'!J43</f>
        <v>1.4527836743947882</v>
      </c>
      <c r="H33">
        <f>'Air Balanced'!J43</f>
        <v>2.1172180598703232</v>
      </c>
      <c r="I33">
        <f>RM!J43</f>
        <v>2.2624267422988065</v>
      </c>
      <c r="J33">
        <f>Conventional!L43</f>
        <v>-0.86042073250086737</v>
      </c>
      <c r="K33">
        <f>'Mark II'!K43</f>
        <v>-2.1886152300540487</v>
      </c>
      <c r="L33">
        <f>'Air Balanced'!K43</f>
        <v>-1.453340647875337</v>
      </c>
      <c r="M33">
        <f>RM!K43</f>
        <v>-0.83488965761671952</v>
      </c>
    </row>
    <row r="34" spans="1:13" x14ac:dyDescent="0.2">
      <c r="A34">
        <f t="shared" si="0"/>
        <v>145</v>
      </c>
      <c r="B34">
        <f>Conventional!J44</f>
        <v>91.780474627366701</v>
      </c>
      <c r="C34">
        <f>'Mark II'!I44</f>
        <v>97.655621134182624</v>
      </c>
      <c r="D34">
        <f>'Air Balanced'!I44</f>
        <v>77.803026165546044</v>
      </c>
      <c r="E34">
        <f>RM!I44</f>
        <v>79.169094169098571</v>
      </c>
      <c r="F34">
        <f>Conventional!K44</f>
        <v>1.2661442992587841</v>
      </c>
      <c r="G34">
        <f>'Mark II'!J44</f>
        <v>1.1781622205913513</v>
      </c>
      <c r="H34">
        <f>'Air Balanced'!J44</f>
        <v>1.9252103383606189</v>
      </c>
      <c r="I34">
        <f>RM!J44</f>
        <v>2.1617571997735476</v>
      </c>
      <c r="J34">
        <f>Conventional!L44</f>
        <v>-0.87118946391156371</v>
      </c>
      <c r="K34">
        <f>'Mark II'!K44</f>
        <v>-2.3794154523710715</v>
      </c>
      <c r="L34">
        <f>'Air Balanced'!K44</f>
        <v>-1.6636214440178383</v>
      </c>
      <c r="M34">
        <f>RM!K44</f>
        <v>-0.8722358058710773</v>
      </c>
    </row>
    <row r="35" spans="1:13" x14ac:dyDescent="0.2">
      <c r="A35">
        <f t="shared" si="0"/>
        <v>150</v>
      </c>
      <c r="B35">
        <f>Conventional!J45</f>
        <v>93.705604634851937</v>
      </c>
      <c r="C35">
        <f>'Mark II'!I45</f>
        <v>98.878659135206078</v>
      </c>
      <c r="D35">
        <f>'Air Balanced'!I45</f>
        <v>80.172650817186764</v>
      </c>
      <c r="E35">
        <f>RM!I45</f>
        <v>82.01759227687495</v>
      </c>
      <c r="F35">
        <f>Conventional!K45</f>
        <v>1.1416020944387453</v>
      </c>
      <c r="G35">
        <f>'Mark II'!J45</f>
        <v>0.88303343673893375</v>
      </c>
      <c r="H35">
        <f>'Air Balanced'!J45</f>
        <v>1.7108689984845997</v>
      </c>
      <c r="I35">
        <f>RM!J45</f>
        <v>2.056615633814546</v>
      </c>
      <c r="J35">
        <f>Conventional!L45</f>
        <v>-0.88621619194996848</v>
      </c>
      <c r="K35">
        <f>'Mark II'!K45</f>
        <v>-2.5570980672200347</v>
      </c>
      <c r="L35">
        <f>'Air Balanced'!K45</f>
        <v>-1.8571276537919821</v>
      </c>
      <c r="M35">
        <f>RM!K45</f>
        <v>-0.91098296678746116</v>
      </c>
    </row>
    <row r="36" spans="1:13" x14ac:dyDescent="0.2">
      <c r="A36">
        <f t="shared" si="0"/>
        <v>155</v>
      </c>
      <c r="B36">
        <f>Conventional!J46</f>
        <v>95.415875753097396</v>
      </c>
      <c r="C36">
        <f>'Mark II'!I46</f>
        <v>99.667291574954049</v>
      </c>
      <c r="D36">
        <f>'Air Balanced'!I46</f>
        <v>82.217957102231352</v>
      </c>
      <c r="E36">
        <f>RM!I46</f>
        <v>84.713560482912825</v>
      </c>
      <c r="F36">
        <f>Conventional!K46</f>
        <v>1.0141907731195567</v>
      </c>
      <c r="G36">
        <f>'Mark II'!J46</f>
        <v>0.56939262149803516</v>
      </c>
      <c r="H36">
        <f>'Air Balanced'!J46</f>
        <v>1.4767111378021931</v>
      </c>
      <c r="I36">
        <f>RM!J46</f>
        <v>1.9464890447593459</v>
      </c>
      <c r="J36">
        <f>Conventional!L46</f>
        <v>-0.90663222281927835</v>
      </c>
      <c r="K36">
        <f>'Mark II'!K46</f>
        <v>-2.7174927229560635</v>
      </c>
      <c r="L36">
        <f>'Air Balanced'!K46</f>
        <v>-2.0288248579466885</v>
      </c>
      <c r="M36">
        <f>RM!K46</f>
        <v>-0.9541749345716366</v>
      </c>
    </row>
    <row r="37" spans="1:13" x14ac:dyDescent="0.2">
      <c r="A37">
        <f t="shared" si="0"/>
        <v>160</v>
      </c>
      <c r="B37">
        <f>Conventional!J47</f>
        <v>96.90496199370186</v>
      </c>
      <c r="C37">
        <f>'Mark II'!I47</f>
        <v>99.999373717295057</v>
      </c>
      <c r="D37">
        <f>'Air Balanced'!I47</f>
        <v>83.915679802687407</v>
      </c>
      <c r="E37">
        <f>RM!I47</f>
        <v>87.248889311234564</v>
      </c>
      <c r="F37">
        <f>Conventional!K47</f>
        <v>0.88302814067844748</v>
      </c>
      <c r="G37">
        <f>'Mark II'!J47</f>
        <v>0.23976330677020782</v>
      </c>
      <c r="H37">
        <f>'Air Balanced'!J47</f>
        <v>1.2257557897292715</v>
      </c>
      <c r="I37">
        <f>RM!J47</f>
        <v>1.8305074140482946</v>
      </c>
      <c r="J37">
        <f>Conventional!L47</f>
        <v>-0.93332576547890911</v>
      </c>
      <c r="K37">
        <f>'Mark II'!K47</f>
        <v>-2.8560226237068438</v>
      </c>
      <c r="L37">
        <f>'Air Balanced'!K47</f>
        <v>-2.1743641102682036</v>
      </c>
      <c r="M37">
        <f>RM!K47</f>
        <v>-1.0049050446823355</v>
      </c>
    </row>
    <row r="38" spans="1:13" x14ac:dyDescent="0.2">
      <c r="A38">
        <f t="shared" si="0"/>
        <v>165</v>
      </c>
      <c r="B38">
        <f>Conventional!J48</f>
        <v>98.164902986831407</v>
      </c>
      <c r="C38">
        <f>'Mark II'!I48</f>
        <v>99.857039465803354</v>
      </c>
      <c r="D38">
        <f>'Air Balanced'!I48</f>
        <v>85.247277960780721</v>
      </c>
      <c r="E38">
        <f>RM!I48</f>
        <v>89.613754632517015</v>
      </c>
      <c r="F38">
        <f>Conventional!K48</f>
        <v>0.74714500892582125</v>
      </c>
      <c r="G38">
        <f>'Mark II'!J48</f>
        <v>-0.10276532957701019</v>
      </c>
      <c r="H38">
        <f>'Air Balanced'!J48</f>
        <v>0.96141387014337265</v>
      </c>
      <c r="I38">
        <f>RM!J48</f>
        <v>1.7074327619659297</v>
      </c>
      <c r="J38">
        <f>Conventional!L48</f>
        <v>-0.96691584789313934</v>
      </c>
      <c r="K38">
        <f>'Mark II'!K48</f>
        <v>-2.9677868167849684</v>
      </c>
      <c r="L38">
        <f>'Air Balanced'!K48</f>
        <v>-2.2903500052924386</v>
      </c>
      <c r="M38">
        <f>RM!K48</f>
        <v>-1.0663614400992134</v>
      </c>
    </row>
    <row r="39" spans="1:13" x14ac:dyDescent="0.2">
      <c r="A39">
        <f t="shared" si="0"/>
        <v>170</v>
      </c>
      <c r="B39">
        <f>Conventional!J49</f>
        <v>99.186034255819408</v>
      </c>
      <c r="C39">
        <f>'Mark II'!I49</f>
        <v>99.22751471065753</v>
      </c>
      <c r="D39">
        <f>'Air Balanced'!I49</f>
        <v>86.199295748961148</v>
      </c>
      <c r="E39">
        <f>RM!I49</f>
        <v>91.796090266762434</v>
      </c>
      <c r="F39">
        <f>Conventional!K49</f>
        <v>0.6055308425098842</v>
      </c>
      <c r="G39">
        <f>'Mark II'!J49</f>
        <v>-0.45451687321528428</v>
      </c>
      <c r="H39">
        <f>'Air Balanced'!J49</f>
        <v>0.68735684306626854</v>
      </c>
      <c r="I39">
        <f>RM!J49</f>
        <v>1.5756463279251924</v>
      </c>
      <c r="J39">
        <f>Conventional!L49</f>
        <v>-1.0076966877906739</v>
      </c>
      <c r="K39">
        <f>'Mark II'!K49</f>
        <v>-3.0476972819732855</v>
      </c>
      <c r="L39">
        <f>'Air Balanced'!K49</f>
        <v>-2.3745250635985737</v>
      </c>
      <c r="M39">
        <f>RM!K49</f>
        <v>-1.1418433382624784</v>
      </c>
    </row>
    <row r="40" spans="1:13" x14ac:dyDescent="0.2">
      <c r="A40">
        <f t="shared" si="0"/>
        <v>175</v>
      </c>
      <c r="B40">
        <f>Conventional!J50</f>
        <v>99.957015001695254</v>
      </c>
      <c r="C40">
        <f>'Mark II'!I50</f>
        <v>98.10392855419056</v>
      </c>
      <c r="D40">
        <f>'Air Balanced'!I50</f>
        <v>86.763528314293865</v>
      </c>
      <c r="E40">
        <f>RM!I50</f>
        <v>93.78104996760905</v>
      </c>
      <c r="F40">
        <f>Conventional!K50</f>
        <v>0.45719158230437679</v>
      </c>
      <c r="G40">
        <f>'Mark II'!J50</f>
        <v>-0.81122920496915274</v>
      </c>
      <c r="H40">
        <f>'Air Balanced'!J50</f>
        <v>0.40737591217022112</v>
      </c>
      <c r="I40">
        <f>RM!J50</f>
        <v>1.433140904011257</v>
      </c>
      <c r="J40">
        <f>Conventional!L50</f>
        <v>-1.055551043808481</v>
      </c>
      <c r="K40">
        <f>'Mark II'!K50</f>
        <v>-3.0906792694862957</v>
      </c>
      <c r="L40">
        <f>'Air Balanced'!K50</f>
        <v>-2.4258518193561289</v>
      </c>
      <c r="M40">
        <f>RM!K50</f>
        <v>-1.2347163814455939</v>
      </c>
    </row>
    <row r="41" spans="1:13" x14ac:dyDescent="0.2">
      <c r="A41">
        <f t="shared" si="0"/>
        <v>180</v>
      </c>
      <c r="B41">
        <f>Conventional!J51</f>
        <v>100.46498051177709</v>
      </c>
      <c r="C41">
        <f>'Mark II'!I51</f>
        <v>96.486079684376051</v>
      </c>
      <c r="D41">
        <f>'Air Balanced'!I51</f>
        <v>86.93699637155774</v>
      </c>
      <c r="E41">
        <f>RM!I51</f>
        <v>95.550483305170829</v>
      </c>
      <c r="F41">
        <f>Conventional!K51</f>
        <v>0.30122354747852603</v>
      </c>
      <c r="G41">
        <f>'Mark II'!J51</f>
        <v>-1.1680868840060754</v>
      </c>
      <c r="H41">
        <f>'Air Balanced'!J51</f>
        <v>0.12524393734451786</v>
      </c>
      <c r="I41">
        <f>RM!J51</f>
        <v>1.2775308697196042</v>
      </c>
      <c r="J41">
        <f>Conventional!L51</f>
        <v>-1.1098358029634441</v>
      </c>
      <c r="K41">
        <f>'Mark II'!K51</f>
        <v>-3.0919386087202465</v>
      </c>
      <c r="L41">
        <f>'Air Balanced'!K51</f>
        <v>-2.4444892094582715</v>
      </c>
      <c r="M41">
        <f>RM!K51</f>
        <v>-1.3482592674735794</v>
      </c>
    </row>
    <row r="42" spans="1:13" x14ac:dyDescent="0.2">
      <c r="A42">
        <f t="shared" si="0"/>
        <v>185</v>
      </c>
      <c r="B42">
        <f>Conventional!J52</f>
        <v>100.69585020865533</v>
      </c>
      <c r="C42">
        <f>'Mark II'!I52</f>
        <v>94.381105106695983</v>
      </c>
      <c r="D42">
        <f>'Air Balanced'!I52</f>
        <v>86.721748387071571</v>
      </c>
      <c r="E42">
        <f>RM!I52</f>
        <v>97.082478114477922</v>
      </c>
      <c r="F42">
        <f>Conventional!K52</f>
        <v>0.13690573024879882</v>
      </c>
      <c r="G42">
        <f>'Mark II'!J52</f>
        <v>-1.5197916450850089</v>
      </c>
      <c r="H42">
        <f>'Air Balanced'!J52</f>
        <v>-0.15540904479901385</v>
      </c>
      <c r="I42">
        <f>RM!J52</f>
        <v>1.1061002523197214</v>
      </c>
      <c r="J42">
        <f>Conventional!L52</f>
        <v>-1.1692511021888548</v>
      </c>
      <c r="K42">
        <f>'Mark II'!K52</f>
        <v>-3.0472919416655455</v>
      </c>
      <c r="L42">
        <f>'Air Balanced'!K52</f>
        <v>-2.4316747042797298</v>
      </c>
      <c r="M42">
        <f>RM!K52</f>
        <v>-1.4853342825238849</v>
      </c>
    </row>
    <row r="43" spans="1:13" x14ac:dyDescent="0.2">
      <c r="A43">
        <f t="shared" si="0"/>
        <v>190</v>
      </c>
      <c r="B43">
        <f>Conventional!J53</f>
        <v>100.6348208031481</v>
      </c>
      <c r="C43">
        <f>'Mark II'!I53</f>
        <v>91.803990765202812</v>
      </c>
      <c r="D43">
        <f>'Air Balanced'!I53</f>
        <v>86.124520604733249</v>
      </c>
      <c r="E43">
        <f>RM!I53</f>
        <v>98.351063704889086</v>
      </c>
      <c r="F43">
        <f>Conventional!K53</f>
        <v>-3.6190437465785819E-2</v>
      </c>
      <c r="G43">
        <f>'Mark II'!J53</f>
        <v>-1.8606765545580697</v>
      </c>
      <c r="H43">
        <f>'Air Balanced'!J53</f>
        <v>-0.43119845884826868</v>
      </c>
      <c r="I43">
        <f>RM!J53</f>
        <v>0.91591879627686001</v>
      </c>
      <c r="J43">
        <f>Conventional!L53</f>
        <v>-1.2317160019353544</v>
      </c>
      <c r="K43">
        <f>'Mark II'!K53</f>
        <v>-2.9535449974744981</v>
      </c>
      <c r="L43">
        <f>'Air Balanced'!K53</f>
        <v>-2.3895350647253326</v>
      </c>
      <c r="M43">
        <f>RM!K53</f>
        <v>-1.6477980470772342</v>
      </c>
    </row>
    <row r="44" spans="1:13" x14ac:dyDescent="0.2">
      <c r="A44">
        <f t="shared" si="0"/>
        <v>195</v>
      </c>
      <c r="B44">
        <f>Conventional!J54</f>
        <v>100.26706368096234</v>
      </c>
      <c r="C44">
        <f>'Mark II'!I54</f>
        <v>88.777860379532882</v>
      </c>
      <c r="D44">
        <f>'Air Balanced'!I54</f>
        <v>85.156291928062117</v>
      </c>
      <c r="E44">
        <f>RM!I54</f>
        <v>99.326223140124426</v>
      </c>
      <c r="F44">
        <f>Conventional!K54</f>
        <v>-0.21807997345615845</v>
      </c>
      <c r="G44">
        <f>'Mark II'!J54</f>
        <v>-2.1848661384536894</v>
      </c>
      <c r="H44">
        <f>'Air Balanced'!J54</f>
        <v>-0.6990611045565569</v>
      </c>
      <c r="I44">
        <f>RM!J54</f>
        <v>0.70406511223991597</v>
      </c>
      <c r="J44">
        <f>Conventional!L54</f>
        <v>-1.2942877651303664</v>
      </c>
      <c r="K44">
        <f>'Mark II'!K54</f>
        <v>-2.8088909105080693</v>
      </c>
      <c r="L44">
        <f>'Air Balanced'!K54</f>
        <v>-2.3208547966084736</v>
      </c>
      <c r="M44">
        <f>RM!K54</f>
        <v>-1.8355737414457411</v>
      </c>
    </row>
    <row r="45" spans="1:13" x14ac:dyDescent="0.2">
      <c r="A45">
        <f t="shared" si="0"/>
        <v>200</v>
      </c>
      <c r="B45">
        <f>Conventional!J55</f>
        <v>99.57862368955314</v>
      </c>
      <c r="C45">
        <f>'Mark II'!I55</f>
        <v>85.33398225294826</v>
      </c>
      <c r="D45">
        <f>'Air Balanced'!I55</f>
        <v>83.831772694929455</v>
      </c>
      <c r="E45">
        <f>RM!I55</f>
        <v>99.974419861141058</v>
      </c>
      <c r="F45">
        <f>Conventional!K55</f>
        <v>-0.40824491490565396</v>
      </c>
      <c r="G45">
        <f>'Mark II'!J55</f>
        <v>-2.4864800073940971</v>
      </c>
      <c r="H45">
        <f>'Air Balanced'!J55</f>
        <v>-0.95630288632178206</v>
      </c>
      <c r="I45">
        <f>RM!J55</f>
        <v>0.46799803257400807</v>
      </c>
      <c r="J45">
        <f>Conventional!L55</f>
        <v>-1.3531738136263072</v>
      </c>
      <c r="K45">
        <f>'Mark II'!K55</f>
        <v>-2.6132870919833717</v>
      </c>
      <c r="L45">
        <f>'Air Balanced'!K55</f>
        <v>-2.2288319504919305</v>
      </c>
      <c r="M45">
        <f>RM!K55</f>
        <v>-2.0453669929051421</v>
      </c>
    </row>
    <row r="46" spans="1:13" x14ac:dyDescent="0.2">
      <c r="A46">
        <f t="shared" si="0"/>
        <v>205</v>
      </c>
      <c r="B46">
        <f>Conventional!J56</f>
        <v>98.557482374674962</v>
      </c>
      <c r="C46">
        <f>'Mark II'!I56</f>
        <v>81.511445597001739</v>
      </c>
      <c r="D46">
        <f>'Air Balanced'!I56</f>
        <v>82.168864312737469</v>
      </c>
      <c r="E46">
        <f>RM!I56</f>
        <v>100.25987736742429</v>
      </c>
      <c r="F46">
        <f>Conventional!K56</f>
        <v>-0.60553679972275987</v>
      </c>
      <c r="G46">
        <f>'Mark II'!J56</f>
        <v>-2.7598714655933883</v>
      </c>
      <c r="H46">
        <f>'Air Balanced'!J56</f>
        <v>-1.2006198519426141</v>
      </c>
      <c r="I46">
        <f>RM!J56</f>
        <v>0.20610031953649691</v>
      </c>
      <c r="J46">
        <f>Conventional!L56</f>
        <v>-1.4038876469056698</v>
      </c>
      <c r="K46">
        <f>'Mark II'!K56</f>
        <v>-2.3687583441724249</v>
      </c>
      <c r="L46">
        <f>'Air Balanced'!K56</f>
        <v>-2.116846864013449</v>
      </c>
      <c r="M46">
        <f>RM!K56</f>
        <v>-2.2691725526591031</v>
      </c>
    </row>
    <row r="47" spans="1:13" x14ac:dyDescent="0.2">
      <c r="A47">
        <f t="shared" si="0"/>
        <v>210</v>
      </c>
      <c r="B47">
        <f>Conventional!J57</f>
        <v>97.194706474924331</v>
      </c>
      <c r="C47">
        <f>'Mark II'!I57</f>
        <v>77.356478764866978</v>
      </c>
      <c r="D47">
        <f>'Air Balanced'!I57</f>
        <v>80.188121665446744</v>
      </c>
      <c r="E47">
        <f>RM!I57</f>
        <v>100.14681291300874</v>
      </c>
      <c r="F47">
        <f>Conventional!K57</f>
        <v>-0.80812610855212397</v>
      </c>
      <c r="G47">
        <f>'Mark II'!J57</f>
        <v>-2.9998860528012972</v>
      </c>
      <c r="H47">
        <f>'Air Balanced'!J57</f>
        <v>-1.4300961913439036</v>
      </c>
      <c r="I47">
        <f>RM!J57</f>
        <v>-8.1632536088027188E-2</v>
      </c>
      <c r="J47">
        <f>Conventional!L57</f>
        <v>-1.4415830044117504</v>
      </c>
      <c r="K47">
        <f>'Mark II'!K57</f>
        <v>-2.0795695663519767</v>
      </c>
      <c r="L47">
        <f>'Air Balanced'!K57</f>
        <v>-1.9882625350741754</v>
      </c>
      <c r="M47">
        <f>RM!K57</f>
        <v>-2.4930171818181495</v>
      </c>
    </row>
    <row r="48" spans="1:13" x14ac:dyDescent="0.2">
      <c r="A48">
        <f t="shared" si="0"/>
        <v>215</v>
      </c>
      <c r="B48">
        <f>Conventional!J58</f>
        <v>95.485562033644541</v>
      </c>
      <c r="C48">
        <f>'Mark II'!I58</f>
        <v>72.921410764683642</v>
      </c>
      <c r="D48">
        <f>'Air Balanced'!I58</f>
        <v>77.912243414004323</v>
      </c>
      <c r="E48">
        <f>RM!I58</f>
        <v>99.602659372895289</v>
      </c>
      <c r="F48">
        <f>Conventional!K58</f>
        <v>-1.0135226536789153</v>
      </c>
      <c r="G48">
        <f>'Mark II'!J58</f>
        <v>-3.202119096132368</v>
      </c>
      <c r="H48">
        <f>'Air Balanced'!J58</f>
        <v>-1.643184097541428</v>
      </c>
      <c r="I48">
        <f>RM!J58</f>
        <v>-0.39287885596191507</v>
      </c>
      <c r="J48">
        <f>Conventional!L58</f>
        <v>-1.4615587087523501</v>
      </c>
      <c r="K48">
        <f>'Mark II'!K58</f>
        <v>-1.7522171761074419</v>
      </c>
      <c r="L48">
        <f>'Air Balanced'!K58</f>
        <v>-1.846267469994151</v>
      </c>
      <c r="M48">
        <f>RM!K58</f>
        <v>-2.6967459852267739</v>
      </c>
    </row>
    <row r="49" spans="1:13" x14ac:dyDescent="0.2">
      <c r="A49">
        <f t="shared" si="0"/>
        <v>220</v>
      </c>
      <c r="B49">
        <f>Conventional!J59</f>
        <v>93.430450253710816</v>
      </c>
      <c r="C49">
        <f>'Mark II'!I59</f>
        <v>68.263311666077527</v>
      </c>
      <c r="D49">
        <f>'Air Balanced'!I59</f>
        <v>75.36560794048016</v>
      </c>
      <c r="E49">
        <f>RM!I59</f>
        <v>98.601988066569717</v>
      </c>
      <c r="F49">
        <f>Conventional!K59</f>
        <v>-1.2186812855006988</v>
      </c>
      <c r="G49">
        <f>'Mark II'!J59</f>
        <v>-3.3631475491936151</v>
      </c>
      <c r="H49">
        <f>'Air Balanced'!J59</f>
        <v>-1.8386708118844453</v>
      </c>
      <c r="I49">
        <f>RM!J59</f>
        <v>-0.72248468316706271</v>
      </c>
      <c r="J49">
        <f>Conventional!L59</f>
        <v>-1.4598657676045301</v>
      </c>
      <c r="K49">
        <f>'Mark II'!K59</f>
        <v>-1.3952063255756681</v>
      </c>
      <c r="L49">
        <f>'Air Balanced'!K59</f>
        <v>-1.6937646436536473</v>
      </c>
      <c r="M49">
        <f>RM!K59</f>
        <v>-2.8558191196701856</v>
      </c>
    </row>
    <row r="50" spans="1:13" x14ac:dyDescent="0.2">
      <c r="A50">
        <f t="shared" si="0"/>
        <v>225</v>
      </c>
      <c r="B50">
        <f>Conventional!J60</f>
        <v>91.035526996386778</v>
      </c>
      <c r="C50">
        <f>'Mark II'!I60</f>
        <v>63.442382344235085</v>
      </c>
      <c r="D50">
        <f>'Air Balanced'!I60</f>
        <v>72.573865628589957</v>
      </c>
      <c r="E50">
        <f>RM!I60</f>
        <v>97.130443377133346</v>
      </c>
      <c r="F50">
        <f>Conventional!K60</f>
        <v>-1.4201894915931546</v>
      </c>
      <c r="G50">
        <f>'Mark II'!J60</f>
        <v>-3.480710970370243</v>
      </c>
      <c r="H50">
        <f>'Air Balanced'!J60</f>
        <v>-2.0156379491847267</v>
      </c>
      <c r="I50">
        <f>RM!J60</f>
        <v>-1.0624552657730597</v>
      </c>
      <c r="J50">
        <f>Conventional!L60</f>
        <v>-1.4338901042258809</v>
      </c>
      <c r="K50">
        <f>'Mark II'!K60</f>
        <v>-1.0186102254833234</v>
      </c>
      <c r="L50">
        <f>'Air Balanced'!K60</f>
        <v>-1.5333046097540286</v>
      </c>
      <c r="M50">
        <f>RM!K60</f>
        <v>-2.9456229526164623</v>
      </c>
    </row>
    <row r="51" spans="1:13" x14ac:dyDescent="0.2">
      <c r="A51">
        <f t="shared" si="0"/>
        <v>230</v>
      </c>
      <c r="B51">
        <f>Conventional!J61</f>
        <v>88.312909364908307</v>
      </c>
      <c r="C51">
        <f>'Mark II'!I61</f>
        <v>58.520193691867938</v>
      </c>
      <c r="D51">
        <f>'Air Balanced'!I61</f>
        <v>69.563592010247234</v>
      </c>
      <c r="E51">
        <f>RM!I61</f>
        <v>95.18772214437827</v>
      </c>
      <c r="F51">
        <f>Conventional!K61</f>
        <v>-1.6145122554667333</v>
      </c>
      <c r="G51">
        <f>'Mark II'!J61</f>
        <v>-3.5538202070090801</v>
      </c>
      <c r="H51">
        <f>'Air Balanced'!J61</f>
        <v>-2.1734175524434458</v>
      </c>
      <c r="I51">
        <f>RM!J61</f>
        <v>-1.4026447300491651</v>
      </c>
      <c r="J51">
        <f>Conventional!L61</f>
        <v>-1.3827600053980078</v>
      </c>
      <c r="K51">
        <f>'Mark II'!K61</f>
        <v>-0.6334437639894438</v>
      </c>
      <c r="L51">
        <f>'Air Balanced'!K61</f>
        <v>-1.3670571649201388</v>
      </c>
      <c r="M51">
        <f>RM!K61</f>
        <v>-2.9475194192649479</v>
      </c>
    </row>
    <row r="52" spans="1:13" x14ac:dyDescent="0.2">
      <c r="A52">
        <f t="shared" si="0"/>
        <v>235</v>
      </c>
      <c r="B52">
        <f>Conventional!J62</f>
        <v>85.280442459800071</v>
      </c>
      <c r="C52">
        <f>'Mark II'!I62</f>
        <v>53.557894424931781</v>
      </c>
      <c r="D52">
        <f>'Air Balanced'!I62</f>
        <v>66.362001325096998</v>
      </c>
      <c r="E52">
        <f>RM!I62</f>
        <v>92.788717786071928</v>
      </c>
      <c r="F52">
        <f>Conventional!K62</f>
        <v>-1.7982528747291842</v>
      </c>
      <c r="G52">
        <f>'Mark II'!J62</f>
        <v>-3.5827800707279049</v>
      </c>
      <c r="H52">
        <f>'Air Balanced'!J62</f>
        <v>-2.3115484746784705</v>
      </c>
      <c r="I52">
        <f>RM!J62</f>
        <v>-1.7320811466971793</v>
      </c>
      <c r="J52">
        <f>Conventional!L62</f>
        <v>-1.307459685209452</v>
      </c>
      <c r="K52">
        <f>'Mark II'!K62</f>
        <v>-0.25091829599173826</v>
      </c>
      <c r="L52">
        <f>'Air Balanced'!K62</f>
        <v>-1.1968141828115659</v>
      </c>
      <c r="M52">
        <f>RM!K62</f>
        <v>-2.85435128788991</v>
      </c>
    </row>
    <row r="53" spans="1:13" x14ac:dyDescent="0.2">
      <c r="A53">
        <f t="shared" si="0"/>
        <v>240</v>
      </c>
      <c r="B53">
        <f>Conventional!J63</f>
        <v>81.961077285615445</v>
      </c>
      <c r="C53">
        <f>'Mark II'!I63</f>
        <v>48.614510992423078</v>
      </c>
      <c r="D53">
        <f>'Air Balanced'!I63</f>
        <v>62.996716290880308</v>
      </c>
      <c r="E53">
        <f>RM!I63</f>
        <v>89.962467824436573</v>
      </c>
      <c r="F53">
        <f>Conventional!K63</f>
        <v>-1.9683835482914827</v>
      </c>
      <c r="G53">
        <f>'Mark II'!J63</f>
        <v>-3.5691228382712836</v>
      </c>
      <c r="H53">
        <f>'Air Balanced'!J63</f>
        <v>-2.4297357947044502</v>
      </c>
      <c r="I53">
        <f>RM!J63</f>
        <v>-2.0405524723007264</v>
      </c>
      <c r="J53">
        <f>Conventional!L63</f>
        <v>-1.2106141679130189</v>
      </c>
      <c r="K53">
        <f>'Mark II'!K63</f>
        <v>0.11833099524397683</v>
      </c>
      <c r="L53">
        <f>'Air Balanced'!K63</f>
        <v>-1.0240159013411423</v>
      </c>
      <c r="M53">
        <f>RM!K63</f>
        <v>-2.6727024731280578</v>
      </c>
    </row>
    <row r="54" spans="1:13" x14ac:dyDescent="0.2">
      <c r="A54">
        <f t="shared" si="0"/>
        <v>245</v>
      </c>
      <c r="B54">
        <f>Conventional!J64</f>
        <v>78.381973265460701</v>
      </c>
      <c r="C54">
        <f>'Mark II'!I64</f>
        <v>43.745451718879238</v>
      </c>
      <c r="D54">
        <f>'Air Balanced'!I64</f>
        <v>59.495587265965021</v>
      </c>
      <c r="E54">
        <f>RM!I64</f>
        <v>86.749259107348308</v>
      </c>
      <c r="F54">
        <f>Conventional!K64</f>
        <v>-2.1224086839517633</v>
      </c>
      <c r="G54">
        <f>'Mark II'!J64</f>
        <v>-3.5154607954986523</v>
      </c>
      <c r="H54">
        <f>'Air Balanced'!J64</f>
        <v>-2.5278151559888369</v>
      </c>
      <c r="I54">
        <f>RM!J64</f>
        <v>-2.3199366937377266</v>
      </c>
      <c r="J54">
        <f>Conventional!L64</f>
        <v>-1.0960105402555802</v>
      </c>
      <c r="K54">
        <f>'Mark II'!K64</f>
        <v>0.4649465364435354</v>
      </c>
      <c r="L54">
        <f>'Air Balanced'!K64</f>
        <v>-0.84979357791104237</v>
      </c>
      <c r="M54">
        <f>RM!K64</f>
        <v>-2.4206817217990406</v>
      </c>
    </row>
    <row r="55" spans="1:13" x14ac:dyDescent="0.2">
      <c r="A55">
        <f t="shared" si="0"/>
        <v>250</v>
      </c>
      <c r="B55">
        <f>Conventional!J65</f>
        <v>74.573469207150723</v>
      </c>
      <c r="C55">
        <f>'Mark II'!I65</f>
        <v>39.001302181902744</v>
      </c>
      <c r="D55">
        <f>'Air Balanced'!I65</f>
        <v>55.88655231977701</v>
      </c>
      <c r="E55">
        <f>RM!I65</f>
        <v>83.196767174722567</v>
      </c>
      <c r="F55">
        <f>Conventional!K65</f>
        <v>-2.2584429065778169</v>
      </c>
      <c r="G55">
        <f>'Mark II'!J65</f>
        <v>-3.4252759656970282</v>
      </c>
      <c r="H55">
        <f>'Air Balanced'!J65</f>
        <v>-2.6057232311477438</v>
      </c>
      <c r="I55">
        <f>RM!J65</f>
        <v>-2.5648991753557855</v>
      </c>
      <c r="J55">
        <f>Conventional!L65</f>
        <v>-0.96799097883915597</v>
      </c>
      <c r="K55">
        <f>'Mark II'!K65</f>
        <v>0.78139262110611551</v>
      </c>
      <c r="L55">
        <f>'Air Balanced'!K65</f>
        <v>-0.67502256407933303</v>
      </c>
      <c r="M55">
        <f>RM!K65</f>
        <v>-2.1224398383323955</v>
      </c>
    </row>
    <row r="56" spans="1:13" x14ac:dyDescent="0.2">
      <c r="A56">
        <f t="shared" si="0"/>
        <v>255</v>
      </c>
      <c r="B56">
        <f>Conventional!J66</f>
        <v>70.568061622132916</v>
      </c>
      <c r="C56">
        <f>'Mark II'!I66</f>
        <v>34.426964649659254</v>
      </c>
      <c r="D56">
        <f>'Air Balanced'!I66</f>
        <v>52.19752880851275</v>
      </c>
      <c r="E56">
        <f>RM!I66</f>
        <v>79.35619738731873</v>
      </c>
      <c r="F56">
        <f>Conventional!K66</f>
        <v>-2.3752066979155591</v>
      </c>
      <c r="G56">
        <f>'Mark II'!J66</f>
        <v>-3.3026716982797995</v>
      </c>
      <c r="H56">
        <f>'Air Balanced'!J66</f>
        <v>-2.6634749751327957</v>
      </c>
      <c r="I56">
        <f>RM!J66</f>
        <v>-2.7728913865055702</v>
      </c>
      <c r="J56">
        <f>Conventional!L66</f>
        <v>-0.83086663405789052</v>
      </c>
      <c r="K56">
        <f>'Mark II'!K66</f>
        <v>1.0622858643374433</v>
      </c>
      <c r="L56">
        <f>'Air Balanced'!K66</f>
        <v>-0.50038112513149491</v>
      </c>
      <c r="M56">
        <f>RM!K66</f>
        <v>-1.8021166020658173</v>
      </c>
    </row>
    <row r="57" spans="1:13" x14ac:dyDescent="0.2">
      <c r="A57">
        <f t="shared" si="0"/>
        <v>260</v>
      </c>
      <c r="B57">
        <f>Conventional!J67</f>
        <v>66.399498048132017</v>
      </c>
      <c r="C57">
        <f>'Mark II'!I67</f>
        <v>30.061157287285212</v>
      </c>
      <c r="D57">
        <f>'Air Balanced'!I67</f>
        <v>48.456326697530535</v>
      </c>
      <c r="E57">
        <f>RM!I67</f>
        <v>75.279119853469822</v>
      </c>
      <c r="F57">
        <f>Conventional!K67</f>
        <v>-2.471958199382533</v>
      </c>
      <c r="G57">
        <f>'Mark II'!J67</f>
        <v>-3.1521129156340586</v>
      </c>
      <c r="H57">
        <f>'Air Balanced'!J67</f>
        <v>-2.7011479241291587</v>
      </c>
      <c r="I57">
        <f>RM!J67</f>
        <v>-2.943649979438911</v>
      </c>
      <c r="J57">
        <f>Conventional!L67</f>
        <v>-0.68846337929700674</v>
      </c>
      <c r="K57">
        <f>'Mark II'!K67</f>
        <v>1.304493472581602</v>
      </c>
      <c r="L57">
        <f>'Air Balanced'!K67</f>
        <v>-0.32641148656395136</v>
      </c>
      <c r="M57">
        <f>RM!K67</f>
        <v>-1.4795116296396504</v>
      </c>
    </row>
    <row r="58" spans="1:13" x14ac:dyDescent="0.2">
      <c r="A58">
        <f t="shared" si="0"/>
        <v>265</v>
      </c>
      <c r="B58">
        <f>Conventional!J68</f>
        <v>62.102050187383547</v>
      </c>
      <c r="C58">
        <f>'Mark II'!I68</f>
        <v>25.936254766267691</v>
      </c>
      <c r="D58">
        <f>'Air Balanced'!I68</f>
        <v>44.690573936481563</v>
      </c>
      <c r="E58">
        <f>RM!I68</f>
        <v>71.015288000096547</v>
      </c>
      <c r="F58">
        <f>Conventional!K68</f>
        <v>-2.5483865814238427</v>
      </c>
      <c r="G58">
        <f>'Mark II'!J68</f>
        <v>-2.9781796201746502</v>
      </c>
      <c r="H58">
        <f>'Air Balanced'!J68</f>
        <v>-2.718873493477358</v>
      </c>
      <c r="I58">
        <f>RM!J68</f>
        <v>-3.078486598135505</v>
      </c>
      <c r="J58">
        <f>Conventional!L68</f>
        <v>-0.54384832665696503</v>
      </c>
      <c r="K58">
        <f>'Mark II'!K68</f>
        <v>1.5070183525944179</v>
      </c>
      <c r="L58">
        <f>'Air Balanced'!K68</f>
        <v>-0.15358047605184033</v>
      </c>
      <c r="M58">
        <f>RM!K68</f>
        <v>-1.168271195235099</v>
      </c>
    </row>
    <row r="59" spans="1:13" x14ac:dyDescent="0.2">
      <c r="A59">
        <f t="shared" si="0"/>
        <v>270</v>
      </c>
      <c r="B59">
        <f>Conventional!J69</f>
        <v>57.709990603342376</v>
      </c>
      <c r="C59">
        <f>'Mark II'!I69</f>
        <v>22.078425399638842</v>
      </c>
      <c r="D59">
        <f>'Air Balanced'!I69</f>
        <v>40.927644591052278</v>
      </c>
      <c r="E59">
        <f>RM!I69</f>
        <v>66.611407550685556</v>
      </c>
      <c r="F59">
        <f>Conventional!K69</f>
        <v>-2.6044913333364144</v>
      </c>
      <c r="G59">
        <f>'Mark II'!J69</f>
        <v>-2.7853528027060288</v>
      </c>
      <c r="H59">
        <f>'Air Balanced'!J69</f>
        <v>-2.7168349873999436</v>
      </c>
      <c r="I59">
        <f>RM!J69</f>
        <v>-3.1796016844747355</v>
      </c>
      <c r="J59">
        <f>Conventional!L69</f>
        <v>-0.39922963996103228</v>
      </c>
      <c r="K59">
        <f>'Mark II'!K69</f>
        <v>1.6707183752831469</v>
      </c>
      <c r="L59">
        <f>'Air Balanced'!K69</f>
        <v>1.76623231476443E-2</v>
      </c>
      <c r="M59">
        <f>RM!K69</f>
        <v>-0.87609615188916856</v>
      </c>
    </row>
    <row r="60" spans="1:13" x14ac:dyDescent="0.2">
      <c r="A60">
        <f t="shared" si="0"/>
        <v>275</v>
      </c>
      <c r="B60">
        <f>Conventional!J70</f>
        <v>53.25726544340796</v>
      </c>
      <c r="C60">
        <f>'Mark II'!I70</f>
        <v>18.508003319562864</v>
      </c>
      <c r="D60">
        <f>'Air Balanced'!I70</f>
        <v>37.194581133869619</v>
      </c>
      <c r="E60">
        <f>RM!I70</f>
        <v>62.11065392234007</v>
      </c>
      <c r="F60">
        <f>Conventional!K70</f>
        <v>-2.6404660198411092</v>
      </c>
      <c r="G60">
        <f>'Mark II'!J70</f>
        <v>-2.5778447418148565</v>
      </c>
      <c r="H60">
        <f>'Air Balanced'!J70</f>
        <v>-2.6952718160858797</v>
      </c>
      <c r="I60">
        <f>RM!J70</f>
        <v>-3.24954411966544</v>
      </c>
      <c r="J60">
        <f>Conventional!L70</f>
        <v>-0.25598831919551029</v>
      </c>
      <c r="K60">
        <f>'Mark II'!K70</f>
        <v>1.7979217564313743</v>
      </c>
      <c r="L60">
        <f>'Air Balanced'!K70</f>
        <v>0.18683078949662879</v>
      </c>
      <c r="M60">
        <f>RM!K70</f>
        <v>-0.60600549871221243</v>
      </c>
    </row>
    <row r="61" spans="1:13" x14ac:dyDescent="0.2">
      <c r="A61">
        <f t="shared" si="0"/>
        <v>280</v>
      </c>
      <c r="B61">
        <f>Conventional!J71</f>
        <v>48.777336511285327</v>
      </c>
      <c r="C61">
        <f>'Mark II'!I71</f>
        <v>15.240027647387885</v>
      </c>
      <c r="D61">
        <f>'Air Balanced'!I71</f>
        <v>33.518003312372784</v>
      </c>
      <c r="E61">
        <f>RM!I71</f>
        <v>57.552696724326402</v>
      </c>
      <c r="F61">
        <f>Conventional!K71</f>
        <v>-2.656597856748721</v>
      </c>
      <c r="G61">
        <f>'Mark II'!J71</f>
        <v>-2.3594784353103346</v>
      </c>
      <c r="H61">
        <f>'Air Balanced'!J71</f>
        <v>-2.6544891871207148</v>
      </c>
      <c r="I61">
        <f>RM!J71</f>
        <v>-3.2908450969658682</v>
      </c>
      <c r="J61">
        <f>Conventional!L71</f>
        <v>-0.1147907658618989</v>
      </c>
      <c r="K61">
        <f>'Mark II'!K71</f>
        <v>1.8920013596095613</v>
      </c>
      <c r="L61">
        <f>'Air Balanced'!K71</f>
        <v>0.35335483154745084</v>
      </c>
      <c r="M61">
        <f>RM!K71</f>
        <v>-0.35784598117015715</v>
      </c>
    </row>
    <row r="62" spans="1:13" x14ac:dyDescent="0.2">
      <c r="A62">
        <f t="shared" si="0"/>
        <v>285</v>
      </c>
      <c r="B62">
        <f>Conventional!J72</f>
        <v>44.303157451232707</v>
      </c>
      <c r="C62">
        <f>'Mark II'!I72</f>
        <v>12.284882523222032</v>
      </c>
      <c r="D62">
        <f>'Air Balanced'!I72</f>
        <v>29.923997392403898</v>
      </c>
      <c r="E62">
        <f>RM!I72</f>
        <v>52.974022327568754</v>
      </c>
      <c r="F62">
        <f>Conventional!K72</f>
        <v>-2.6531881826112036</v>
      </c>
      <c r="G62">
        <f>'Mark II'!J72</f>
        <v>-2.1336147796477456</v>
      </c>
      <c r="H62">
        <f>'Air Balanced'!J72</f>
        <v>-2.5948722742175359</v>
      </c>
      <c r="I62">
        <f>RM!J72</f>
        <v>-3.3058029144590217</v>
      </c>
      <c r="J62">
        <f>Conventional!L72</f>
        <v>2.4262525577632296E-2</v>
      </c>
      <c r="K62">
        <f>'Mark II'!K72</f>
        <v>1.9569609911003152</v>
      </c>
      <c r="L62">
        <f>'Air Balanced'!K72</f>
        <v>0.51654159505694452</v>
      </c>
      <c r="M62">
        <f>RM!K72</f>
        <v>-0.1295997147492719</v>
      </c>
    </row>
    <row r="63" spans="1:13" x14ac:dyDescent="0.2">
      <c r="A63">
        <f t="shared" si="0"/>
        <v>290</v>
      </c>
      <c r="B63">
        <f>Conventional!J73</f>
        <v>39.86724759965076</v>
      </c>
      <c r="C63">
        <f>'Mark II'!I73</f>
        <v>9.6489797821781274</v>
      </c>
      <c r="D63">
        <f>'Air Balanced'!I73</f>
        <v>26.437981383614165</v>
      </c>
      <c r="E63">
        <f>RM!I73</f>
        <v>48.408401488946545</v>
      </c>
      <c r="F63">
        <f>Conventional!K73</f>
        <v>-2.6304945419880941</v>
      </c>
      <c r="G63">
        <f>'Mark II'!J73</f>
        <v>-1.9031217790336994</v>
      </c>
      <c r="H63">
        <f>'Air Balanced'!J73</f>
        <v>-2.5169035583461872</v>
      </c>
      <c r="I63">
        <f>RM!J73</f>
        <v>-3.2963782454852351</v>
      </c>
      <c r="J63">
        <f>Conventional!L73</f>
        <v>0.16148318398212266</v>
      </c>
      <c r="K63">
        <f>'Mark II'!K73</f>
        <v>1.9970712401697031</v>
      </c>
      <c r="L63">
        <f>'Air Balanced'!K73</f>
        <v>0.67554797622841412</v>
      </c>
      <c r="M63">
        <f>RM!K73</f>
        <v>8.1658598332821158E-2</v>
      </c>
    </row>
    <row r="64" spans="1:13" x14ac:dyDescent="0.2">
      <c r="A64">
        <f t="shared" si="0"/>
        <v>295</v>
      </c>
      <c r="B64">
        <f>Conventional!J74</f>
        <v>35.501829907218948</v>
      </c>
      <c r="C64">
        <f>'Mark II'!I74</f>
        <v>7.3354373225131475</v>
      </c>
      <c r="D64">
        <f>'Air Balanced'!I74</f>
        <v>23.084544130023332</v>
      </c>
      <c r="E64">
        <f>RM!I74</f>
        <v>43.887402182698985</v>
      </c>
      <c r="F64">
        <f>Conventional!K74</f>
        <v>-2.5886926916120645</v>
      </c>
      <c r="G64">
        <f>'Mark II'!J74</f>
        <v>-1.6703776558781154</v>
      </c>
      <c r="H64">
        <f>'Air Balanced'!J74</f>
        <v>-2.4211816970925812</v>
      </c>
      <c r="I64">
        <f>RM!J74</f>
        <v>-3.2641614991107386</v>
      </c>
      <c r="J64">
        <f>Conventional!L74</f>
        <v>0.29745319436280349</v>
      </c>
      <c r="K64">
        <f>'Mark II'!K74</f>
        <v>2.0165757460498215</v>
      </c>
      <c r="L64">
        <f>'Air Balanced'!K74</f>
        <v>0.82936738059646553</v>
      </c>
      <c r="M64">
        <f>RM!K74</f>
        <v>0.27913705607088007</v>
      </c>
    </row>
    <row r="65" spans="1:13" x14ac:dyDescent="0.2">
      <c r="A65">
        <f t="shared" si="0"/>
        <v>300</v>
      </c>
      <c r="B65">
        <f>Conventional!J75</f>
        <v>31.23900365353191</v>
      </c>
      <c r="C65">
        <f>'Mark II'!I75</f>
        <v>5.3447184915892212</v>
      </c>
      <c r="D65">
        <f>'Air Balanced'!I75</f>
        <v>19.887258888597639</v>
      </c>
      <c r="E65">
        <f>RM!I75</f>
        <v>39.44088825492021</v>
      </c>
      <c r="F65">
        <f>Conventional!K75</f>
        <v>-2.5278559684364135</v>
      </c>
      <c r="G65">
        <f>'Mark II'!J75</f>
        <v>-1.4372989959270748</v>
      </c>
      <c r="H65">
        <f>'Air Balanced'!J75</f>
        <v>-2.3084399443093497</v>
      </c>
      <c r="I65">
        <f>RM!J75</f>
        <v>-3.2103830558562749</v>
      </c>
      <c r="J65">
        <f>Conventional!L75</f>
        <v>0.43290135437497312</v>
      </c>
      <c r="K65">
        <f>'Mark II'!K75</f>
        <v>2.0194742887873671</v>
      </c>
      <c r="L65">
        <f>'Air Balanced'!K75</f>
        <v>0.97683361945869596</v>
      </c>
      <c r="M65">
        <f>RM!K75</f>
        <v>0.4659550705594957</v>
      </c>
    </row>
    <row r="66" spans="1:13" x14ac:dyDescent="0.2">
      <c r="A66">
        <f t="shared" si="0"/>
        <v>305</v>
      </c>
      <c r="B66">
        <f>Conventional!J76</f>
        <v>27.110926777659255</v>
      </c>
      <c r="C66">
        <f>'Mark II'!I76</f>
        <v>3.675209427684174</v>
      </c>
      <c r="D66">
        <f>'Air Balanced'!I76</f>
        <v>16.868475127746517</v>
      </c>
      <c r="E66">
        <f>RM!I76</f>
        <v>35.09747144899184</v>
      </c>
      <c r="F66">
        <f>Conventional!K76</f>
        <v>-2.4479495873924839</v>
      </c>
      <c r="G66">
        <f>'Mark II'!J76</f>
        <v>-1.2053855441394441</v>
      </c>
      <c r="H66">
        <f>'Air Balanced'!J76</f>
        <v>-2.1795618753345094</v>
      </c>
      <c r="I66">
        <f>RM!J76</f>
        <v>-3.1359469338802834</v>
      </c>
      <c r="J66">
        <f>Conventional!L76</f>
        <v>0.56859703763539549</v>
      </c>
      <c r="K66">
        <f>'Mark II'!K76</f>
        <v>2.0093785214288893</v>
      </c>
      <c r="L66">
        <f>'Air Balanced'!K76</f>
        <v>1.1166442553682312</v>
      </c>
      <c r="M66">
        <f>RM!K76</f>
        <v>0.64494035841432662</v>
      </c>
    </row>
    <row r="67" spans="1:13" x14ac:dyDescent="0.2">
      <c r="A67">
        <f t="shared" si="0"/>
        <v>310</v>
      </c>
      <c r="B67">
        <f>Conventional!J77</f>
        <v>23.149985607023886</v>
      </c>
      <c r="C67">
        <f>'Mark II'!I77</f>
        <v>2.3237212226660682</v>
      </c>
      <c r="D67">
        <f>'Air Balanced'!I77</f>
        <v>14.049095552084822</v>
      </c>
      <c r="E67">
        <f>RM!I77</f>
        <v>30.88490039229594</v>
      </c>
      <c r="F67">
        <f>Conventional!K77</f>
        <v>-2.348838114186774</v>
      </c>
      <c r="G67">
        <f>'Mark II'!J77</f>
        <v>-0.97577448402307243</v>
      </c>
      <c r="H67">
        <f>'Air Balanced'!J77</f>
        <v>-2.0355920536277443</v>
      </c>
      <c r="I67">
        <f>RM!J77</f>
        <v>-3.0414763029344396</v>
      </c>
      <c r="J67">
        <f>Conventional!L77</f>
        <v>0.70525644290491529</v>
      </c>
      <c r="K67">
        <f>'Mark II'!K77</f>
        <v>1.9894298020403256</v>
      </c>
      <c r="L67">
        <f>'Air Balanced'!K77</f>
        <v>1.2474044314446704</v>
      </c>
      <c r="M67">
        <f>RM!K77</f>
        <v>0.81852628756629364</v>
      </c>
    </row>
    <row r="68" spans="1:13" x14ac:dyDescent="0.2">
      <c r="A68">
        <f t="shared" si="0"/>
        <v>315</v>
      </c>
      <c r="B68">
        <f>Conventional!J78</f>
        <v>19.388931201391003</v>
      </c>
      <c r="C68">
        <f>'Mark II'!I78</f>
        <v>1.2859115760701412</v>
      </c>
      <c r="D68">
        <f>'Air Balanced'!I78</f>
        <v>11.44834847737852</v>
      </c>
      <c r="E68">
        <f>RM!I78</f>
        <v>26.830378514810601</v>
      </c>
      <c r="F68">
        <f>Conventional!K78</f>
        <v>-2.2303052625402997</v>
      </c>
      <c r="G68">
        <f>'Mark II'!J78</f>
        <v>-0.74929856484225932</v>
      </c>
      <c r="H68">
        <f>'Air Balanced'!J78</f>
        <v>-1.8777393879379498</v>
      </c>
      <c r="I68">
        <f>RM!J78</f>
        <v>-2.9273647955444142</v>
      </c>
      <c r="J68">
        <f>Conventional!L78</f>
        <v>0.84345489594389833</v>
      </c>
      <c r="K68">
        <f>'Mark II'!K78</f>
        <v>1.9622658544167415</v>
      </c>
      <c r="L68">
        <f>'Air Balanced'!K78</f>
        <v>1.3676902031445053</v>
      </c>
      <c r="M68">
        <f>RM!K78</f>
        <v>0.98870164809310368</v>
      </c>
    </row>
    <row r="69" spans="1:13" x14ac:dyDescent="0.2">
      <c r="A69">
        <f t="shared" si="0"/>
        <v>320</v>
      </c>
      <c r="B69">
        <f>Conventional!J79</f>
        <v>15.860961411938371</v>
      </c>
      <c r="C69">
        <f>'Mark II'!I79</f>
        <v>0.55662627983968038</v>
      </c>
      <c r="D69">
        <f>'Air Balanced'!I79</f>
        <v>9.0835682230321808</v>
      </c>
      <c r="E69">
        <f>RM!I79</f>
        <v>22.960806294887718</v>
      </c>
      <c r="F69">
        <f>Conventional!K79</f>
        <v>-2.0920860851454104</v>
      </c>
      <c r="G69">
        <f>'Mark II'!J79</f>
        <v>-0.52654398387839263</v>
      </c>
      <c r="H69">
        <f>'Air Balanced'!J79</f>
        <v>-1.7073713436380569</v>
      </c>
      <c r="I69">
        <f>RM!J79</f>
        <v>-2.7938311427843217</v>
      </c>
      <c r="J69">
        <f>Conventional!L79</f>
        <v>0.98353865841989352</v>
      </c>
      <c r="K69">
        <f>'Mark II'!K79</f>
        <v>1.9300228903865562</v>
      </c>
      <c r="L69">
        <f>'Air Balanced'!K79</f>
        <v>1.4761277809255093</v>
      </c>
      <c r="M69">
        <f>RM!K79</f>
        <v>1.1569818467873134</v>
      </c>
    </row>
    <row r="70" spans="1:13" x14ac:dyDescent="0.2">
      <c r="A70">
        <f t="shared" si="0"/>
        <v>325</v>
      </c>
      <c r="B70">
        <f>Conventional!J80</f>
        <v>12.599726304307211</v>
      </c>
      <c r="C70">
        <f>'Mark II'!I80</f>
        <v>0.13016464637084427</v>
      </c>
      <c r="D70">
        <f>'Air Balanced'!I80</f>
        <v>6.9699977061289413</v>
      </c>
      <c r="E70">
        <f>RM!I80</f>
        <v>19.302943665854901</v>
      </c>
      <c r="F70">
        <f>Conventional!K80</f>
        <v>-1.9339124188252779</v>
      </c>
      <c r="G70">
        <f>'Mark II'!J80</f>
        <v>-0.30790529936449967</v>
      </c>
      <c r="H70">
        <f>'Air Balanced'!J80</f>
        <v>-1.5259979132041388</v>
      </c>
      <c r="I70">
        <f>RM!J80</f>
        <v>-2.6409768181616933</v>
      </c>
      <c r="J70">
        <f>Conventional!L80</f>
        <v>1.1255306137830572</v>
      </c>
      <c r="K70">
        <f>'Mark II'!K80</f>
        <v>1.8943613370818517</v>
      </c>
      <c r="L70">
        <f>'Air Balanced'!K80</f>
        <v>1.5714822605698888</v>
      </c>
      <c r="M70">
        <f>RM!K80</f>
        <v>1.324382843844206</v>
      </c>
    </row>
    <row r="71" spans="1:13" x14ac:dyDescent="0.2">
      <c r="A71">
        <f t="shared" ref="A71:A77" si="1">A70+5</f>
        <v>330</v>
      </c>
      <c r="B71">
        <f>Conventional!J81</f>
        <v>9.6392322376321662</v>
      </c>
      <c r="C71">
        <f>'Mark II'!I81</f>
        <v>4.7523298100998231E-4</v>
      </c>
      <c r="D71">
        <f>'Air Balanced'!I81</f>
        <v>5.1206275141647941</v>
      </c>
      <c r="E71">
        <f>RM!I81</f>
        <v>15.883487227671164</v>
      </c>
      <c r="F71">
        <f>Conventional!K81</f>
        <v>-1.7555729815383014</v>
      </c>
      <c r="G71">
        <f>'Mark II'!J81</f>
        <v>-9.3635756467460349E-2</v>
      </c>
      <c r="H71">
        <f>'Air Balanced'!J81</f>
        <v>-1.3352452785981144</v>
      </c>
      <c r="I71">
        <f>RM!J81</f>
        <v>-2.4688475483686578</v>
      </c>
      <c r="J71">
        <f>Conventional!L81</f>
        <v>1.2690260078126983</v>
      </c>
      <c r="K71">
        <f>'Mark II'!K81</f>
        <v>1.856505579883144</v>
      </c>
      <c r="L71">
        <f>'Air Balanced'!K81</f>
        <v>1.6527469361040397</v>
      </c>
      <c r="M71">
        <f>RM!K81</f>
        <v>1.4913876489928186</v>
      </c>
    </row>
    <row r="72" spans="1:13" x14ac:dyDescent="0.2">
      <c r="A72">
        <f t="shared" si="1"/>
        <v>335</v>
      </c>
      <c r="B72">
        <f>Conventional!J82</f>
        <v>7.0136173024429027</v>
      </c>
      <c r="C72">
        <f>'Mark II'!I82</f>
        <v>0.16128931124487794</v>
      </c>
      <c r="D72">
        <f>'Air Balanced'!I82</f>
        <v>3.5460841675096382</v>
      </c>
      <c r="E72">
        <f>RM!I82</f>
        <v>12.729055049515594</v>
      </c>
      <c r="F72">
        <f>Conventional!K82</f>
        <v>-1.556989656567233</v>
      </c>
      <c r="G72">
        <f>'Mark II'!J82</f>
        <v>0.11610776450651265</v>
      </c>
      <c r="H72">
        <f>'Air Balanced'!J82</f>
        <v>-1.1368202962850225</v>
      </c>
      <c r="I72">
        <f>RM!J82</f>
        <v>-2.2775000326283217</v>
      </c>
      <c r="J72">
        <f>Conventional!L82</f>
        <v>1.4130772640079987</v>
      </c>
      <c r="K72">
        <f>'Mark II'!K82</f>
        <v>1.8172905573407958</v>
      </c>
      <c r="L72">
        <f>'Air Balanced'!K82</f>
        <v>1.7192228156732552</v>
      </c>
      <c r="M72">
        <f>RM!K82</f>
        <v>1.6579011924219691</v>
      </c>
    </row>
    <row r="73" spans="1:13" x14ac:dyDescent="0.2">
      <c r="A73">
        <f t="shared" si="1"/>
        <v>340</v>
      </c>
      <c r="B73">
        <f>Conventional!J83</f>
        <v>4.7567689945616944</v>
      </c>
      <c r="C73">
        <f>'Mark II'!I83</f>
        <v>0.60619983510219122</v>
      </c>
      <c r="D73">
        <f>'Air Balanced'!I83</f>
        <v>2.2545770714965663</v>
      </c>
      <c r="E73">
        <f>RM!I83</f>
        <v>9.8660700748138783</v>
      </c>
      <c r="F73">
        <f>Conventional!K83</f>
        <v>-1.3383110465735564</v>
      </c>
      <c r="G73">
        <f>'Mark II'!J83</f>
        <v>0.32122539822498014</v>
      </c>
      <c r="H73">
        <f>'Air Balanced'!J83</f>
        <v>-0.93246812332143791</v>
      </c>
      <c r="I73">
        <f>RM!J83</f>
        <v>-2.0670751517346386</v>
      </c>
      <c r="J73">
        <f>Conventional!L83</f>
        <v>1.5560710948512577</v>
      </c>
      <c r="K73">
        <f>'Mark II'!K83</f>
        <v>1.7772102669474799</v>
      </c>
      <c r="L73">
        <f>'Air Balanced'!K83</f>
        <v>1.7705780496784835</v>
      </c>
      <c r="M73">
        <f>RM!K83</f>
        <v>1.823194095826703</v>
      </c>
    </row>
    <row r="74" spans="1:13" x14ac:dyDescent="0.2">
      <c r="A74">
        <f t="shared" si="1"/>
        <v>345</v>
      </c>
      <c r="B74">
        <f>Conventional!J84</f>
        <v>2.9017553421429261</v>
      </c>
      <c r="C74">
        <f>'Mark II'!I84</f>
        <v>1.3286934720901193</v>
      </c>
      <c r="D74">
        <f>'Air Balanced'!I84</f>
        <v>1.2519091059906107</v>
      </c>
      <c r="E74">
        <f>RM!I84</f>
        <v>7.3205321433920716</v>
      </c>
      <c r="F74">
        <f>Conventional!K84</f>
        <v>-1.1000230958843296</v>
      </c>
      <c r="G74">
        <f>'Mark II'!J84</f>
        <v>0.52164040590528404</v>
      </c>
      <c r="H74">
        <f>'Air Balanced'!J84</f>
        <v>-0.72392627109529994</v>
      </c>
      <c r="I74">
        <f>RM!J84</f>
        <v>-1.8378783864865444</v>
      </c>
      <c r="J74">
        <f>Conventional!L84</f>
        <v>1.6956070478478593</v>
      </c>
      <c r="K74">
        <f>'Mark II'!K84</f>
        <v>1.7364650851455588</v>
      </c>
      <c r="L74">
        <f>'Air Balanced'!K84</f>
        <v>1.806878882842573</v>
      </c>
      <c r="M74">
        <f>RM!K84</f>
        <v>1.9858402077177966</v>
      </c>
    </row>
    <row r="75" spans="1:13" x14ac:dyDescent="0.2">
      <c r="A75">
        <f t="shared" si="1"/>
        <v>350</v>
      </c>
      <c r="B75">
        <f>Conventional!J85</f>
        <v>1.4800450556617397</v>
      </c>
      <c r="C75">
        <f>'Mark II'!I85</f>
        <v>2.322142803877723</v>
      </c>
      <c r="D75">
        <f>'Air Balanced'!I85</f>
        <v>0.54155047009998813</v>
      </c>
      <c r="E75">
        <f>RM!I85</f>
        <v>5.1176691508963339</v>
      </c>
      <c r="F75">
        <f>Conventional!K85</f>
        <v>-0.84307419988334353</v>
      </c>
      <c r="G75">
        <f>'Mark II'!J85</f>
        <v>0.7172704175506498</v>
      </c>
      <c r="H75">
        <f>'Air Balanced'!J85</f>
        <v>-0.5128789351130294</v>
      </c>
      <c r="I75">
        <f>RM!J85</f>
        <v>-1.5904670805819225</v>
      </c>
      <c r="J75">
        <f>Conventional!L85</f>
        <v>1.8283944183322092</v>
      </c>
      <c r="K75">
        <f>'Mark II'!K85</f>
        <v>1.6950062211442944</v>
      </c>
      <c r="L75">
        <f>'Air Balanced'!K85</f>
        <v>1.8285872624408896</v>
      </c>
      <c r="M75">
        <f>RM!K85</f>
        <v>2.1436573006496698</v>
      </c>
    </row>
    <row r="76" spans="1:13" x14ac:dyDescent="0.2">
      <c r="A76">
        <f t="shared" si="1"/>
        <v>355</v>
      </c>
      <c r="B76">
        <f>Conventional!J86</f>
        <v>0.52050283186188762</v>
      </c>
      <c r="C76">
        <f>'Mark II'!I86</f>
        <v>3.5797652369059576</v>
      </c>
      <c r="D76">
        <f>'Air Balanced'!I86</f>
        <v>0.12477001016724483</v>
      </c>
      <c r="E76">
        <f>RM!I86</f>
        <v>3.2814606550504353</v>
      </c>
      <c r="F76">
        <f>Conventional!K86</f>
        <v>-0.56900853871331225</v>
      </c>
      <c r="G76">
        <f>'Mark II'!J86</f>
        <v>0.9080033966463853</v>
      </c>
      <c r="H76">
        <f>'Air Balanced'!J86</f>
        <v>-0.30091549207144069</v>
      </c>
      <c r="I76">
        <f>RM!J86</f>
        <v>-1.3257425340007387</v>
      </c>
      <c r="J76">
        <f>Conventional!L86</f>
        <v>1.9501937269965095</v>
      </c>
      <c r="K76">
        <f>'Mark II'!K86</f>
        <v>1.6525766339508103</v>
      </c>
      <c r="L76">
        <f>'Air Balanced'!K86</f>
        <v>1.8365247315015845</v>
      </c>
      <c r="M76">
        <f>RM!K86</f>
        <v>2.2936652181881039</v>
      </c>
    </row>
    <row r="77" spans="1:13" x14ac:dyDescent="0.2">
      <c r="A77">
        <f t="shared" si="1"/>
        <v>360</v>
      </c>
      <c r="B77">
        <f>Conventional!J87</f>
        <v>4.816491542249679E-2</v>
      </c>
      <c r="C77">
        <f>'Mark II'!I87</f>
        <v>5.0945545970378383</v>
      </c>
      <c r="D77">
        <f>'Air Balanced'!I87</f>
        <v>8.1353690636784429E-4</v>
      </c>
      <c r="E77">
        <f>RM!I87</f>
        <v>1.8340330964747431</v>
      </c>
      <c r="F77">
        <f>Conventional!K87</f>
        <v>-0.28009638444855872</v>
      </c>
      <c r="G77">
        <f>'Mark II'!J87</f>
        <v>1.0936779180152179</v>
      </c>
      <c r="H77">
        <f>'Air Balanced'!J87</f>
        <v>-8.9496573694353168E-2</v>
      </c>
      <c r="I77">
        <f>RM!J87</f>
        <v>-1.0450426972916496</v>
      </c>
      <c r="J77">
        <f>Conventional!L87</f>
        <v>2.0558382560397424</v>
      </c>
      <c r="K77">
        <f>'Mark II'!K87</f>
        <v>1.6087484030756882</v>
      </c>
      <c r="L77">
        <f>'Air Balanced'!K87</f>
        <v>1.83180678109033</v>
      </c>
      <c r="M77">
        <f>RM!K87</f>
        <v>2.4320806684742871</v>
      </c>
    </row>
  </sheetData>
  <sheetProtection sheet="1"/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Mark II</vt:lpstr>
      <vt:lpstr>Air Balanced</vt:lpstr>
      <vt:lpstr>RM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Mahmut Sengul</cp:lastModifiedBy>
  <dcterms:created xsi:type="dcterms:W3CDTF">2005-12-25T15:48:14Z</dcterms:created>
  <dcterms:modified xsi:type="dcterms:W3CDTF">2018-06-26T16:52:13Z</dcterms:modified>
</cp:coreProperties>
</file>