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20490" windowHeight="7410" firstSheet="2" activeTab="5"/>
  </bookViews>
  <sheets>
    <sheet name="Лист1" sheetId="1" r:id="rId1"/>
    <sheet name="Врем.ряд (доллар)" sheetId="4" r:id="rId2"/>
    <sheet name="Врем.ряд(зп)" sheetId="2" r:id="rId3"/>
    <sheet name="Плохое зп" sheetId="5" r:id="rId4"/>
    <sheet name="Так себе зп" sheetId="6" r:id="rId5"/>
    <sheet name="Врем ряд" sheetId="7" r:id="rId6"/>
    <sheet name="Врем ряд (Дзюба)" sheetId="8" r:id="rId7"/>
  </sheets>
  <calcPr calcId="145621"/>
</workbook>
</file>

<file path=xl/calcChain.xml><?xml version="1.0" encoding="utf-8"?>
<calcChain xmlns="http://schemas.openxmlformats.org/spreadsheetml/2006/main">
  <c r="G43" i="7" l="1"/>
  <c r="F26" i="8" l="1"/>
  <c r="F27" i="8"/>
  <c r="F28" i="8"/>
  <c r="F29" i="8"/>
  <c r="F30" i="8"/>
  <c r="F31" i="8"/>
  <c r="F32" i="8"/>
  <c r="F33" i="8"/>
  <c r="F34" i="8"/>
  <c r="F35" i="8"/>
  <c r="F36" i="8"/>
  <c r="F37" i="8"/>
  <c r="F38" i="8"/>
  <c r="F25" i="8"/>
  <c r="J10" i="8"/>
  <c r="K10" i="8"/>
  <c r="L10" i="8"/>
  <c r="M10" i="8"/>
  <c r="C14" i="8"/>
  <c r="C13" i="8"/>
  <c r="C12" i="8"/>
  <c r="D12" i="8" s="1"/>
  <c r="E12" i="8" s="1"/>
  <c r="L7" i="8" s="1"/>
  <c r="C11" i="8"/>
  <c r="C10" i="8"/>
  <c r="D10" i="8" s="1"/>
  <c r="E10" i="8" s="1"/>
  <c r="J7" i="8" s="1"/>
  <c r="C9" i="8"/>
  <c r="C8" i="8"/>
  <c r="C7" i="8"/>
  <c r="D7" i="8" s="1"/>
  <c r="E7" i="8" s="1"/>
  <c r="K6" i="8" s="1"/>
  <c r="C6" i="8"/>
  <c r="C5" i="8"/>
  <c r="D5" i="8" s="1"/>
  <c r="E5" i="8" s="1"/>
  <c r="M5" i="8" s="1"/>
  <c r="K9" i="8" l="1"/>
  <c r="D11" i="8"/>
  <c r="E11" i="8" s="1"/>
  <c r="K7" i="8" s="1"/>
  <c r="D9" i="8"/>
  <c r="E9" i="8" s="1"/>
  <c r="M6" i="8" s="1"/>
  <c r="D6" i="8"/>
  <c r="E6" i="8" s="1"/>
  <c r="J6" i="8" s="1"/>
  <c r="J9" i="8" s="1"/>
  <c r="D8" i="8"/>
  <c r="E8" i="8" s="1"/>
  <c r="L6" i="8" s="1"/>
  <c r="D13" i="8"/>
  <c r="E13" i="8" s="1"/>
  <c r="M7" i="8" s="1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25" i="7"/>
  <c r="L10" i="7"/>
  <c r="C18" i="7"/>
  <c r="C17" i="7"/>
  <c r="D17" i="7" s="1"/>
  <c r="E17" i="7" s="1"/>
  <c r="M8" i="7" s="1"/>
  <c r="C16" i="7"/>
  <c r="C15" i="7"/>
  <c r="C14" i="7"/>
  <c r="C13" i="7"/>
  <c r="D13" i="7" s="1"/>
  <c r="E13" i="7" s="1"/>
  <c r="M7" i="7" s="1"/>
  <c r="C12" i="7"/>
  <c r="C11" i="7"/>
  <c r="C10" i="7"/>
  <c r="C9" i="7"/>
  <c r="C8" i="7"/>
  <c r="C7" i="7"/>
  <c r="D6" i="7"/>
  <c r="E6" i="7" s="1"/>
  <c r="J6" i="7" s="1"/>
  <c r="C6" i="7"/>
  <c r="C5" i="7"/>
  <c r="D5" i="7" s="1"/>
  <c r="E5" i="7" s="1"/>
  <c r="M5" i="7" s="1"/>
  <c r="L9" i="8" l="1"/>
  <c r="M9" i="8"/>
  <c r="N10" i="8" s="1"/>
  <c r="N11" i="8" s="1"/>
  <c r="K11" i="8" s="1"/>
  <c r="D16" i="7"/>
  <c r="E16" i="7" s="1"/>
  <c r="L8" i="7" s="1"/>
  <c r="D15" i="7"/>
  <c r="E15" i="7" s="1"/>
  <c r="K8" i="7" s="1"/>
  <c r="D14" i="7"/>
  <c r="E14" i="7" s="1"/>
  <c r="J8" i="7" s="1"/>
  <c r="D12" i="7"/>
  <c r="E12" i="7" s="1"/>
  <c r="L7" i="7" s="1"/>
  <c r="D9" i="7"/>
  <c r="E9" i="7" s="1"/>
  <c r="M6" i="7" s="1"/>
  <c r="D11" i="7"/>
  <c r="E11" i="7" s="1"/>
  <c r="K7" i="7" s="1"/>
  <c r="D7" i="7"/>
  <c r="E7" i="7" s="1"/>
  <c r="K6" i="7" s="1"/>
  <c r="D10" i="7"/>
  <c r="E10" i="7" s="1"/>
  <c r="J7" i="7" s="1"/>
  <c r="D8" i="7"/>
  <c r="E8" i="7" s="1"/>
  <c r="L6" i="7" s="1"/>
  <c r="M9" i="7"/>
  <c r="M10" i="7" s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25" i="6"/>
  <c r="C18" i="6"/>
  <c r="C17" i="6"/>
  <c r="C16" i="6"/>
  <c r="C15" i="6"/>
  <c r="D15" i="6" s="1"/>
  <c r="E15" i="6" s="1"/>
  <c r="K8" i="6" s="1"/>
  <c r="C14" i="6"/>
  <c r="C13" i="6"/>
  <c r="C12" i="6"/>
  <c r="C11" i="6"/>
  <c r="C10" i="6"/>
  <c r="C9" i="6"/>
  <c r="C8" i="6"/>
  <c r="C7" i="6"/>
  <c r="D6" i="6" s="1"/>
  <c r="E6" i="6" s="1"/>
  <c r="J6" i="6" s="1"/>
  <c r="C6" i="6"/>
  <c r="C5" i="6"/>
  <c r="D5" i="6" s="1"/>
  <c r="E5" i="6" s="1"/>
  <c r="M5" i="6" s="1"/>
  <c r="V11" i="5"/>
  <c r="M11" i="8" l="1"/>
  <c r="D30" i="8"/>
  <c r="D38" i="8"/>
  <c r="D34" i="8"/>
  <c r="D26" i="8"/>
  <c r="J11" i="8"/>
  <c r="L11" i="8"/>
  <c r="J9" i="7"/>
  <c r="J10" i="7" s="1"/>
  <c r="L9" i="7"/>
  <c r="K9" i="7"/>
  <c r="K10" i="7" s="1"/>
  <c r="D16" i="6"/>
  <c r="E16" i="6" s="1"/>
  <c r="L8" i="6" s="1"/>
  <c r="D14" i="6"/>
  <c r="E14" i="6" s="1"/>
  <c r="J8" i="6" s="1"/>
  <c r="D8" i="6"/>
  <c r="E8" i="6" s="1"/>
  <c r="L6" i="6" s="1"/>
  <c r="D10" i="6"/>
  <c r="E10" i="6" s="1"/>
  <c r="J7" i="6" s="1"/>
  <c r="D11" i="6"/>
  <c r="E11" i="6" s="1"/>
  <c r="K7" i="6" s="1"/>
  <c r="D9" i="6"/>
  <c r="E9" i="6" s="1"/>
  <c r="M6" i="6" s="1"/>
  <c r="D12" i="6"/>
  <c r="E12" i="6" s="1"/>
  <c r="L7" i="6" s="1"/>
  <c r="D7" i="6"/>
  <c r="E7" i="6" s="1"/>
  <c r="K6" i="6" s="1"/>
  <c r="D13" i="6"/>
  <c r="E13" i="6" s="1"/>
  <c r="M7" i="6" s="1"/>
  <c r="D17" i="6"/>
  <c r="E17" i="6" s="1"/>
  <c r="M8" i="6" s="1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31" i="5"/>
  <c r="M31" i="5" s="1"/>
  <c r="N31" i="5" s="1"/>
  <c r="K31" i="5"/>
  <c r="I46" i="5"/>
  <c r="I38" i="5"/>
  <c r="I42" i="5"/>
  <c r="J44" i="5"/>
  <c r="J45" i="5"/>
  <c r="J46" i="5"/>
  <c r="J43" i="5"/>
  <c r="J42" i="5"/>
  <c r="J41" i="5"/>
  <c r="J40" i="5"/>
  <c r="J39" i="5"/>
  <c r="J38" i="5"/>
  <c r="J37" i="5"/>
  <c r="J36" i="5"/>
  <c r="J35" i="5"/>
  <c r="J34" i="5"/>
  <c r="J33" i="5"/>
  <c r="K33" i="5" s="1"/>
  <c r="J32" i="5"/>
  <c r="J31" i="5"/>
  <c r="I32" i="5"/>
  <c r="I33" i="5"/>
  <c r="I34" i="5"/>
  <c r="I35" i="5"/>
  <c r="I36" i="5"/>
  <c r="I37" i="5"/>
  <c r="I39" i="5"/>
  <c r="I40" i="5"/>
  <c r="I41" i="5"/>
  <c r="I43" i="5"/>
  <c r="I44" i="5"/>
  <c r="I45" i="5"/>
  <c r="I31" i="5"/>
  <c r="M34" i="5"/>
  <c r="K32" i="5"/>
  <c r="T10" i="5"/>
  <c r="U10" i="5"/>
  <c r="V10" i="5" s="1"/>
  <c r="N10" i="5"/>
  <c r="O10" i="5"/>
  <c r="P10" i="5"/>
  <c r="Q10" i="5"/>
  <c r="R10" i="5"/>
  <c r="S10" i="5"/>
  <c r="M10" i="5"/>
  <c r="L10" i="5"/>
  <c r="K10" i="5"/>
  <c r="J10" i="5"/>
  <c r="N9" i="5"/>
  <c r="O9" i="5"/>
  <c r="P9" i="5"/>
  <c r="Q9" i="5"/>
  <c r="R9" i="5"/>
  <c r="S9" i="5"/>
  <c r="T9" i="5"/>
  <c r="U9" i="5"/>
  <c r="M9" i="5"/>
  <c r="K9" i="5"/>
  <c r="L9" i="5"/>
  <c r="S6" i="5"/>
  <c r="R6" i="5"/>
  <c r="Q6" i="5"/>
  <c r="P6" i="5"/>
  <c r="O6" i="5"/>
  <c r="N6" i="5"/>
  <c r="M6" i="5"/>
  <c r="L6" i="5"/>
  <c r="K6" i="5"/>
  <c r="J6" i="5"/>
  <c r="U5" i="5"/>
  <c r="T5" i="5"/>
  <c r="S5" i="5"/>
  <c r="R5" i="5"/>
  <c r="Q5" i="5"/>
  <c r="P5" i="5"/>
  <c r="C23" i="5"/>
  <c r="C21" i="5"/>
  <c r="C16" i="5"/>
  <c r="C15" i="5"/>
  <c r="C11" i="5"/>
  <c r="C7" i="5"/>
  <c r="C24" i="5"/>
  <c r="C20" i="5"/>
  <c r="C13" i="5"/>
  <c r="C9" i="5"/>
  <c r="C5" i="5"/>
  <c r="C6" i="5"/>
  <c r="C8" i="5"/>
  <c r="C10" i="5"/>
  <c r="C12" i="5"/>
  <c r="C14" i="5"/>
  <c r="C17" i="5"/>
  <c r="C18" i="5"/>
  <c r="C19" i="5"/>
  <c r="C22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D28" i="8" l="1"/>
  <c r="E28" i="8" s="1"/>
  <c r="D32" i="8"/>
  <c r="G32" i="8" s="1"/>
  <c r="H32" i="8" s="1"/>
  <c r="I32" i="8" s="1"/>
  <c r="D36" i="8"/>
  <c r="E36" i="8" s="1"/>
  <c r="E34" i="8"/>
  <c r="G34" i="8"/>
  <c r="H34" i="8" s="1"/>
  <c r="I34" i="8" s="1"/>
  <c r="E32" i="8"/>
  <c r="D35" i="8"/>
  <c r="D31" i="8"/>
  <c r="D27" i="8"/>
  <c r="E38" i="8"/>
  <c r="G38" i="8"/>
  <c r="H38" i="8" s="1"/>
  <c r="I38" i="8" s="1"/>
  <c r="D37" i="8"/>
  <c r="D33" i="8"/>
  <c r="D29" i="8"/>
  <c r="D25" i="8"/>
  <c r="E26" i="8"/>
  <c r="G26" i="8"/>
  <c r="H26" i="8" s="1"/>
  <c r="I26" i="8" s="1"/>
  <c r="E30" i="8"/>
  <c r="G30" i="8"/>
  <c r="H30" i="8" s="1"/>
  <c r="I30" i="8" s="1"/>
  <c r="N10" i="7"/>
  <c r="N11" i="7" s="1"/>
  <c r="J11" i="7" s="1"/>
  <c r="J9" i="6"/>
  <c r="J10" i="6" s="1"/>
  <c r="L9" i="6"/>
  <c r="L10" i="6" s="1"/>
  <c r="K9" i="6"/>
  <c r="K10" i="6" s="1"/>
  <c r="M9" i="6"/>
  <c r="M33" i="5"/>
  <c r="N33" i="5" s="1"/>
  <c r="O33" i="5" s="1"/>
  <c r="M32" i="5"/>
  <c r="N32" i="5" s="1"/>
  <c r="O32" i="5" s="1"/>
  <c r="K34" i="5"/>
  <c r="N34" i="5"/>
  <c r="O34" i="5" s="1"/>
  <c r="O31" i="5"/>
  <c r="Q11" i="5"/>
  <c r="K11" i="5"/>
  <c r="N11" i="5"/>
  <c r="R11" i="5"/>
  <c r="L11" i="5"/>
  <c r="O11" i="5"/>
  <c r="S11" i="5"/>
  <c r="M11" i="5"/>
  <c r="U11" i="5"/>
  <c r="P11" i="5"/>
  <c r="T11" i="5"/>
  <c r="J11" i="5"/>
  <c r="E14" i="2"/>
  <c r="D18" i="5"/>
  <c r="E18" i="5" s="1"/>
  <c r="D9" i="5"/>
  <c r="E9" i="5" s="1"/>
  <c r="D5" i="5"/>
  <c r="E5" i="5" s="1"/>
  <c r="M5" i="5" s="1"/>
  <c r="D8" i="5"/>
  <c r="E8" i="5" s="1"/>
  <c r="D10" i="5"/>
  <c r="E10" i="5" s="1"/>
  <c r="D22" i="5"/>
  <c r="E22" i="5" s="1"/>
  <c r="D17" i="5"/>
  <c r="E17" i="5" s="1"/>
  <c r="D13" i="5"/>
  <c r="E13" i="5" s="1"/>
  <c r="D11" i="5"/>
  <c r="E11" i="5" s="1"/>
  <c r="D19" i="5"/>
  <c r="E19" i="5" s="1"/>
  <c r="D14" i="5"/>
  <c r="E14" i="5" s="1"/>
  <c r="D23" i="5"/>
  <c r="E23" i="5" s="1"/>
  <c r="D21" i="5"/>
  <c r="E21" i="5" s="1"/>
  <c r="D7" i="5"/>
  <c r="E7" i="5" s="1"/>
  <c r="O5" i="5" s="1"/>
  <c r="D15" i="5"/>
  <c r="E15" i="5" s="1"/>
  <c r="D20" i="5"/>
  <c r="E20" i="5" s="1"/>
  <c r="D16" i="5"/>
  <c r="E16" i="5" s="1"/>
  <c r="D12" i="5"/>
  <c r="E12" i="5" s="1"/>
  <c r="D6" i="5"/>
  <c r="E6" i="5" s="1"/>
  <c r="N5" i="5" s="1"/>
  <c r="I76" i="4"/>
  <c r="I72" i="4"/>
  <c r="I68" i="4"/>
  <c r="I69" i="4"/>
  <c r="I70" i="4"/>
  <c r="I71" i="4"/>
  <c r="I73" i="4"/>
  <c r="I74" i="4"/>
  <c r="I75" i="4"/>
  <c r="I77" i="4"/>
  <c r="I78" i="4"/>
  <c r="C3" i="4"/>
  <c r="E3" i="4" s="1"/>
  <c r="F4" i="4" s="1"/>
  <c r="D3" i="4"/>
  <c r="C4" i="4"/>
  <c r="E4" i="4" s="1"/>
  <c r="D4" i="4"/>
  <c r="C5" i="4"/>
  <c r="E5" i="4" s="1"/>
  <c r="D5" i="4"/>
  <c r="C6" i="4"/>
  <c r="E6" i="4" s="1"/>
  <c r="D6" i="4"/>
  <c r="C7" i="4"/>
  <c r="E7" i="4" s="1"/>
  <c r="F8" i="4" s="1"/>
  <c r="G9" i="4" s="1"/>
  <c r="H10" i="4" s="1"/>
  <c r="I11" i="4" s="1"/>
  <c r="J12" i="4" s="1"/>
  <c r="K13" i="4" s="1"/>
  <c r="L14" i="4" s="1"/>
  <c r="M15" i="4" s="1"/>
  <c r="N16" i="4" s="1"/>
  <c r="O17" i="4" s="1"/>
  <c r="P18" i="4" s="1"/>
  <c r="Q19" i="4" s="1"/>
  <c r="R20" i="4" s="1"/>
  <c r="S21" i="4" s="1"/>
  <c r="T22" i="4" s="1"/>
  <c r="U23" i="4" s="1"/>
  <c r="V24" i="4" s="1"/>
  <c r="W25" i="4" s="1"/>
  <c r="X26" i="4" s="1"/>
  <c r="Y27" i="4" s="1"/>
  <c r="Z28" i="4" s="1"/>
  <c r="AA29" i="4" s="1"/>
  <c r="AB30" i="4" s="1"/>
  <c r="AC31" i="4" s="1"/>
  <c r="AD32" i="4" s="1"/>
  <c r="AE33" i="4" s="1"/>
  <c r="AF34" i="4" s="1"/>
  <c r="AG35" i="4" s="1"/>
  <c r="D7" i="4"/>
  <c r="C8" i="4"/>
  <c r="E8" i="4" s="1"/>
  <c r="D8" i="4"/>
  <c r="C9" i="4"/>
  <c r="E9" i="4" s="1"/>
  <c r="D9" i="4"/>
  <c r="C10" i="4"/>
  <c r="E10" i="4" s="1"/>
  <c r="D10" i="4"/>
  <c r="C11" i="4"/>
  <c r="E11" i="4" s="1"/>
  <c r="D11" i="4"/>
  <c r="C12" i="4"/>
  <c r="D12" i="4"/>
  <c r="C13" i="4"/>
  <c r="E13" i="4" s="1"/>
  <c r="D13" i="4"/>
  <c r="C14" i="4"/>
  <c r="E14" i="4" s="1"/>
  <c r="D14" i="4"/>
  <c r="D35" i="4"/>
  <c r="C35" i="4"/>
  <c r="E35" i="4" s="1"/>
  <c r="D34" i="4"/>
  <c r="C34" i="4"/>
  <c r="E34" i="4" s="1"/>
  <c r="D33" i="4"/>
  <c r="C33" i="4"/>
  <c r="E33" i="4" s="1"/>
  <c r="D32" i="4"/>
  <c r="C32" i="4"/>
  <c r="E32" i="4" s="1"/>
  <c r="D31" i="4"/>
  <c r="C31" i="4"/>
  <c r="E31" i="4" s="1"/>
  <c r="D30" i="4"/>
  <c r="C30" i="4"/>
  <c r="E30" i="4" s="1"/>
  <c r="D29" i="4"/>
  <c r="C29" i="4"/>
  <c r="E29" i="4" s="1"/>
  <c r="D28" i="4"/>
  <c r="C28" i="4"/>
  <c r="E28" i="4" s="1"/>
  <c r="D27" i="4"/>
  <c r="C27" i="4"/>
  <c r="E27" i="4" s="1"/>
  <c r="D26" i="4"/>
  <c r="C26" i="4"/>
  <c r="E26" i="4" s="1"/>
  <c r="D25" i="4"/>
  <c r="C25" i="4"/>
  <c r="D24" i="4"/>
  <c r="C24" i="4"/>
  <c r="E24" i="4" s="1"/>
  <c r="D23" i="4"/>
  <c r="C23" i="4"/>
  <c r="E23" i="4" s="1"/>
  <c r="D22" i="4"/>
  <c r="C22" i="4"/>
  <c r="E22" i="4" s="1"/>
  <c r="D21" i="4"/>
  <c r="C21" i="4"/>
  <c r="E21" i="4" s="1"/>
  <c r="D20" i="4"/>
  <c r="C20" i="4"/>
  <c r="E20" i="4" s="1"/>
  <c r="D19" i="4"/>
  <c r="C19" i="4"/>
  <c r="E19" i="4" s="1"/>
  <c r="D18" i="4"/>
  <c r="C18" i="4"/>
  <c r="E18" i="4" s="1"/>
  <c r="D17" i="4"/>
  <c r="C17" i="4"/>
  <c r="E17" i="4" s="1"/>
  <c r="D16" i="4"/>
  <c r="C16" i="4"/>
  <c r="E16" i="4" s="1"/>
  <c r="D15" i="4"/>
  <c r="C15" i="4"/>
  <c r="E15" i="4" s="1"/>
  <c r="G28" i="8" l="1"/>
  <c r="H28" i="8" s="1"/>
  <c r="I28" i="8" s="1"/>
  <c r="G36" i="8"/>
  <c r="H36" i="8" s="1"/>
  <c r="I36" i="8" s="1"/>
  <c r="E25" i="8"/>
  <c r="G25" i="8"/>
  <c r="E29" i="8"/>
  <c r="G29" i="8"/>
  <c r="H29" i="8" s="1"/>
  <c r="I29" i="8" s="1"/>
  <c r="E27" i="8"/>
  <c r="G27" i="8"/>
  <c r="H27" i="8" s="1"/>
  <c r="I27" i="8" s="1"/>
  <c r="E33" i="8"/>
  <c r="G33" i="8"/>
  <c r="H33" i="8" s="1"/>
  <c r="I33" i="8" s="1"/>
  <c r="E31" i="8"/>
  <c r="G31" i="8"/>
  <c r="H31" i="8" s="1"/>
  <c r="I31" i="8" s="1"/>
  <c r="E37" i="8"/>
  <c r="G37" i="8"/>
  <c r="H37" i="8" s="1"/>
  <c r="I37" i="8" s="1"/>
  <c r="E35" i="8"/>
  <c r="G35" i="8"/>
  <c r="H35" i="8" s="1"/>
  <c r="I35" i="8" s="1"/>
  <c r="K11" i="7"/>
  <c r="D38" i="7" s="1"/>
  <c r="M11" i="7"/>
  <c r="D28" i="7" s="1"/>
  <c r="L11" i="7"/>
  <c r="D39" i="7" s="1"/>
  <c r="D41" i="7"/>
  <c r="D37" i="7"/>
  <c r="D33" i="7"/>
  <c r="D29" i="7"/>
  <c r="D25" i="7"/>
  <c r="D30" i="7"/>
  <c r="D42" i="7"/>
  <c r="D26" i="7"/>
  <c r="D40" i="7"/>
  <c r="M10" i="6"/>
  <c r="N10" i="6" s="1"/>
  <c r="N11" i="6" s="1"/>
  <c r="K38" i="5"/>
  <c r="M38" i="5"/>
  <c r="N38" i="5" s="1"/>
  <c r="O38" i="5" s="1"/>
  <c r="K36" i="5"/>
  <c r="K37" i="5"/>
  <c r="M36" i="5"/>
  <c r="N36" i="5" s="1"/>
  <c r="O36" i="5" s="1"/>
  <c r="K35" i="5"/>
  <c r="M37" i="5"/>
  <c r="N37" i="5" s="1"/>
  <c r="O37" i="5" s="1"/>
  <c r="M35" i="5"/>
  <c r="J9" i="5"/>
  <c r="F51" i="4"/>
  <c r="F78" i="4" s="1"/>
  <c r="F50" i="4"/>
  <c r="F77" i="4" s="1"/>
  <c r="F49" i="4"/>
  <c r="F76" i="4" s="1"/>
  <c r="F48" i="4"/>
  <c r="F47" i="4"/>
  <c r="F46" i="4"/>
  <c r="F44" i="4"/>
  <c r="F45" i="4"/>
  <c r="F43" i="4"/>
  <c r="F42" i="4"/>
  <c r="F41" i="4"/>
  <c r="E25" i="4"/>
  <c r="F26" i="4" s="1"/>
  <c r="G27" i="4" s="1"/>
  <c r="H28" i="4" s="1"/>
  <c r="I29" i="4" s="1"/>
  <c r="J30" i="4" s="1"/>
  <c r="K31" i="4" s="1"/>
  <c r="L32" i="4" s="1"/>
  <c r="M33" i="4" s="1"/>
  <c r="N34" i="4" s="1"/>
  <c r="O35" i="4" s="1"/>
  <c r="E12" i="4"/>
  <c r="F13" i="4" s="1"/>
  <c r="G14" i="4" s="1"/>
  <c r="H15" i="4" s="1"/>
  <c r="I16" i="4" s="1"/>
  <c r="J17" i="4" s="1"/>
  <c r="K18" i="4" s="1"/>
  <c r="L19" i="4" s="1"/>
  <c r="M20" i="4" s="1"/>
  <c r="N21" i="4" s="1"/>
  <c r="O22" i="4" s="1"/>
  <c r="P23" i="4" s="1"/>
  <c r="Q24" i="4" s="1"/>
  <c r="R25" i="4" s="1"/>
  <c r="S26" i="4" s="1"/>
  <c r="T27" i="4" s="1"/>
  <c r="U28" i="4" s="1"/>
  <c r="V29" i="4" s="1"/>
  <c r="W30" i="4" s="1"/>
  <c r="X31" i="4" s="1"/>
  <c r="Y32" i="4" s="1"/>
  <c r="Z33" i="4" s="1"/>
  <c r="AA34" i="4" s="1"/>
  <c r="AB35" i="4" s="1"/>
  <c r="F21" i="4"/>
  <c r="G22" i="4" s="1"/>
  <c r="H23" i="4" s="1"/>
  <c r="I24" i="4" s="1"/>
  <c r="J25" i="4" s="1"/>
  <c r="K26" i="4" s="1"/>
  <c r="L27" i="4" s="1"/>
  <c r="M28" i="4" s="1"/>
  <c r="N29" i="4" s="1"/>
  <c r="O30" i="4" s="1"/>
  <c r="P31" i="4" s="1"/>
  <c r="Q32" i="4" s="1"/>
  <c r="R33" i="4" s="1"/>
  <c r="S34" i="4" s="1"/>
  <c r="T35" i="4" s="1"/>
  <c r="F17" i="4"/>
  <c r="G18" i="4" s="1"/>
  <c r="H19" i="4" s="1"/>
  <c r="I20" i="4" s="1"/>
  <c r="J21" i="4" s="1"/>
  <c r="K22" i="4" s="1"/>
  <c r="L23" i="4" s="1"/>
  <c r="M24" i="4" s="1"/>
  <c r="N25" i="4" s="1"/>
  <c r="O26" i="4" s="1"/>
  <c r="P27" i="4" s="1"/>
  <c r="Q28" i="4" s="1"/>
  <c r="R29" i="4" s="1"/>
  <c r="S30" i="4" s="1"/>
  <c r="T31" i="4" s="1"/>
  <c r="U32" i="4" s="1"/>
  <c r="V33" i="4" s="1"/>
  <c r="W34" i="4" s="1"/>
  <c r="X35" i="4" s="1"/>
  <c r="F19" i="4"/>
  <c r="G20" i="4" s="1"/>
  <c r="H21" i="4" s="1"/>
  <c r="I22" i="4" s="1"/>
  <c r="J23" i="4" s="1"/>
  <c r="K24" i="4" s="1"/>
  <c r="L25" i="4" s="1"/>
  <c r="M26" i="4" s="1"/>
  <c r="N27" i="4" s="1"/>
  <c r="O28" i="4" s="1"/>
  <c r="P29" i="4" s="1"/>
  <c r="Q30" i="4" s="1"/>
  <c r="R31" i="4" s="1"/>
  <c r="S32" i="4" s="1"/>
  <c r="T33" i="4" s="1"/>
  <c r="U34" i="4" s="1"/>
  <c r="V35" i="4" s="1"/>
  <c r="F23" i="4"/>
  <c r="G24" i="4" s="1"/>
  <c r="H25" i="4" s="1"/>
  <c r="I26" i="4" s="1"/>
  <c r="J27" i="4" s="1"/>
  <c r="K28" i="4" s="1"/>
  <c r="L29" i="4" s="1"/>
  <c r="M30" i="4" s="1"/>
  <c r="N31" i="4" s="1"/>
  <c r="O32" i="4" s="1"/>
  <c r="P33" i="4" s="1"/>
  <c r="Q34" i="4" s="1"/>
  <c r="R35" i="4" s="1"/>
  <c r="F29" i="4"/>
  <c r="G30" i="4" s="1"/>
  <c r="H31" i="4" s="1"/>
  <c r="I32" i="4" s="1"/>
  <c r="J33" i="4" s="1"/>
  <c r="K34" i="4" s="1"/>
  <c r="L35" i="4" s="1"/>
  <c r="F27" i="4"/>
  <c r="G28" i="4" s="1"/>
  <c r="H29" i="4" s="1"/>
  <c r="I30" i="4" s="1"/>
  <c r="J31" i="4" s="1"/>
  <c r="K32" i="4" s="1"/>
  <c r="L33" i="4" s="1"/>
  <c r="M34" i="4" s="1"/>
  <c r="N35" i="4" s="1"/>
  <c r="G5" i="4"/>
  <c r="H6" i="4" s="1"/>
  <c r="I7" i="4" s="1"/>
  <c r="F20" i="4"/>
  <c r="G21" i="4" s="1"/>
  <c r="H22" i="4" s="1"/>
  <c r="I23" i="4" s="1"/>
  <c r="J24" i="4" s="1"/>
  <c r="K25" i="4" s="1"/>
  <c r="L26" i="4" s="1"/>
  <c r="M27" i="4" s="1"/>
  <c r="N28" i="4" s="1"/>
  <c r="O29" i="4" s="1"/>
  <c r="P30" i="4" s="1"/>
  <c r="Q31" i="4" s="1"/>
  <c r="R32" i="4" s="1"/>
  <c r="S33" i="4" s="1"/>
  <c r="T34" i="4" s="1"/>
  <c r="U35" i="4" s="1"/>
  <c r="F18" i="4"/>
  <c r="G19" i="4" s="1"/>
  <c r="H20" i="4" s="1"/>
  <c r="I21" i="4" s="1"/>
  <c r="J22" i="4" s="1"/>
  <c r="K23" i="4" s="1"/>
  <c r="L24" i="4" s="1"/>
  <c r="M25" i="4" s="1"/>
  <c r="N26" i="4" s="1"/>
  <c r="O27" i="4" s="1"/>
  <c r="P28" i="4" s="1"/>
  <c r="Q29" i="4" s="1"/>
  <c r="R30" i="4" s="1"/>
  <c r="S31" i="4" s="1"/>
  <c r="T32" i="4" s="1"/>
  <c r="U33" i="4" s="1"/>
  <c r="V34" i="4" s="1"/>
  <c r="W35" i="4" s="1"/>
  <c r="F32" i="4"/>
  <c r="G33" i="4" s="1"/>
  <c r="H34" i="4" s="1"/>
  <c r="I35" i="4" s="1"/>
  <c r="F9" i="4"/>
  <c r="G10" i="4" s="1"/>
  <c r="H11" i="4" s="1"/>
  <c r="I12" i="4" s="1"/>
  <c r="J13" i="4" s="1"/>
  <c r="K14" i="4" s="1"/>
  <c r="L15" i="4" s="1"/>
  <c r="M16" i="4" s="1"/>
  <c r="N17" i="4" s="1"/>
  <c r="O18" i="4" s="1"/>
  <c r="P19" i="4" s="1"/>
  <c r="Q20" i="4" s="1"/>
  <c r="R21" i="4" s="1"/>
  <c r="S22" i="4" s="1"/>
  <c r="T23" i="4" s="1"/>
  <c r="U24" i="4" s="1"/>
  <c r="V25" i="4" s="1"/>
  <c r="W26" i="4" s="1"/>
  <c r="X27" i="4" s="1"/>
  <c r="Y28" i="4" s="1"/>
  <c r="Z29" i="4" s="1"/>
  <c r="AA30" i="4" s="1"/>
  <c r="AB31" i="4" s="1"/>
  <c r="AC32" i="4" s="1"/>
  <c r="AD33" i="4" s="1"/>
  <c r="AE34" i="4" s="1"/>
  <c r="AF35" i="4" s="1"/>
  <c r="F7" i="4"/>
  <c r="G8" i="4" s="1"/>
  <c r="H9" i="4" s="1"/>
  <c r="I10" i="4" s="1"/>
  <c r="J11" i="4" s="1"/>
  <c r="K12" i="4" s="1"/>
  <c r="L13" i="4" s="1"/>
  <c r="M14" i="4" s="1"/>
  <c r="N15" i="4" s="1"/>
  <c r="O16" i="4" s="1"/>
  <c r="P17" i="4" s="1"/>
  <c r="Q18" i="4" s="1"/>
  <c r="R19" i="4" s="1"/>
  <c r="S20" i="4" s="1"/>
  <c r="T21" i="4" s="1"/>
  <c r="U22" i="4" s="1"/>
  <c r="V23" i="4" s="1"/>
  <c r="W24" i="4" s="1"/>
  <c r="X25" i="4" s="1"/>
  <c r="Y26" i="4" s="1"/>
  <c r="Z27" i="4" s="1"/>
  <c r="AA28" i="4" s="1"/>
  <c r="AB29" i="4" s="1"/>
  <c r="AC30" i="4" s="1"/>
  <c r="AD31" i="4" s="1"/>
  <c r="AE32" i="4" s="1"/>
  <c r="AF33" i="4" s="1"/>
  <c r="AG34" i="4" s="1"/>
  <c r="AH35" i="4" s="1"/>
  <c r="F11" i="4"/>
  <c r="G12" i="4" s="1"/>
  <c r="H13" i="4" s="1"/>
  <c r="I14" i="4" s="1"/>
  <c r="J15" i="4" s="1"/>
  <c r="K16" i="4" s="1"/>
  <c r="L17" i="4" s="1"/>
  <c r="M18" i="4" s="1"/>
  <c r="N19" i="4" s="1"/>
  <c r="O20" i="4" s="1"/>
  <c r="P21" i="4" s="1"/>
  <c r="Q22" i="4" s="1"/>
  <c r="R23" i="4" s="1"/>
  <c r="S24" i="4" s="1"/>
  <c r="T25" i="4" s="1"/>
  <c r="U26" i="4" s="1"/>
  <c r="V27" i="4" s="1"/>
  <c r="W28" i="4" s="1"/>
  <c r="X29" i="4" s="1"/>
  <c r="Y30" i="4" s="1"/>
  <c r="Z31" i="4" s="1"/>
  <c r="AA32" i="4" s="1"/>
  <c r="AB33" i="4" s="1"/>
  <c r="AC34" i="4" s="1"/>
  <c r="AD35" i="4" s="1"/>
  <c r="F24" i="4"/>
  <c r="G25" i="4" s="1"/>
  <c r="H26" i="4" s="1"/>
  <c r="I27" i="4" s="1"/>
  <c r="J28" i="4" s="1"/>
  <c r="K29" i="4" s="1"/>
  <c r="L30" i="4" s="1"/>
  <c r="M31" i="4" s="1"/>
  <c r="N32" i="4" s="1"/>
  <c r="O33" i="4" s="1"/>
  <c r="P34" i="4" s="1"/>
  <c r="Q35" i="4" s="1"/>
  <c r="F25" i="4"/>
  <c r="G26" i="4" s="1"/>
  <c r="H27" i="4" s="1"/>
  <c r="I28" i="4" s="1"/>
  <c r="J29" i="4" s="1"/>
  <c r="K30" i="4" s="1"/>
  <c r="L31" i="4" s="1"/>
  <c r="M32" i="4" s="1"/>
  <c r="N33" i="4" s="1"/>
  <c r="O34" i="4" s="1"/>
  <c r="P35" i="4" s="1"/>
  <c r="F31" i="4"/>
  <c r="G32" i="4" s="1"/>
  <c r="H33" i="4" s="1"/>
  <c r="I34" i="4" s="1"/>
  <c r="J35" i="4" s="1"/>
  <c r="F35" i="4"/>
  <c r="F14" i="4"/>
  <c r="G15" i="4" s="1"/>
  <c r="H16" i="4" s="1"/>
  <c r="I17" i="4" s="1"/>
  <c r="J18" i="4" s="1"/>
  <c r="K19" i="4" s="1"/>
  <c r="L20" i="4" s="1"/>
  <c r="M21" i="4" s="1"/>
  <c r="N22" i="4" s="1"/>
  <c r="O23" i="4" s="1"/>
  <c r="P24" i="4" s="1"/>
  <c r="Q25" i="4" s="1"/>
  <c r="R26" i="4" s="1"/>
  <c r="S27" i="4" s="1"/>
  <c r="T28" i="4" s="1"/>
  <c r="U29" i="4" s="1"/>
  <c r="V30" i="4" s="1"/>
  <c r="W31" i="4" s="1"/>
  <c r="X32" i="4" s="1"/>
  <c r="Y33" i="4" s="1"/>
  <c r="Z34" i="4" s="1"/>
  <c r="AA35" i="4" s="1"/>
  <c r="F16" i="4"/>
  <c r="G17" i="4" s="1"/>
  <c r="H18" i="4" s="1"/>
  <c r="I19" i="4" s="1"/>
  <c r="J20" i="4" s="1"/>
  <c r="K21" i="4" s="1"/>
  <c r="L22" i="4" s="1"/>
  <c r="M23" i="4" s="1"/>
  <c r="N24" i="4" s="1"/>
  <c r="O25" i="4" s="1"/>
  <c r="P26" i="4" s="1"/>
  <c r="Q27" i="4" s="1"/>
  <c r="R28" i="4" s="1"/>
  <c r="S29" i="4" s="1"/>
  <c r="T30" i="4" s="1"/>
  <c r="U31" i="4" s="1"/>
  <c r="V32" i="4" s="1"/>
  <c r="W33" i="4" s="1"/>
  <c r="X34" i="4" s="1"/>
  <c r="Y35" i="4" s="1"/>
  <c r="F6" i="4"/>
  <c r="G7" i="4" s="1"/>
  <c r="H8" i="4" s="1"/>
  <c r="I9" i="4" s="1"/>
  <c r="J10" i="4" s="1"/>
  <c r="K11" i="4" s="1"/>
  <c r="L12" i="4" s="1"/>
  <c r="M13" i="4" s="1"/>
  <c r="N14" i="4" s="1"/>
  <c r="O15" i="4" s="1"/>
  <c r="P16" i="4" s="1"/>
  <c r="Q17" i="4" s="1"/>
  <c r="R18" i="4" s="1"/>
  <c r="S19" i="4" s="1"/>
  <c r="T20" i="4" s="1"/>
  <c r="U21" i="4" s="1"/>
  <c r="V22" i="4" s="1"/>
  <c r="W23" i="4" s="1"/>
  <c r="X24" i="4" s="1"/>
  <c r="Y25" i="4" s="1"/>
  <c r="Z26" i="4" s="1"/>
  <c r="AA27" i="4" s="1"/>
  <c r="AB28" i="4" s="1"/>
  <c r="AC29" i="4" s="1"/>
  <c r="AD30" i="4" s="1"/>
  <c r="AE31" i="4" s="1"/>
  <c r="AF32" i="4" s="1"/>
  <c r="AG33" i="4" s="1"/>
  <c r="AH34" i="4" s="1"/>
  <c r="AI35" i="4" s="1"/>
  <c r="F10" i="4"/>
  <c r="G11" i="4" s="1"/>
  <c r="H12" i="4" s="1"/>
  <c r="I13" i="4" s="1"/>
  <c r="J14" i="4" s="1"/>
  <c r="K15" i="4" s="1"/>
  <c r="L16" i="4" s="1"/>
  <c r="M17" i="4" s="1"/>
  <c r="N18" i="4" s="1"/>
  <c r="O19" i="4" s="1"/>
  <c r="P20" i="4" s="1"/>
  <c r="Q21" i="4" s="1"/>
  <c r="R22" i="4" s="1"/>
  <c r="S23" i="4" s="1"/>
  <c r="T24" i="4" s="1"/>
  <c r="U25" i="4" s="1"/>
  <c r="V26" i="4" s="1"/>
  <c r="W27" i="4" s="1"/>
  <c r="X28" i="4" s="1"/>
  <c r="Y29" i="4" s="1"/>
  <c r="Z30" i="4" s="1"/>
  <c r="AA31" i="4" s="1"/>
  <c r="AB32" i="4" s="1"/>
  <c r="AC33" i="4" s="1"/>
  <c r="AD34" i="4" s="1"/>
  <c r="AE35" i="4" s="1"/>
  <c r="F15" i="4"/>
  <c r="G16" i="4" s="1"/>
  <c r="H17" i="4" s="1"/>
  <c r="I18" i="4" s="1"/>
  <c r="J19" i="4" s="1"/>
  <c r="K20" i="4" s="1"/>
  <c r="L21" i="4" s="1"/>
  <c r="M22" i="4" s="1"/>
  <c r="N23" i="4" s="1"/>
  <c r="O24" i="4" s="1"/>
  <c r="P25" i="4" s="1"/>
  <c r="Q26" i="4" s="1"/>
  <c r="R27" i="4" s="1"/>
  <c r="S28" i="4" s="1"/>
  <c r="T29" i="4" s="1"/>
  <c r="U30" i="4" s="1"/>
  <c r="V31" i="4" s="1"/>
  <c r="W32" i="4" s="1"/>
  <c r="X33" i="4" s="1"/>
  <c r="Y34" i="4" s="1"/>
  <c r="Z35" i="4" s="1"/>
  <c r="F5" i="4"/>
  <c r="G6" i="4" s="1"/>
  <c r="H7" i="4" s="1"/>
  <c r="I8" i="4" s="1"/>
  <c r="J9" i="4" s="1"/>
  <c r="K10" i="4" s="1"/>
  <c r="L11" i="4" s="1"/>
  <c r="M12" i="4" s="1"/>
  <c r="N13" i="4" s="1"/>
  <c r="O14" i="4" s="1"/>
  <c r="P15" i="4" s="1"/>
  <c r="Q16" i="4" s="1"/>
  <c r="R17" i="4" s="1"/>
  <c r="S18" i="4" s="1"/>
  <c r="T19" i="4" s="1"/>
  <c r="U20" i="4" s="1"/>
  <c r="V21" i="4" s="1"/>
  <c r="W22" i="4" s="1"/>
  <c r="X23" i="4" s="1"/>
  <c r="Y24" i="4" s="1"/>
  <c r="Z25" i="4" s="1"/>
  <c r="AA26" i="4" s="1"/>
  <c r="AB27" i="4" s="1"/>
  <c r="AC28" i="4" s="1"/>
  <c r="AD29" i="4" s="1"/>
  <c r="AE30" i="4" s="1"/>
  <c r="AF31" i="4" s="1"/>
  <c r="AG32" i="4" s="1"/>
  <c r="AH33" i="4" s="1"/>
  <c r="AI34" i="4" s="1"/>
  <c r="AJ35" i="4" s="1"/>
  <c r="F28" i="4"/>
  <c r="G29" i="4" s="1"/>
  <c r="H30" i="4" s="1"/>
  <c r="I31" i="4" s="1"/>
  <c r="J32" i="4" s="1"/>
  <c r="K33" i="4" s="1"/>
  <c r="L34" i="4" s="1"/>
  <c r="M35" i="4" s="1"/>
  <c r="F30" i="4"/>
  <c r="G31" i="4" s="1"/>
  <c r="H32" i="4" s="1"/>
  <c r="I33" i="4" s="1"/>
  <c r="J34" i="4" s="1"/>
  <c r="K35" i="4" s="1"/>
  <c r="F22" i="4"/>
  <c r="G23" i="4" s="1"/>
  <c r="H24" i="4" s="1"/>
  <c r="I25" i="4" s="1"/>
  <c r="J26" i="4" s="1"/>
  <c r="K27" i="4" s="1"/>
  <c r="L28" i="4" s="1"/>
  <c r="M29" i="4" s="1"/>
  <c r="N30" i="4" s="1"/>
  <c r="O31" i="4" s="1"/>
  <c r="P32" i="4" s="1"/>
  <c r="Q33" i="4" s="1"/>
  <c r="R34" i="4" s="1"/>
  <c r="S35" i="4" s="1"/>
  <c r="G39" i="8" l="1"/>
  <c r="H25" i="8"/>
  <c r="I25" i="8" s="1"/>
  <c r="I39" i="8" s="1"/>
  <c r="D32" i="7"/>
  <c r="E32" i="7" s="1"/>
  <c r="D34" i="7"/>
  <c r="G34" i="7" s="1"/>
  <c r="H34" i="7" s="1"/>
  <c r="I34" i="7" s="1"/>
  <c r="D36" i="7"/>
  <c r="D27" i="7"/>
  <c r="E27" i="7" s="1"/>
  <c r="D35" i="7"/>
  <c r="E35" i="7" s="1"/>
  <c r="D31" i="7"/>
  <c r="E31" i="7" s="1"/>
  <c r="E28" i="7"/>
  <c r="G28" i="7"/>
  <c r="H28" i="7" s="1"/>
  <c r="I28" i="7" s="1"/>
  <c r="E26" i="7"/>
  <c r="G26" i="7"/>
  <c r="H26" i="7" s="1"/>
  <c r="I26" i="7" s="1"/>
  <c r="E30" i="7"/>
  <c r="G30" i="7"/>
  <c r="H30" i="7" s="1"/>
  <c r="I30" i="7" s="1"/>
  <c r="E37" i="7"/>
  <c r="G37" i="7"/>
  <c r="H37" i="7" s="1"/>
  <c r="I37" i="7" s="1"/>
  <c r="G32" i="7"/>
  <c r="H32" i="7" s="1"/>
  <c r="I32" i="7" s="1"/>
  <c r="E34" i="7"/>
  <c r="E25" i="7"/>
  <c r="G25" i="7"/>
  <c r="E41" i="7"/>
  <c r="G41" i="7"/>
  <c r="H41" i="7" s="1"/>
  <c r="I41" i="7" s="1"/>
  <c r="E36" i="7"/>
  <c r="G36" i="7"/>
  <c r="H36" i="7" s="1"/>
  <c r="I36" i="7" s="1"/>
  <c r="E38" i="7"/>
  <c r="G38" i="7"/>
  <c r="H38" i="7" s="1"/>
  <c r="I38" i="7" s="1"/>
  <c r="E29" i="7"/>
  <c r="G29" i="7"/>
  <c r="H29" i="7" s="1"/>
  <c r="I29" i="7" s="1"/>
  <c r="E39" i="7"/>
  <c r="G39" i="7"/>
  <c r="H39" i="7" s="1"/>
  <c r="I39" i="7" s="1"/>
  <c r="E40" i="7"/>
  <c r="G40" i="7"/>
  <c r="H40" i="7" s="1"/>
  <c r="I40" i="7" s="1"/>
  <c r="E42" i="7"/>
  <c r="G42" i="7"/>
  <c r="H42" i="7" s="1"/>
  <c r="I42" i="7" s="1"/>
  <c r="E33" i="7"/>
  <c r="G33" i="7"/>
  <c r="H33" i="7" s="1"/>
  <c r="I33" i="7" s="1"/>
  <c r="L11" i="6"/>
  <c r="D31" i="6" s="1"/>
  <c r="K11" i="6"/>
  <c r="D38" i="6" s="1"/>
  <c r="J11" i="6"/>
  <c r="M11" i="6"/>
  <c r="D32" i="6" s="1"/>
  <c r="K41" i="5"/>
  <c r="M41" i="5"/>
  <c r="N41" i="5" s="1"/>
  <c r="O41" i="5" s="1"/>
  <c r="K39" i="5"/>
  <c r="M39" i="5"/>
  <c r="N39" i="5" s="1"/>
  <c r="O39" i="5" s="1"/>
  <c r="K42" i="5"/>
  <c r="M42" i="5"/>
  <c r="N42" i="5" s="1"/>
  <c r="O42" i="5" s="1"/>
  <c r="N35" i="5"/>
  <c r="O35" i="5" s="1"/>
  <c r="K40" i="5"/>
  <c r="M40" i="5"/>
  <c r="N40" i="5" s="1"/>
  <c r="O40" i="5" s="1"/>
  <c r="F75" i="4"/>
  <c r="G50" i="4"/>
  <c r="F74" i="4"/>
  <c r="G49" i="4"/>
  <c r="F73" i="4"/>
  <c r="G48" i="4"/>
  <c r="F72" i="4"/>
  <c r="G47" i="4"/>
  <c r="F71" i="4"/>
  <c r="G46" i="4"/>
  <c r="G43" i="4"/>
  <c r="G45" i="4"/>
  <c r="F69" i="4"/>
  <c r="G44" i="4"/>
  <c r="F70" i="4"/>
  <c r="F68" i="4"/>
  <c r="F12" i="4"/>
  <c r="G13" i="4" s="1"/>
  <c r="H14" i="4" s="1"/>
  <c r="I15" i="4" s="1"/>
  <c r="J16" i="4" s="1"/>
  <c r="K17" i="4" s="1"/>
  <c r="L18" i="4" s="1"/>
  <c r="M19" i="4" s="1"/>
  <c r="N20" i="4" s="1"/>
  <c r="O21" i="4" s="1"/>
  <c r="P22" i="4" s="1"/>
  <c r="Q23" i="4" s="1"/>
  <c r="R24" i="4" s="1"/>
  <c r="S25" i="4" s="1"/>
  <c r="T26" i="4" s="1"/>
  <c r="U27" i="4" s="1"/>
  <c r="V28" i="4" s="1"/>
  <c r="W29" i="4" s="1"/>
  <c r="X30" i="4" s="1"/>
  <c r="Y31" i="4" s="1"/>
  <c r="Z32" i="4" s="1"/>
  <c r="AA33" i="4" s="1"/>
  <c r="AB34" i="4" s="1"/>
  <c r="AC35" i="4" s="1"/>
  <c r="F34" i="4"/>
  <c r="G35" i="4" s="1"/>
  <c r="F33" i="4"/>
  <c r="G34" i="4" s="1"/>
  <c r="H35" i="4" s="1"/>
  <c r="J8" i="4"/>
  <c r="E32" i="2"/>
  <c r="E28" i="2"/>
  <c r="E24" i="2"/>
  <c r="E20" i="2"/>
  <c r="E16" i="2"/>
  <c r="E12" i="2"/>
  <c r="E8" i="2"/>
  <c r="E34" i="2"/>
  <c r="E30" i="2"/>
  <c r="E26" i="2"/>
  <c r="E22" i="2"/>
  <c r="E18" i="2"/>
  <c r="E10" i="2"/>
  <c r="E6" i="2"/>
  <c r="E33" i="2"/>
  <c r="E29" i="2"/>
  <c r="E25" i="2"/>
  <c r="E21" i="2"/>
  <c r="E17" i="2"/>
  <c r="E13" i="2"/>
  <c r="E9" i="2"/>
  <c r="E5" i="2"/>
  <c r="E35" i="2"/>
  <c r="E31" i="2"/>
  <c r="E27" i="2"/>
  <c r="E23" i="2"/>
  <c r="E19" i="2"/>
  <c r="E15" i="2"/>
  <c r="E11" i="2"/>
  <c r="E7" i="2"/>
  <c r="E4" i="2"/>
  <c r="E3" i="2"/>
  <c r="F4" i="2" s="1"/>
  <c r="G5" i="2" s="1"/>
  <c r="H6" i="2" s="1"/>
  <c r="I7" i="2" s="1"/>
  <c r="J8" i="2" s="1"/>
  <c r="K9" i="2" s="1"/>
  <c r="L10" i="2" s="1"/>
  <c r="M11" i="2" s="1"/>
  <c r="N12" i="2" s="1"/>
  <c r="O13" i="2" s="1"/>
  <c r="P14" i="2" s="1"/>
  <c r="Q15" i="2" s="1"/>
  <c r="R16" i="2" s="1"/>
  <c r="S17" i="2" s="1"/>
  <c r="T18" i="2" s="1"/>
  <c r="U19" i="2" s="1"/>
  <c r="V20" i="2" s="1"/>
  <c r="W21" i="2" s="1"/>
  <c r="X22" i="2" s="1"/>
  <c r="Y23" i="2" s="1"/>
  <c r="Z24" i="2" s="1"/>
  <c r="AA25" i="2" s="1"/>
  <c r="AB26" i="2" s="1"/>
  <c r="AC27" i="2" s="1"/>
  <c r="AD28" i="2" s="1"/>
  <c r="AE29" i="2" s="1"/>
  <c r="AF30" i="2" s="1"/>
  <c r="AG31" i="2" s="1"/>
  <c r="AH32" i="2" s="1"/>
  <c r="AI33" i="2" s="1"/>
  <c r="AJ34" i="2" s="1"/>
  <c r="R62" i="1"/>
  <c r="G35" i="7" l="1"/>
  <c r="H35" i="7" s="1"/>
  <c r="I35" i="7" s="1"/>
  <c r="G27" i="7"/>
  <c r="H27" i="7" s="1"/>
  <c r="I27" i="7" s="1"/>
  <c r="G31" i="7"/>
  <c r="H31" i="7" s="1"/>
  <c r="I31" i="7" s="1"/>
  <c r="H25" i="7"/>
  <c r="I25" i="7" s="1"/>
  <c r="D30" i="6"/>
  <c r="E30" i="6" s="1"/>
  <c r="D34" i="6"/>
  <c r="E34" i="6" s="1"/>
  <c r="D35" i="6"/>
  <c r="E35" i="6" s="1"/>
  <c r="D42" i="6"/>
  <c r="E42" i="6" s="1"/>
  <c r="D39" i="6"/>
  <c r="E39" i="6" s="1"/>
  <c r="D27" i="6"/>
  <c r="G27" i="6" s="1"/>
  <c r="H27" i="6" s="1"/>
  <c r="I27" i="6" s="1"/>
  <c r="D26" i="6"/>
  <c r="E26" i="6" s="1"/>
  <c r="D36" i="6"/>
  <c r="E36" i="6" s="1"/>
  <c r="D40" i="6"/>
  <c r="E40" i="6" s="1"/>
  <c r="D25" i="6"/>
  <c r="D41" i="6"/>
  <c r="D37" i="6"/>
  <c r="D28" i="6"/>
  <c r="E28" i="6" s="1"/>
  <c r="D33" i="6"/>
  <c r="E33" i="6" s="1"/>
  <c r="D29" i="6"/>
  <c r="E29" i="6" s="1"/>
  <c r="E32" i="6"/>
  <c r="G32" i="6"/>
  <c r="H32" i="6" s="1"/>
  <c r="I32" i="6" s="1"/>
  <c r="E31" i="6"/>
  <c r="G31" i="6"/>
  <c r="H31" i="6" s="1"/>
  <c r="I31" i="6" s="1"/>
  <c r="E38" i="6"/>
  <c r="G38" i="6"/>
  <c r="H38" i="6" s="1"/>
  <c r="I38" i="6" s="1"/>
  <c r="K46" i="5"/>
  <c r="M46" i="5"/>
  <c r="N46" i="5" s="1"/>
  <c r="O46" i="5" s="1"/>
  <c r="K45" i="5"/>
  <c r="M45" i="5"/>
  <c r="N45" i="5" s="1"/>
  <c r="O45" i="5" s="1"/>
  <c r="K44" i="5"/>
  <c r="M44" i="5"/>
  <c r="N44" i="5" s="1"/>
  <c r="O44" i="5" s="1"/>
  <c r="K43" i="5"/>
  <c r="M43" i="5"/>
  <c r="H49" i="4"/>
  <c r="I49" i="4" s="1"/>
  <c r="H46" i="4"/>
  <c r="I46" i="4" s="1"/>
  <c r="H43" i="4"/>
  <c r="I43" i="4" s="1"/>
  <c r="H47" i="4"/>
  <c r="I47" i="4" s="1"/>
  <c r="H48" i="4"/>
  <c r="I48" i="4" s="1"/>
  <c r="H44" i="4"/>
  <c r="I44" i="4" s="1"/>
  <c r="H45" i="4"/>
  <c r="I45" i="4" s="1"/>
  <c r="G36" i="4"/>
  <c r="H36" i="4"/>
  <c r="I36" i="4"/>
  <c r="F36" i="4"/>
  <c r="K9" i="4"/>
  <c r="J36" i="4"/>
  <c r="F34" i="2"/>
  <c r="G35" i="2" s="1"/>
  <c r="F33" i="2"/>
  <c r="G34" i="2" s="1"/>
  <c r="H35" i="2" s="1"/>
  <c r="F32" i="2"/>
  <c r="G33" i="2" s="1"/>
  <c r="H34" i="2" s="1"/>
  <c r="I35" i="2" s="1"/>
  <c r="F31" i="2"/>
  <c r="G32" i="2" s="1"/>
  <c r="H33" i="2" s="1"/>
  <c r="I34" i="2" s="1"/>
  <c r="J35" i="2" s="1"/>
  <c r="F30" i="2"/>
  <c r="G31" i="2" s="1"/>
  <c r="H32" i="2" s="1"/>
  <c r="I33" i="2" s="1"/>
  <c r="J34" i="2" s="1"/>
  <c r="K35" i="2" s="1"/>
  <c r="F29" i="2"/>
  <c r="G30" i="2" s="1"/>
  <c r="H31" i="2" s="1"/>
  <c r="I32" i="2" s="1"/>
  <c r="J33" i="2" s="1"/>
  <c r="K34" i="2" s="1"/>
  <c r="L35" i="2" s="1"/>
  <c r="F28" i="2"/>
  <c r="G29" i="2" s="1"/>
  <c r="H30" i="2" s="1"/>
  <c r="I31" i="2" s="1"/>
  <c r="J32" i="2" s="1"/>
  <c r="K33" i="2" s="1"/>
  <c r="L34" i="2" s="1"/>
  <c r="M35" i="2" s="1"/>
  <c r="F27" i="2"/>
  <c r="G28" i="2" s="1"/>
  <c r="H29" i="2" s="1"/>
  <c r="I30" i="2" s="1"/>
  <c r="J31" i="2" s="1"/>
  <c r="K32" i="2" s="1"/>
  <c r="L33" i="2" s="1"/>
  <c r="M34" i="2" s="1"/>
  <c r="N35" i="2" s="1"/>
  <c r="F26" i="2"/>
  <c r="G27" i="2" s="1"/>
  <c r="H28" i="2" s="1"/>
  <c r="I29" i="2" s="1"/>
  <c r="J30" i="2" s="1"/>
  <c r="K31" i="2" s="1"/>
  <c r="L32" i="2" s="1"/>
  <c r="M33" i="2" s="1"/>
  <c r="N34" i="2" s="1"/>
  <c r="O35" i="2" s="1"/>
  <c r="F25" i="2"/>
  <c r="G26" i="2" s="1"/>
  <c r="H27" i="2" s="1"/>
  <c r="I28" i="2" s="1"/>
  <c r="J29" i="2" s="1"/>
  <c r="K30" i="2" s="1"/>
  <c r="L31" i="2" s="1"/>
  <c r="M32" i="2" s="1"/>
  <c r="N33" i="2" s="1"/>
  <c r="O34" i="2" s="1"/>
  <c r="P35" i="2" s="1"/>
  <c r="F24" i="2"/>
  <c r="G25" i="2" s="1"/>
  <c r="H26" i="2" s="1"/>
  <c r="I27" i="2" s="1"/>
  <c r="J28" i="2" s="1"/>
  <c r="K29" i="2" s="1"/>
  <c r="L30" i="2" s="1"/>
  <c r="M31" i="2" s="1"/>
  <c r="N32" i="2" s="1"/>
  <c r="O33" i="2" s="1"/>
  <c r="P34" i="2" s="1"/>
  <c r="Q35" i="2" s="1"/>
  <c r="F23" i="2"/>
  <c r="G24" i="2" s="1"/>
  <c r="H25" i="2" s="1"/>
  <c r="I26" i="2" s="1"/>
  <c r="J27" i="2" s="1"/>
  <c r="K28" i="2" s="1"/>
  <c r="L29" i="2" s="1"/>
  <c r="M30" i="2" s="1"/>
  <c r="N31" i="2" s="1"/>
  <c r="O32" i="2" s="1"/>
  <c r="P33" i="2" s="1"/>
  <c r="Q34" i="2" s="1"/>
  <c r="R35" i="2" s="1"/>
  <c r="F22" i="2"/>
  <c r="G23" i="2" s="1"/>
  <c r="H24" i="2" s="1"/>
  <c r="I25" i="2" s="1"/>
  <c r="J26" i="2" s="1"/>
  <c r="K27" i="2" s="1"/>
  <c r="L28" i="2" s="1"/>
  <c r="M29" i="2" s="1"/>
  <c r="N30" i="2" s="1"/>
  <c r="O31" i="2" s="1"/>
  <c r="P32" i="2" s="1"/>
  <c r="Q33" i="2" s="1"/>
  <c r="R34" i="2" s="1"/>
  <c r="S35" i="2" s="1"/>
  <c r="F21" i="2"/>
  <c r="G22" i="2" s="1"/>
  <c r="H23" i="2" s="1"/>
  <c r="I24" i="2" s="1"/>
  <c r="J25" i="2" s="1"/>
  <c r="K26" i="2" s="1"/>
  <c r="L27" i="2" s="1"/>
  <c r="M28" i="2" s="1"/>
  <c r="N29" i="2" s="1"/>
  <c r="O30" i="2" s="1"/>
  <c r="P31" i="2" s="1"/>
  <c r="Q32" i="2" s="1"/>
  <c r="R33" i="2" s="1"/>
  <c r="S34" i="2" s="1"/>
  <c r="T35" i="2" s="1"/>
  <c r="F20" i="2"/>
  <c r="G21" i="2" s="1"/>
  <c r="H22" i="2" s="1"/>
  <c r="I23" i="2" s="1"/>
  <c r="J24" i="2" s="1"/>
  <c r="K25" i="2" s="1"/>
  <c r="L26" i="2" s="1"/>
  <c r="M27" i="2" s="1"/>
  <c r="N28" i="2" s="1"/>
  <c r="O29" i="2" s="1"/>
  <c r="P30" i="2" s="1"/>
  <c r="Q31" i="2" s="1"/>
  <c r="R32" i="2" s="1"/>
  <c r="S33" i="2" s="1"/>
  <c r="T34" i="2" s="1"/>
  <c r="U35" i="2" s="1"/>
  <c r="F19" i="2"/>
  <c r="G20" i="2" s="1"/>
  <c r="H21" i="2" s="1"/>
  <c r="I22" i="2" s="1"/>
  <c r="J23" i="2" s="1"/>
  <c r="K24" i="2" s="1"/>
  <c r="F18" i="2"/>
  <c r="G19" i="2" s="1"/>
  <c r="H20" i="2" s="1"/>
  <c r="I21" i="2" s="1"/>
  <c r="J22" i="2" s="1"/>
  <c r="K23" i="2" s="1"/>
  <c r="L24" i="2" s="1"/>
  <c r="M25" i="2" s="1"/>
  <c r="N26" i="2" s="1"/>
  <c r="O27" i="2" s="1"/>
  <c r="P28" i="2" s="1"/>
  <c r="Q29" i="2" s="1"/>
  <c r="R30" i="2" s="1"/>
  <c r="S31" i="2" s="1"/>
  <c r="T32" i="2" s="1"/>
  <c r="U33" i="2" s="1"/>
  <c r="V34" i="2" s="1"/>
  <c r="W35" i="2" s="1"/>
  <c r="F17" i="2"/>
  <c r="G18" i="2" s="1"/>
  <c r="H19" i="2" s="1"/>
  <c r="I20" i="2" s="1"/>
  <c r="J21" i="2" s="1"/>
  <c r="K22" i="2" s="1"/>
  <c r="L23" i="2" s="1"/>
  <c r="M24" i="2" s="1"/>
  <c r="N25" i="2" s="1"/>
  <c r="O26" i="2" s="1"/>
  <c r="P27" i="2" s="1"/>
  <c r="Q28" i="2" s="1"/>
  <c r="R29" i="2" s="1"/>
  <c r="S30" i="2" s="1"/>
  <c r="T31" i="2" s="1"/>
  <c r="U32" i="2" s="1"/>
  <c r="V33" i="2" s="1"/>
  <c r="W34" i="2" s="1"/>
  <c r="X35" i="2" s="1"/>
  <c r="F16" i="2"/>
  <c r="G17" i="2" s="1"/>
  <c r="H18" i="2" s="1"/>
  <c r="I19" i="2" s="1"/>
  <c r="J20" i="2" s="1"/>
  <c r="K21" i="2" s="1"/>
  <c r="L22" i="2" s="1"/>
  <c r="M23" i="2" s="1"/>
  <c r="N24" i="2" s="1"/>
  <c r="O25" i="2" s="1"/>
  <c r="P26" i="2" s="1"/>
  <c r="Q27" i="2" s="1"/>
  <c r="R28" i="2" s="1"/>
  <c r="S29" i="2" s="1"/>
  <c r="T30" i="2" s="1"/>
  <c r="U31" i="2" s="1"/>
  <c r="V32" i="2" s="1"/>
  <c r="W33" i="2" s="1"/>
  <c r="X34" i="2" s="1"/>
  <c r="Y35" i="2" s="1"/>
  <c r="F15" i="2"/>
  <c r="G16" i="2" s="1"/>
  <c r="H17" i="2" s="1"/>
  <c r="I18" i="2" s="1"/>
  <c r="J19" i="2" s="1"/>
  <c r="K20" i="2" s="1"/>
  <c r="L21" i="2" s="1"/>
  <c r="M22" i="2" s="1"/>
  <c r="N23" i="2" s="1"/>
  <c r="O24" i="2" s="1"/>
  <c r="P25" i="2" s="1"/>
  <c r="Q26" i="2" s="1"/>
  <c r="R27" i="2" s="1"/>
  <c r="S28" i="2" s="1"/>
  <c r="T29" i="2" s="1"/>
  <c r="U30" i="2" s="1"/>
  <c r="V31" i="2" s="1"/>
  <c r="W32" i="2" s="1"/>
  <c r="X33" i="2" s="1"/>
  <c r="Y34" i="2" s="1"/>
  <c r="Z35" i="2" s="1"/>
  <c r="F14" i="2"/>
  <c r="G15" i="2" s="1"/>
  <c r="H16" i="2" s="1"/>
  <c r="I17" i="2" s="1"/>
  <c r="J18" i="2" s="1"/>
  <c r="K19" i="2" s="1"/>
  <c r="L20" i="2" s="1"/>
  <c r="M21" i="2" s="1"/>
  <c r="N22" i="2" s="1"/>
  <c r="O23" i="2" s="1"/>
  <c r="P24" i="2" s="1"/>
  <c r="Q25" i="2" s="1"/>
  <c r="R26" i="2" s="1"/>
  <c r="S27" i="2" s="1"/>
  <c r="T28" i="2" s="1"/>
  <c r="U29" i="2" s="1"/>
  <c r="V30" i="2" s="1"/>
  <c r="W31" i="2" s="1"/>
  <c r="X32" i="2" s="1"/>
  <c r="Y33" i="2" s="1"/>
  <c r="Z34" i="2" s="1"/>
  <c r="AA35" i="2" s="1"/>
  <c r="F13" i="2"/>
  <c r="G14" i="2" s="1"/>
  <c r="H15" i="2" s="1"/>
  <c r="I16" i="2" s="1"/>
  <c r="J17" i="2" s="1"/>
  <c r="K18" i="2" s="1"/>
  <c r="L19" i="2" s="1"/>
  <c r="M20" i="2" s="1"/>
  <c r="N21" i="2" s="1"/>
  <c r="O22" i="2" s="1"/>
  <c r="P23" i="2" s="1"/>
  <c r="Q24" i="2" s="1"/>
  <c r="R25" i="2" s="1"/>
  <c r="S26" i="2" s="1"/>
  <c r="T27" i="2" s="1"/>
  <c r="U28" i="2" s="1"/>
  <c r="V29" i="2" s="1"/>
  <c r="W30" i="2" s="1"/>
  <c r="X31" i="2" s="1"/>
  <c r="Y32" i="2" s="1"/>
  <c r="Z33" i="2" s="1"/>
  <c r="AA34" i="2" s="1"/>
  <c r="AB35" i="2" s="1"/>
  <c r="F35" i="2"/>
  <c r="F12" i="2"/>
  <c r="G13" i="2" s="1"/>
  <c r="H14" i="2" s="1"/>
  <c r="I15" i="2" s="1"/>
  <c r="J16" i="2" s="1"/>
  <c r="K17" i="2" s="1"/>
  <c r="L18" i="2" s="1"/>
  <c r="M19" i="2" s="1"/>
  <c r="N20" i="2" s="1"/>
  <c r="O21" i="2" s="1"/>
  <c r="P22" i="2" s="1"/>
  <c r="Q23" i="2" s="1"/>
  <c r="R24" i="2" s="1"/>
  <c r="S25" i="2" s="1"/>
  <c r="T26" i="2" s="1"/>
  <c r="U27" i="2" s="1"/>
  <c r="V28" i="2" s="1"/>
  <c r="W29" i="2" s="1"/>
  <c r="X30" i="2" s="1"/>
  <c r="Y31" i="2" s="1"/>
  <c r="Z32" i="2" s="1"/>
  <c r="AA33" i="2" s="1"/>
  <c r="AB34" i="2" s="1"/>
  <c r="AC35" i="2" s="1"/>
  <c r="F11" i="2"/>
  <c r="G12" i="2" s="1"/>
  <c r="H13" i="2" s="1"/>
  <c r="I14" i="2" s="1"/>
  <c r="J15" i="2" s="1"/>
  <c r="K16" i="2" s="1"/>
  <c r="L17" i="2" s="1"/>
  <c r="M18" i="2" s="1"/>
  <c r="N19" i="2" s="1"/>
  <c r="O20" i="2" s="1"/>
  <c r="P21" i="2" s="1"/>
  <c r="Q22" i="2" s="1"/>
  <c r="R23" i="2" s="1"/>
  <c r="S24" i="2" s="1"/>
  <c r="T25" i="2" s="1"/>
  <c r="U26" i="2" s="1"/>
  <c r="V27" i="2" s="1"/>
  <c r="W28" i="2" s="1"/>
  <c r="X29" i="2" s="1"/>
  <c r="Y30" i="2" s="1"/>
  <c r="Z31" i="2" s="1"/>
  <c r="AA32" i="2" s="1"/>
  <c r="AB33" i="2" s="1"/>
  <c r="AC34" i="2" s="1"/>
  <c r="AD35" i="2" s="1"/>
  <c r="F10" i="2"/>
  <c r="G11" i="2" s="1"/>
  <c r="H12" i="2" s="1"/>
  <c r="I13" i="2" s="1"/>
  <c r="J14" i="2" s="1"/>
  <c r="K15" i="2" s="1"/>
  <c r="L16" i="2" s="1"/>
  <c r="M17" i="2" s="1"/>
  <c r="N18" i="2" s="1"/>
  <c r="O19" i="2" s="1"/>
  <c r="P20" i="2" s="1"/>
  <c r="Q21" i="2" s="1"/>
  <c r="R22" i="2" s="1"/>
  <c r="S23" i="2" s="1"/>
  <c r="T24" i="2" s="1"/>
  <c r="U25" i="2" s="1"/>
  <c r="V26" i="2" s="1"/>
  <c r="W27" i="2" s="1"/>
  <c r="X28" i="2" s="1"/>
  <c r="Y29" i="2" s="1"/>
  <c r="Z30" i="2" s="1"/>
  <c r="AA31" i="2" s="1"/>
  <c r="AB32" i="2" s="1"/>
  <c r="AC33" i="2" s="1"/>
  <c r="AD34" i="2" s="1"/>
  <c r="AE35" i="2" s="1"/>
  <c r="F9" i="2"/>
  <c r="G10" i="2" s="1"/>
  <c r="H11" i="2" s="1"/>
  <c r="I12" i="2" s="1"/>
  <c r="J13" i="2" s="1"/>
  <c r="K14" i="2" s="1"/>
  <c r="L15" i="2" s="1"/>
  <c r="M16" i="2" s="1"/>
  <c r="N17" i="2" s="1"/>
  <c r="O18" i="2" s="1"/>
  <c r="P19" i="2" s="1"/>
  <c r="Q20" i="2" s="1"/>
  <c r="R21" i="2" s="1"/>
  <c r="S22" i="2" s="1"/>
  <c r="T23" i="2" s="1"/>
  <c r="U24" i="2" s="1"/>
  <c r="V25" i="2" s="1"/>
  <c r="W26" i="2" s="1"/>
  <c r="X27" i="2" s="1"/>
  <c r="Y28" i="2" s="1"/>
  <c r="Z29" i="2" s="1"/>
  <c r="AA30" i="2" s="1"/>
  <c r="AB31" i="2" s="1"/>
  <c r="AC32" i="2" s="1"/>
  <c r="AD33" i="2" s="1"/>
  <c r="AE34" i="2" s="1"/>
  <c r="AF35" i="2" s="1"/>
  <c r="F8" i="2"/>
  <c r="G9" i="2" s="1"/>
  <c r="H10" i="2" s="1"/>
  <c r="I11" i="2" s="1"/>
  <c r="J12" i="2" s="1"/>
  <c r="K13" i="2" s="1"/>
  <c r="L14" i="2" s="1"/>
  <c r="M15" i="2" s="1"/>
  <c r="N16" i="2" s="1"/>
  <c r="O17" i="2" s="1"/>
  <c r="P18" i="2" s="1"/>
  <c r="Q19" i="2" s="1"/>
  <c r="R20" i="2" s="1"/>
  <c r="S21" i="2" s="1"/>
  <c r="T22" i="2" s="1"/>
  <c r="U23" i="2" s="1"/>
  <c r="V24" i="2" s="1"/>
  <c r="W25" i="2" s="1"/>
  <c r="X26" i="2" s="1"/>
  <c r="Y27" i="2" s="1"/>
  <c r="Z28" i="2" s="1"/>
  <c r="AA29" i="2" s="1"/>
  <c r="AB30" i="2" s="1"/>
  <c r="AC31" i="2" s="1"/>
  <c r="AD32" i="2" s="1"/>
  <c r="AE33" i="2" s="1"/>
  <c r="AF34" i="2" s="1"/>
  <c r="AG35" i="2" s="1"/>
  <c r="F7" i="2"/>
  <c r="G8" i="2" s="1"/>
  <c r="H9" i="2" s="1"/>
  <c r="I10" i="2" s="1"/>
  <c r="J11" i="2" s="1"/>
  <c r="K12" i="2" s="1"/>
  <c r="L13" i="2" s="1"/>
  <c r="M14" i="2" s="1"/>
  <c r="N15" i="2" s="1"/>
  <c r="O16" i="2" s="1"/>
  <c r="P17" i="2" s="1"/>
  <c r="Q18" i="2" s="1"/>
  <c r="R19" i="2" s="1"/>
  <c r="S20" i="2" s="1"/>
  <c r="T21" i="2" s="1"/>
  <c r="U22" i="2" s="1"/>
  <c r="V23" i="2" s="1"/>
  <c r="W24" i="2" s="1"/>
  <c r="X25" i="2" s="1"/>
  <c r="Y26" i="2" s="1"/>
  <c r="Z27" i="2" s="1"/>
  <c r="AA28" i="2" s="1"/>
  <c r="AB29" i="2" s="1"/>
  <c r="AC30" i="2" s="1"/>
  <c r="AD31" i="2" s="1"/>
  <c r="AE32" i="2" s="1"/>
  <c r="AF33" i="2" s="1"/>
  <c r="AG34" i="2" s="1"/>
  <c r="AH35" i="2" s="1"/>
  <c r="F6" i="2"/>
  <c r="G7" i="2" s="1"/>
  <c r="H8" i="2" s="1"/>
  <c r="I9" i="2" s="1"/>
  <c r="J10" i="2" s="1"/>
  <c r="K11" i="2" s="1"/>
  <c r="L12" i="2" s="1"/>
  <c r="M13" i="2" s="1"/>
  <c r="N14" i="2" s="1"/>
  <c r="O15" i="2" s="1"/>
  <c r="P16" i="2" s="1"/>
  <c r="Q17" i="2" s="1"/>
  <c r="R18" i="2" s="1"/>
  <c r="S19" i="2" s="1"/>
  <c r="T20" i="2" s="1"/>
  <c r="U21" i="2" s="1"/>
  <c r="V22" i="2" s="1"/>
  <c r="W23" i="2" s="1"/>
  <c r="X24" i="2" s="1"/>
  <c r="Y25" i="2" s="1"/>
  <c r="Z26" i="2" s="1"/>
  <c r="AA27" i="2" s="1"/>
  <c r="AB28" i="2" s="1"/>
  <c r="AC29" i="2" s="1"/>
  <c r="AD30" i="2" s="1"/>
  <c r="AE31" i="2" s="1"/>
  <c r="AF32" i="2" s="1"/>
  <c r="AG33" i="2" s="1"/>
  <c r="AH34" i="2" s="1"/>
  <c r="AI35" i="2" s="1"/>
  <c r="F5" i="2"/>
  <c r="G6" i="2" s="1"/>
  <c r="H7" i="2" s="1"/>
  <c r="I8" i="2" s="1"/>
  <c r="J9" i="2" s="1"/>
  <c r="K10" i="2" s="1"/>
  <c r="L11" i="2" s="1"/>
  <c r="M12" i="2" s="1"/>
  <c r="N13" i="2" s="1"/>
  <c r="O14" i="2" s="1"/>
  <c r="P15" i="2" s="1"/>
  <c r="Q16" i="2" s="1"/>
  <c r="R17" i="2" s="1"/>
  <c r="S18" i="2" s="1"/>
  <c r="T19" i="2" s="1"/>
  <c r="U20" i="2" s="1"/>
  <c r="V21" i="2" s="1"/>
  <c r="W22" i="2" s="1"/>
  <c r="X23" i="2" s="1"/>
  <c r="Y24" i="2" s="1"/>
  <c r="Z25" i="2" s="1"/>
  <c r="AA26" i="2" s="1"/>
  <c r="AB27" i="2" s="1"/>
  <c r="AC28" i="2" s="1"/>
  <c r="AD29" i="2" s="1"/>
  <c r="AE30" i="2" s="1"/>
  <c r="AF31" i="2" s="1"/>
  <c r="AG32" i="2" s="1"/>
  <c r="AH33" i="2" s="1"/>
  <c r="AI34" i="2" s="1"/>
  <c r="AJ35" i="2" s="1"/>
  <c r="AJ36" i="2" s="1"/>
  <c r="J72" i="1"/>
  <c r="K72" i="1" s="1"/>
  <c r="J71" i="1"/>
  <c r="H82" i="1" s="1"/>
  <c r="J70" i="1"/>
  <c r="K70" i="1" s="1"/>
  <c r="J69" i="1"/>
  <c r="K69" i="1" s="1"/>
  <c r="J68" i="1"/>
  <c r="J67" i="1"/>
  <c r="K67" i="1" s="1"/>
  <c r="J66" i="1"/>
  <c r="K66" i="1" s="1"/>
  <c r="J65" i="1"/>
  <c r="L62" i="1"/>
  <c r="K58" i="1"/>
  <c r="J50" i="1"/>
  <c r="M46" i="1"/>
  <c r="I43" i="7" l="1"/>
  <c r="G34" i="6"/>
  <c r="H34" i="6" s="1"/>
  <c r="I34" i="6" s="1"/>
  <c r="G30" i="6"/>
  <c r="H30" i="6" s="1"/>
  <c r="I30" i="6" s="1"/>
  <c r="G28" i="6"/>
  <c r="H28" i="6" s="1"/>
  <c r="I28" i="6" s="1"/>
  <c r="G35" i="6"/>
  <c r="H35" i="6" s="1"/>
  <c r="I35" i="6" s="1"/>
  <c r="E27" i="6"/>
  <c r="G39" i="6"/>
  <c r="H39" i="6" s="1"/>
  <c r="I39" i="6" s="1"/>
  <c r="G42" i="6"/>
  <c r="H42" i="6" s="1"/>
  <c r="I42" i="6" s="1"/>
  <c r="G36" i="6"/>
  <c r="H36" i="6" s="1"/>
  <c r="I36" i="6" s="1"/>
  <c r="G40" i="6"/>
  <c r="H40" i="6" s="1"/>
  <c r="I40" i="6" s="1"/>
  <c r="G26" i="6"/>
  <c r="H26" i="6" s="1"/>
  <c r="I26" i="6" s="1"/>
  <c r="G29" i="6"/>
  <c r="H29" i="6" s="1"/>
  <c r="I29" i="6" s="1"/>
  <c r="E37" i="6"/>
  <c r="G37" i="6"/>
  <c r="H37" i="6" s="1"/>
  <c r="I37" i="6" s="1"/>
  <c r="E41" i="6"/>
  <c r="G41" i="6"/>
  <c r="H41" i="6" s="1"/>
  <c r="I41" i="6" s="1"/>
  <c r="G25" i="6"/>
  <c r="H25" i="6" s="1"/>
  <c r="I25" i="6" s="1"/>
  <c r="E25" i="6"/>
  <c r="G33" i="6"/>
  <c r="H33" i="6" s="1"/>
  <c r="I33" i="6" s="1"/>
  <c r="L25" i="2"/>
  <c r="M26" i="2" s="1"/>
  <c r="N43" i="5"/>
  <c r="O43" i="5" s="1"/>
  <c r="O47" i="5" s="1"/>
  <c r="M47" i="5"/>
  <c r="G59" i="4"/>
  <c r="J58" i="4"/>
  <c r="I58" i="4"/>
  <c r="H58" i="4"/>
  <c r="H60" i="4" s="1"/>
  <c r="H61" i="4" s="1"/>
  <c r="G58" i="4"/>
  <c r="J57" i="4"/>
  <c r="I57" i="4"/>
  <c r="L10" i="4"/>
  <c r="K36" i="4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K36" i="2"/>
  <c r="J36" i="2"/>
  <c r="I36" i="2"/>
  <c r="G36" i="2"/>
  <c r="H36" i="2"/>
  <c r="F36" i="2"/>
  <c r="J73" i="1"/>
  <c r="I81" i="1"/>
  <c r="L70" i="1"/>
  <c r="J81" i="1" s="1"/>
  <c r="I78" i="1"/>
  <c r="L67" i="1"/>
  <c r="J78" i="1" s="1"/>
  <c r="I80" i="1"/>
  <c r="L69" i="1"/>
  <c r="J80" i="1" s="1"/>
  <c r="I77" i="1"/>
  <c r="L66" i="1"/>
  <c r="I83" i="1"/>
  <c r="L72" i="1"/>
  <c r="K65" i="1"/>
  <c r="K71" i="1"/>
  <c r="H83" i="1"/>
  <c r="H81" i="1"/>
  <c r="H80" i="1"/>
  <c r="H79" i="1"/>
  <c r="H78" i="1"/>
  <c r="H77" i="1"/>
  <c r="H76" i="1"/>
  <c r="K68" i="1"/>
  <c r="J51" i="1"/>
  <c r="J7" i="1"/>
  <c r="H120" i="1" s="1"/>
  <c r="H3" i="1"/>
  <c r="N62" i="1" s="1"/>
  <c r="P62" i="1" s="1"/>
  <c r="J64" i="1" s="1"/>
  <c r="K43" i="7" l="1"/>
  <c r="K44" i="7" s="1"/>
  <c r="I43" i="6"/>
  <c r="G43" i="6"/>
  <c r="L36" i="2"/>
  <c r="N27" i="2"/>
  <c r="M36" i="2"/>
  <c r="I60" i="4"/>
  <c r="I61" i="4" s="1"/>
  <c r="J60" i="4"/>
  <c r="J61" i="4" s="1"/>
  <c r="G60" i="4"/>
  <c r="G61" i="4" s="1"/>
  <c r="L36" i="4"/>
  <c r="M11" i="4"/>
  <c r="H121" i="1"/>
  <c r="M69" i="1"/>
  <c r="K80" i="1" s="1"/>
  <c r="H75" i="1"/>
  <c r="H106" i="1" s="1"/>
  <c r="K64" i="1"/>
  <c r="I76" i="1"/>
  <c r="L65" i="1"/>
  <c r="J77" i="1"/>
  <c r="M66" i="1"/>
  <c r="I79" i="1"/>
  <c r="L68" i="1"/>
  <c r="J79" i="1" s="1"/>
  <c r="M7" i="1"/>
  <c r="B105" i="1"/>
  <c r="H99" i="1" s="1"/>
  <c r="M67" i="1"/>
  <c r="K73" i="1"/>
  <c r="O72" i="1"/>
  <c r="N72" i="1"/>
  <c r="L83" i="1" s="1"/>
  <c r="M72" i="1"/>
  <c r="K83" i="1" s="1"/>
  <c r="J83" i="1"/>
  <c r="M70" i="1"/>
  <c r="H84" i="1"/>
  <c r="I82" i="1"/>
  <c r="L71" i="1"/>
  <c r="J52" i="1"/>
  <c r="J8" i="1"/>
  <c r="I120" i="1" s="1"/>
  <c r="K7" i="1"/>
  <c r="N7" i="1" s="1"/>
  <c r="J1" i="1"/>
  <c r="H1" i="1"/>
  <c r="K43" i="6" l="1"/>
  <c r="K44" i="6" s="1"/>
  <c r="O28" i="2"/>
  <c r="N36" i="2"/>
  <c r="K61" i="4"/>
  <c r="K62" i="4" s="1"/>
  <c r="G62" i="4" s="1"/>
  <c r="N12" i="4"/>
  <c r="M36" i="4"/>
  <c r="N69" i="1"/>
  <c r="P69" i="1" s="1"/>
  <c r="N80" i="1" s="1"/>
  <c r="M68" i="1"/>
  <c r="O68" i="1" s="1"/>
  <c r="I121" i="1"/>
  <c r="N67" i="1"/>
  <c r="K78" i="1"/>
  <c r="I84" i="1"/>
  <c r="I107" i="1" s="1"/>
  <c r="K79" i="1"/>
  <c r="L80" i="1"/>
  <c r="Q69" i="1"/>
  <c r="O80" i="1" s="1"/>
  <c r="O69" i="1"/>
  <c r="M80" i="1" s="1"/>
  <c r="I19" i="1"/>
  <c r="P39" i="1"/>
  <c r="K77" i="1"/>
  <c r="Q66" i="1"/>
  <c r="O77" i="1" s="1"/>
  <c r="P66" i="1"/>
  <c r="N77" i="1" s="1"/>
  <c r="O66" i="1"/>
  <c r="M77" i="1" s="1"/>
  <c r="N66" i="1"/>
  <c r="L77" i="1" s="1"/>
  <c r="L64" i="1"/>
  <c r="J82" i="1"/>
  <c r="M71" i="1"/>
  <c r="H107" i="1"/>
  <c r="H108" i="1" s="1"/>
  <c r="H7" i="1"/>
  <c r="H119" i="1" s="1"/>
  <c r="G65" i="1"/>
  <c r="H50" i="1"/>
  <c r="J9" i="1"/>
  <c r="B106" i="1"/>
  <c r="I99" i="1" s="1"/>
  <c r="K81" i="1"/>
  <c r="N70" i="1"/>
  <c r="M83" i="1"/>
  <c r="Q72" i="1"/>
  <c r="O83" i="1" s="1"/>
  <c r="P72" i="1"/>
  <c r="N83" i="1" s="1"/>
  <c r="J76" i="1"/>
  <c r="J84" i="1" s="1"/>
  <c r="J107" i="1" s="1"/>
  <c r="M65" i="1"/>
  <c r="L73" i="1"/>
  <c r="I75" i="1"/>
  <c r="I106" i="1" s="1"/>
  <c r="J53" i="1"/>
  <c r="H2" i="1"/>
  <c r="H4" i="1" s="1"/>
  <c r="O7" i="1" s="1"/>
  <c r="K8" i="1"/>
  <c r="N8" i="1" s="1"/>
  <c r="M8" i="1"/>
  <c r="P29" i="2" l="1"/>
  <c r="O36" i="2"/>
  <c r="G68" i="4"/>
  <c r="H62" i="4"/>
  <c r="G69" i="4" s="1"/>
  <c r="J62" i="4"/>
  <c r="G71" i="4" s="1"/>
  <c r="J71" i="4" s="1"/>
  <c r="I62" i="4"/>
  <c r="G70" i="4" s="1"/>
  <c r="O13" i="4"/>
  <c r="N36" i="4"/>
  <c r="N68" i="1"/>
  <c r="L79" i="1" s="1"/>
  <c r="P83" i="1"/>
  <c r="I108" i="1"/>
  <c r="I109" i="1" s="1"/>
  <c r="B107" i="1"/>
  <c r="J99" i="1" s="1"/>
  <c r="J120" i="1"/>
  <c r="J121" i="1" s="1"/>
  <c r="O70" i="1"/>
  <c r="L81" i="1"/>
  <c r="H109" i="1"/>
  <c r="I50" i="1"/>
  <c r="H51" i="1" s="1"/>
  <c r="I51" i="1" s="1"/>
  <c r="H52" i="1" s="1"/>
  <c r="I52" i="1" s="1"/>
  <c r="M64" i="1"/>
  <c r="M79" i="1"/>
  <c r="Q68" i="1"/>
  <c r="O79" i="1" s="1"/>
  <c r="P79" i="1" s="1"/>
  <c r="P68" i="1"/>
  <c r="N79" i="1" s="1"/>
  <c r="Q67" i="1"/>
  <c r="O78" i="1" s="1"/>
  <c r="P67" i="1"/>
  <c r="N78" i="1" s="1"/>
  <c r="O67" i="1"/>
  <c r="M78" i="1" s="1"/>
  <c r="P78" i="1" s="1"/>
  <c r="L78" i="1"/>
  <c r="H65" i="1"/>
  <c r="G66" i="1" s="1"/>
  <c r="H66" i="1" s="1"/>
  <c r="G67" i="1" s="1"/>
  <c r="H67" i="1" s="1"/>
  <c r="G68" i="1" s="1"/>
  <c r="H68" i="1" s="1"/>
  <c r="G69" i="1" s="1"/>
  <c r="H69" i="1" s="1"/>
  <c r="G70" i="1" s="1"/>
  <c r="H70" i="1" s="1"/>
  <c r="G71" i="1" s="1"/>
  <c r="H71" i="1" s="1"/>
  <c r="G72" i="1" s="1"/>
  <c r="H72" i="1" s="1"/>
  <c r="J75" i="1"/>
  <c r="J106" i="1" s="1"/>
  <c r="J108" i="1" s="1"/>
  <c r="J109" i="1" s="1"/>
  <c r="J10" i="1"/>
  <c r="K120" i="1" s="1"/>
  <c r="P80" i="1"/>
  <c r="I20" i="1"/>
  <c r="P40" i="1"/>
  <c r="K76" i="1"/>
  <c r="N65" i="1"/>
  <c r="M73" i="1"/>
  <c r="H39" i="1"/>
  <c r="N71" i="1"/>
  <c r="K82" i="1"/>
  <c r="P77" i="1"/>
  <c r="J54" i="1"/>
  <c r="J55" i="1" s="1"/>
  <c r="J56" i="1" s="1"/>
  <c r="J57" i="1" s="1"/>
  <c r="I39" i="1"/>
  <c r="I7" i="1"/>
  <c r="H8" i="1" s="1"/>
  <c r="I119" i="1" s="1"/>
  <c r="O8" i="1"/>
  <c r="M9" i="1"/>
  <c r="P41" i="1" s="1"/>
  <c r="K9" i="1"/>
  <c r="N9" i="1" s="1"/>
  <c r="Q30" i="2" l="1"/>
  <c r="P36" i="2"/>
  <c r="J68" i="4"/>
  <c r="K68" i="4" s="1"/>
  <c r="G72" i="4"/>
  <c r="G76" i="4" s="1"/>
  <c r="H68" i="4"/>
  <c r="J70" i="4"/>
  <c r="K70" i="4" s="1"/>
  <c r="L70" i="4" s="1"/>
  <c r="H70" i="4"/>
  <c r="G74" i="4"/>
  <c r="K71" i="4"/>
  <c r="L71" i="4" s="1"/>
  <c r="G75" i="4"/>
  <c r="H71" i="4"/>
  <c r="H69" i="4"/>
  <c r="G73" i="4"/>
  <c r="J69" i="4"/>
  <c r="K69" i="4" s="1"/>
  <c r="L69" i="4" s="1"/>
  <c r="P14" i="4"/>
  <c r="O36" i="4"/>
  <c r="K121" i="1"/>
  <c r="H53" i="1"/>
  <c r="I53" i="1" s="1"/>
  <c r="H54" i="1" s="1"/>
  <c r="I54" i="1" s="1"/>
  <c r="H55" i="1" s="1"/>
  <c r="N64" i="1"/>
  <c r="M81" i="1"/>
  <c r="P70" i="1"/>
  <c r="O71" i="1"/>
  <c r="L82" i="1"/>
  <c r="G76" i="1"/>
  <c r="L76" i="1"/>
  <c r="Q65" i="1"/>
  <c r="P65" i="1"/>
  <c r="O65" i="1"/>
  <c r="N73" i="1"/>
  <c r="H40" i="1"/>
  <c r="I40" i="1" s="1"/>
  <c r="C105" i="1"/>
  <c r="H98" i="1" s="1"/>
  <c r="K84" i="1"/>
  <c r="J11" i="1"/>
  <c r="L120" i="1" s="1"/>
  <c r="B108" i="1"/>
  <c r="K99" i="1" s="1"/>
  <c r="K75" i="1"/>
  <c r="K106" i="1" s="1"/>
  <c r="I8" i="1"/>
  <c r="H9" i="1" s="1"/>
  <c r="J119" i="1" s="1"/>
  <c r="L7" i="1"/>
  <c r="H19" i="1" s="1"/>
  <c r="K19" i="1" s="1"/>
  <c r="O9" i="1"/>
  <c r="I21" i="1"/>
  <c r="L8" i="1"/>
  <c r="H20" i="1" s="1"/>
  <c r="M10" i="1"/>
  <c r="P42" i="1" s="1"/>
  <c r="K10" i="1"/>
  <c r="N10" i="1" s="1"/>
  <c r="R31" i="2" l="1"/>
  <c r="Q36" i="2"/>
  <c r="L68" i="4"/>
  <c r="H72" i="4"/>
  <c r="J72" i="4"/>
  <c r="K72" i="4" s="1"/>
  <c r="L72" i="4" s="1"/>
  <c r="H76" i="4"/>
  <c r="J76" i="4"/>
  <c r="K76" i="4" s="1"/>
  <c r="L76" i="4" s="1"/>
  <c r="J75" i="4"/>
  <c r="K75" i="4" s="1"/>
  <c r="L75" i="4" s="1"/>
  <c r="H75" i="4"/>
  <c r="J74" i="4"/>
  <c r="K74" i="4" s="1"/>
  <c r="L74" i="4" s="1"/>
  <c r="H74" i="4"/>
  <c r="G78" i="4"/>
  <c r="H73" i="4"/>
  <c r="G77" i="4"/>
  <c r="J73" i="4"/>
  <c r="Q15" i="4"/>
  <c r="P36" i="4"/>
  <c r="L84" i="1"/>
  <c r="L107" i="1" s="1"/>
  <c r="I9" i="1"/>
  <c r="H10" i="1" s="1"/>
  <c r="K119" i="1" s="1"/>
  <c r="G77" i="1"/>
  <c r="J88" i="1" s="1"/>
  <c r="L121" i="1"/>
  <c r="C106" i="1"/>
  <c r="I98" i="1" s="1"/>
  <c r="I101" i="1" s="1"/>
  <c r="I55" i="1"/>
  <c r="H56" i="1" s="1"/>
  <c r="I56" i="1" s="1"/>
  <c r="H57" i="1" s="1"/>
  <c r="I57" i="1" s="1"/>
  <c r="H88" i="1"/>
  <c r="M76" i="1"/>
  <c r="O73" i="1"/>
  <c r="G87" i="1"/>
  <c r="H87" i="1"/>
  <c r="J87" i="1"/>
  <c r="I87" i="1"/>
  <c r="N81" i="1"/>
  <c r="Q70" i="1"/>
  <c r="O81" i="1" s="1"/>
  <c r="P81" i="1" s="1"/>
  <c r="B109" i="1"/>
  <c r="L99" i="1" s="1"/>
  <c r="J12" i="1"/>
  <c r="M120" i="1" s="1"/>
  <c r="H41" i="1"/>
  <c r="I41" i="1" s="1"/>
  <c r="C107" i="1"/>
  <c r="J98" i="1" s="1"/>
  <c r="J100" i="1" s="1"/>
  <c r="J101" i="1" s="1"/>
  <c r="G78" i="1"/>
  <c r="K107" i="1"/>
  <c r="K108" i="1" s="1"/>
  <c r="N76" i="1"/>
  <c r="H42" i="1"/>
  <c r="I42" i="1" s="1"/>
  <c r="M82" i="1"/>
  <c r="P71" i="1"/>
  <c r="P73" i="1" s="1"/>
  <c r="O64" i="1"/>
  <c r="M75" i="1" s="1"/>
  <c r="I100" i="1"/>
  <c r="H100" i="1"/>
  <c r="O76" i="1"/>
  <c r="L75" i="1"/>
  <c r="L106" i="1" s="1"/>
  <c r="L108" i="1" s="1"/>
  <c r="L109" i="1" s="1"/>
  <c r="K20" i="1"/>
  <c r="O10" i="1"/>
  <c r="I22" i="1"/>
  <c r="L9" i="1"/>
  <c r="H21" i="1" s="1"/>
  <c r="I10" i="1"/>
  <c r="H11" i="1" s="1"/>
  <c r="L119" i="1" s="1"/>
  <c r="M11" i="1"/>
  <c r="K11" i="1"/>
  <c r="N11" i="1" s="1"/>
  <c r="S32" i="2" l="1"/>
  <c r="R36" i="2"/>
  <c r="K73" i="4"/>
  <c r="L73" i="4" s="1"/>
  <c r="H77" i="4"/>
  <c r="J77" i="4"/>
  <c r="K77" i="4" s="1"/>
  <c r="L77" i="4" s="1"/>
  <c r="J78" i="4"/>
  <c r="K78" i="4" s="1"/>
  <c r="L78" i="4" s="1"/>
  <c r="H78" i="4"/>
  <c r="R16" i="4"/>
  <c r="Q36" i="4"/>
  <c r="G88" i="1"/>
  <c r="I88" i="1"/>
  <c r="M121" i="1"/>
  <c r="K109" i="1"/>
  <c r="M106" i="1"/>
  <c r="L87" i="1"/>
  <c r="L88" i="1"/>
  <c r="J13" i="1"/>
  <c r="N120" i="1" s="1"/>
  <c r="B110" i="1"/>
  <c r="M99" i="1" s="1"/>
  <c r="G79" i="1"/>
  <c r="L89" i="1"/>
  <c r="H89" i="1"/>
  <c r="K89" i="1"/>
  <c r="G89" i="1"/>
  <c r="J89" i="1"/>
  <c r="I89" i="1"/>
  <c r="M84" i="1"/>
  <c r="H43" i="1"/>
  <c r="C108" i="1"/>
  <c r="K98" i="1" s="1"/>
  <c r="K100" i="1" s="1"/>
  <c r="K101" i="1" s="1"/>
  <c r="K87" i="1"/>
  <c r="I23" i="1"/>
  <c r="P43" i="1"/>
  <c r="M12" i="1"/>
  <c r="P44" i="1" s="1"/>
  <c r="P76" i="1"/>
  <c r="P64" i="1"/>
  <c r="N75" i="1" s="1"/>
  <c r="H101" i="1"/>
  <c r="N82" i="1"/>
  <c r="N84" i="1" s="1"/>
  <c r="N107" i="1" s="1"/>
  <c r="Q71" i="1"/>
  <c r="O82" i="1" s="1"/>
  <c r="K88" i="1"/>
  <c r="I43" i="1"/>
  <c r="L10" i="1"/>
  <c r="H22" i="1" s="1"/>
  <c r="I11" i="1"/>
  <c r="H12" i="1" s="1"/>
  <c r="M119" i="1" s="1"/>
  <c r="K21" i="1"/>
  <c r="O11" i="1"/>
  <c r="K12" i="1"/>
  <c r="T33" i="2" l="1"/>
  <c r="S36" i="2"/>
  <c r="J79" i="4"/>
  <c r="L79" i="4"/>
  <c r="R36" i="4"/>
  <c r="S17" i="4"/>
  <c r="P82" i="1"/>
  <c r="N121" i="1"/>
  <c r="Q64" i="1"/>
  <c r="O75" i="1" s="1"/>
  <c r="N90" i="1" s="1"/>
  <c r="G80" i="1"/>
  <c r="J14" i="1"/>
  <c r="O120" i="1" s="1"/>
  <c r="P120" i="1" s="1"/>
  <c r="B111" i="1"/>
  <c r="N99" i="1" s="1"/>
  <c r="M13" i="1"/>
  <c r="H44" i="1"/>
  <c r="I44" i="1" s="1"/>
  <c r="N106" i="1"/>
  <c r="N108" i="1" s="1"/>
  <c r="N109" i="1" s="1"/>
  <c r="M88" i="1"/>
  <c r="M87" i="1"/>
  <c r="M107" i="1"/>
  <c r="M108" i="1" s="1"/>
  <c r="I24" i="1"/>
  <c r="C109" i="1"/>
  <c r="L98" i="1" s="1"/>
  <c r="L90" i="1"/>
  <c r="H90" i="1"/>
  <c r="G90" i="1"/>
  <c r="K90" i="1"/>
  <c r="J90" i="1"/>
  <c r="M90" i="1"/>
  <c r="I90" i="1"/>
  <c r="O12" i="1"/>
  <c r="O84" i="1"/>
  <c r="O107" i="1" s="1"/>
  <c r="M89" i="1"/>
  <c r="Q73" i="1"/>
  <c r="R73" i="1" s="1"/>
  <c r="K22" i="1"/>
  <c r="I12" i="1"/>
  <c r="H13" i="1" s="1"/>
  <c r="N119" i="1" s="1"/>
  <c r="L12" i="1"/>
  <c r="H24" i="1" s="1"/>
  <c r="L11" i="1"/>
  <c r="H23" i="1" s="1"/>
  <c r="N12" i="1"/>
  <c r="K13" i="1"/>
  <c r="U34" i="2" l="1"/>
  <c r="T36" i="2"/>
  <c r="T18" i="4"/>
  <c r="S36" i="4"/>
  <c r="C110" i="1"/>
  <c r="M98" i="1" s="1"/>
  <c r="M100" i="1" s="1"/>
  <c r="M101" i="1" s="1"/>
  <c r="O121" i="1"/>
  <c r="G81" i="1"/>
  <c r="I92" i="1" s="1"/>
  <c r="M109" i="1"/>
  <c r="B112" i="1"/>
  <c r="O99" i="1" s="1"/>
  <c r="M14" i="1"/>
  <c r="O106" i="1"/>
  <c r="N88" i="1"/>
  <c r="O88" i="1" s="1"/>
  <c r="N87" i="1"/>
  <c r="O87" i="1" s="1"/>
  <c r="N89" i="1"/>
  <c r="O89" i="1" s="1"/>
  <c r="M92" i="1"/>
  <c r="L92" i="1"/>
  <c r="J15" i="1"/>
  <c r="O90" i="1"/>
  <c r="L100" i="1"/>
  <c r="L101" i="1" s="1"/>
  <c r="P84" i="1"/>
  <c r="P45" i="1"/>
  <c r="O13" i="1"/>
  <c r="I25" i="1"/>
  <c r="M91" i="1"/>
  <c r="H91" i="1"/>
  <c r="G91" i="1"/>
  <c r="L91" i="1"/>
  <c r="K91" i="1"/>
  <c r="J91" i="1"/>
  <c r="N91" i="1"/>
  <c r="I91" i="1"/>
  <c r="I13" i="1"/>
  <c r="C111" i="1" s="1"/>
  <c r="N98" i="1" s="1"/>
  <c r="N100" i="1" s="1"/>
  <c r="N101" i="1" s="1"/>
  <c r="H45" i="1"/>
  <c r="K23" i="1"/>
  <c r="K24" i="1"/>
  <c r="N13" i="1"/>
  <c r="K14" i="1"/>
  <c r="N14" i="1" s="1"/>
  <c r="V35" i="2" l="1"/>
  <c r="V36" i="2" s="1"/>
  <c r="U36" i="2"/>
  <c r="T36" i="4"/>
  <c r="U19" i="4"/>
  <c r="J92" i="1"/>
  <c r="G92" i="1"/>
  <c r="N92" i="1"/>
  <c r="H92" i="1"/>
  <c r="O92" i="1" s="1"/>
  <c r="K92" i="1"/>
  <c r="M15" i="1"/>
  <c r="P46" i="1"/>
  <c r="O14" i="1"/>
  <c r="I26" i="1"/>
  <c r="O108" i="1"/>
  <c r="P108" i="1" s="1"/>
  <c r="AH52" i="1" s="1"/>
  <c r="O91" i="1"/>
  <c r="G82" i="1"/>
  <c r="I45" i="1"/>
  <c r="H14" i="1"/>
  <c r="O119" i="1" s="1"/>
  <c r="L13" i="1"/>
  <c r="H25" i="1" s="1"/>
  <c r="K25" i="1" s="1"/>
  <c r="V20" i="4" l="1"/>
  <c r="U36" i="4"/>
  <c r="M93" i="1"/>
  <c r="I93" i="1"/>
  <c r="G93" i="1"/>
  <c r="L93" i="1"/>
  <c r="H93" i="1"/>
  <c r="K93" i="1"/>
  <c r="N93" i="1"/>
  <c r="J93" i="1"/>
  <c r="O109" i="1"/>
  <c r="P109" i="1" s="1"/>
  <c r="P110" i="1" s="1"/>
  <c r="P111" i="1" s="1"/>
  <c r="I14" i="1"/>
  <c r="L14" i="1" s="1"/>
  <c r="H26" i="1" s="1"/>
  <c r="H46" i="1"/>
  <c r="W21" i="4" l="1"/>
  <c r="V36" i="4"/>
  <c r="O93" i="1"/>
  <c r="G83" i="1"/>
  <c r="C112" i="1"/>
  <c r="O98" i="1" s="1"/>
  <c r="O100" i="1" s="1"/>
  <c r="I46" i="1"/>
  <c r="K26" i="1"/>
  <c r="X22" i="4" l="1"/>
  <c r="W36" i="4"/>
  <c r="O101" i="1"/>
  <c r="P101" i="1" s="1"/>
  <c r="P100" i="1"/>
  <c r="AF52" i="1" s="1"/>
  <c r="K27" i="1"/>
  <c r="J23" i="1" s="1"/>
  <c r="L23" i="1" s="1"/>
  <c r="M23" i="1" s="1"/>
  <c r="N23" i="1" s="1"/>
  <c r="O23" i="1" s="1"/>
  <c r="M94" i="1"/>
  <c r="M95" i="1" s="1"/>
  <c r="I94" i="1"/>
  <c r="I95" i="1" s="1"/>
  <c r="G94" i="1"/>
  <c r="L94" i="1"/>
  <c r="L95" i="1" s="1"/>
  <c r="H94" i="1"/>
  <c r="H95" i="1" s="1"/>
  <c r="K94" i="1"/>
  <c r="K95" i="1" s="1"/>
  <c r="N94" i="1"/>
  <c r="N95" i="1" s="1"/>
  <c r="J94" i="1"/>
  <c r="J95" i="1" s="1"/>
  <c r="J21" i="1"/>
  <c r="L21" i="1" s="1"/>
  <c r="M21" i="1" s="1"/>
  <c r="N21" i="1" s="1"/>
  <c r="O21" i="1" s="1"/>
  <c r="J24" i="1"/>
  <c r="L24" i="1" s="1"/>
  <c r="M24" i="1" s="1"/>
  <c r="N24" i="1" s="1"/>
  <c r="O24" i="1" s="1"/>
  <c r="J20" i="1"/>
  <c r="L20" i="1" s="1"/>
  <c r="M20" i="1" s="1"/>
  <c r="N20" i="1" s="1"/>
  <c r="O20" i="1" s="1"/>
  <c r="H17" i="1"/>
  <c r="J25" i="1" l="1"/>
  <c r="L25" i="1" s="1"/>
  <c r="M25" i="1" s="1"/>
  <c r="N25" i="1" s="1"/>
  <c r="O25" i="1" s="1"/>
  <c r="J22" i="1"/>
  <c r="L22" i="1" s="1"/>
  <c r="M22" i="1" s="1"/>
  <c r="N22" i="1" s="1"/>
  <c r="O22" i="1" s="1"/>
  <c r="J19" i="1"/>
  <c r="L19" i="1" s="1"/>
  <c r="M19" i="1" s="1"/>
  <c r="M27" i="1" s="1"/>
  <c r="H28" i="1" s="1"/>
  <c r="Y23" i="4"/>
  <c r="X36" i="4"/>
  <c r="J26" i="1"/>
  <c r="L26" i="1" s="1"/>
  <c r="M26" i="1" s="1"/>
  <c r="N26" i="1" s="1"/>
  <c r="O26" i="1" s="1"/>
  <c r="O94" i="1"/>
  <c r="G95" i="1"/>
  <c r="O95" i="1" s="1"/>
  <c r="P102" i="1"/>
  <c r="P103" i="1" s="1"/>
  <c r="N19" i="1"/>
  <c r="L27" i="1" l="1"/>
  <c r="Y36" i="4"/>
  <c r="Z24" i="4"/>
  <c r="H29" i="1"/>
  <c r="M29" i="1" s="1"/>
  <c r="M30" i="1" s="1"/>
  <c r="J113" i="1"/>
  <c r="AC52" i="1" s="1"/>
  <c r="AF55" i="1" s="1"/>
  <c r="O19" i="1"/>
  <c r="O27" i="1" s="1"/>
  <c r="L28" i="1" s="1"/>
  <c r="N27" i="1"/>
  <c r="J28" i="1" s="1"/>
  <c r="Z36" i="4" l="1"/>
  <c r="AA25" i="4"/>
  <c r="J115" i="1"/>
  <c r="H30" i="1"/>
  <c r="K40" i="1" s="1"/>
  <c r="M40" i="1" s="1"/>
  <c r="M32" i="1"/>
  <c r="J35" i="1"/>
  <c r="H35" i="1"/>
  <c r="AB26" i="4" l="1"/>
  <c r="AA36" i="4"/>
  <c r="K46" i="1"/>
  <c r="J43" i="1"/>
  <c r="L43" i="1" s="1"/>
  <c r="J44" i="1"/>
  <c r="L44" i="1" s="1"/>
  <c r="K43" i="1"/>
  <c r="M43" i="1" s="1"/>
  <c r="N43" i="1" s="1"/>
  <c r="K39" i="1"/>
  <c r="M39" i="1" s="1"/>
  <c r="N39" i="1" s="1"/>
  <c r="G50" i="1" s="1"/>
  <c r="H31" i="1"/>
  <c r="J40" i="1"/>
  <c r="L40" i="1" s="1"/>
  <c r="K41" i="1"/>
  <c r="M41" i="1" s="1"/>
  <c r="K45" i="1"/>
  <c r="M45" i="1" s="1"/>
  <c r="J45" i="1"/>
  <c r="L45" i="1" s="1"/>
  <c r="K42" i="1"/>
  <c r="M42" i="1" s="1"/>
  <c r="J41" i="1"/>
  <c r="L41" i="1" s="1"/>
  <c r="K44" i="1"/>
  <c r="M44" i="1" s="1"/>
  <c r="N44" i="1" s="1"/>
  <c r="J46" i="1"/>
  <c r="L46" i="1" s="1"/>
  <c r="N46" i="1" s="1"/>
  <c r="G57" i="1" s="1"/>
  <c r="J42" i="1"/>
  <c r="L42" i="1" s="1"/>
  <c r="L60" i="1"/>
  <c r="L122" i="1"/>
  <c r="L123" i="1" s="1"/>
  <c r="O122" i="1"/>
  <c r="O123" i="1" s="1"/>
  <c r="H122" i="1"/>
  <c r="H123" i="1" s="1"/>
  <c r="K122" i="1"/>
  <c r="K123" i="1" s="1"/>
  <c r="M122" i="1"/>
  <c r="M123" i="1" s="1"/>
  <c r="I122" i="1"/>
  <c r="I123" i="1" s="1"/>
  <c r="J122" i="1"/>
  <c r="J123" i="1" s="1"/>
  <c r="N122" i="1"/>
  <c r="N123" i="1" s="1"/>
  <c r="H32" i="1"/>
  <c r="O46" i="1"/>
  <c r="L57" i="1" s="1"/>
  <c r="N40" i="1"/>
  <c r="H34" i="1"/>
  <c r="J34" i="1"/>
  <c r="N45" i="1" l="1"/>
  <c r="G56" i="1" s="1"/>
  <c r="AC27" i="4"/>
  <c r="AB36" i="4"/>
  <c r="O45" i="1"/>
  <c r="L56" i="1" s="1"/>
  <c r="O39" i="1"/>
  <c r="L50" i="1" s="1"/>
  <c r="M50" i="1" s="1"/>
  <c r="N41" i="1"/>
  <c r="Q122" i="1"/>
  <c r="Q123" i="1" s="1"/>
  <c r="N42" i="1"/>
  <c r="N47" i="1" s="1"/>
  <c r="O40" i="1"/>
  <c r="L51" i="1" s="1"/>
  <c r="M51" i="1" s="1"/>
  <c r="G51" i="1"/>
  <c r="O43" i="1"/>
  <c r="L54" i="1" s="1"/>
  <c r="M54" i="1" s="1"/>
  <c r="G54" i="1"/>
  <c r="O44" i="1"/>
  <c r="L55" i="1" s="1"/>
  <c r="G55" i="1"/>
  <c r="M55" i="1" l="1"/>
  <c r="P55" i="1" s="1"/>
  <c r="AD28" i="4"/>
  <c r="AC36" i="4"/>
  <c r="O42" i="1"/>
  <c r="L53" i="1" s="1"/>
  <c r="M53" i="1" s="1"/>
  <c r="G53" i="1"/>
  <c r="O41" i="1"/>
  <c r="L52" i="1" s="1"/>
  <c r="M52" i="1" s="1"/>
  <c r="M58" i="1" s="1"/>
  <c r="G52" i="1"/>
  <c r="N51" i="1"/>
  <c r="O51" i="1" s="1"/>
  <c r="P51" i="1"/>
  <c r="N55" i="1"/>
  <c r="O55" i="1" s="1"/>
  <c r="N54" i="1"/>
  <c r="O54" i="1" s="1"/>
  <c r="P54" i="1"/>
  <c r="P50" i="1"/>
  <c r="N50" i="1"/>
  <c r="O50" i="1" s="1"/>
  <c r="AE29" i="4" l="1"/>
  <c r="AD36" i="4"/>
  <c r="O47" i="1"/>
  <c r="N52" i="1"/>
  <c r="O52" i="1" s="1"/>
  <c r="P52" i="1"/>
  <c r="L58" i="1"/>
  <c r="P53" i="1"/>
  <c r="N53" i="1"/>
  <c r="O53" i="1" s="1"/>
  <c r="AF30" i="4" l="1"/>
  <c r="AE36" i="4"/>
  <c r="P58" i="1"/>
  <c r="P59" i="1" s="1"/>
  <c r="O58" i="1"/>
  <c r="AG31" i="4" l="1"/>
  <c r="AF36" i="4"/>
  <c r="AH32" i="4" l="1"/>
  <c r="AG36" i="4"/>
  <c r="AI33" i="4" l="1"/>
  <c r="AH36" i="4"/>
  <c r="AJ34" i="4" l="1"/>
  <c r="AJ36" i="4" s="1"/>
  <c r="AI36" i="4"/>
  <c r="K38" i="8" l="1"/>
  <c r="K39" i="8"/>
</calcChain>
</file>

<file path=xl/sharedStrings.xml><?xml version="1.0" encoding="utf-8"?>
<sst xmlns="http://schemas.openxmlformats.org/spreadsheetml/2006/main" count="340" uniqueCount="191">
  <si>
    <t>X</t>
  </si>
  <si>
    <t>Y</t>
  </si>
  <si>
    <t>Xmin</t>
  </si>
  <si>
    <t>Xmax</t>
  </si>
  <si>
    <t>R</t>
  </si>
  <si>
    <t>k</t>
  </si>
  <si>
    <t>h</t>
  </si>
  <si>
    <t>ai</t>
  </si>
  <si>
    <t>bi</t>
  </si>
  <si>
    <t>ni</t>
  </si>
  <si>
    <t>nsi</t>
  </si>
  <si>
    <t>xi</t>
  </si>
  <si>
    <t>Вариант 8</t>
  </si>
  <si>
    <t>-</t>
  </si>
  <si>
    <t>xср=</t>
  </si>
  <si>
    <t>d</t>
  </si>
  <si>
    <t>несмещ s2=</t>
  </si>
  <si>
    <t>несмещ s=</t>
  </si>
  <si>
    <t>t=</t>
  </si>
  <si>
    <t>ts/n^0,5=</t>
  </si>
  <si>
    <t>интервальная оценка</t>
  </si>
  <si>
    <t>&lt;a&lt;</t>
  </si>
  <si>
    <t>&lt;s&lt;</t>
  </si>
  <si>
    <t>d*ui</t>
  </si>
  <si>
    <t>d2*ui</t>
  </si>
  <si>
    <t>d3*ui</t>
  </si>
  <si>
    <t>d4*ui</t>
  </si>
  <si>
    <r>
      <t>u</t>
    </r>
    <r>
      <rPr>
        <sz val="12"/>
        <color theme="1"/>
        <rFont val="Calibri"/>
        <family val="2"/>
        <scheme val="minor"/>
      </rPr>
      <t>i</t>
    </r>
  </si>
  <si>
    <t>u2=</t>
  </si>
  <si>
    <t>s2=</t>
  </si>
  <si>
    <t>s=</t>
  </si>
  <si>
    <t>u3=</t>
  </si>
  <si>
    <t>u4=</t>
  </si>
  <si>
    <t>t1i</t>
  </si>
  <si>
    <t>t2i</t>
  </si>
  <si>
    <t>F(t1)</t>
  </si>
  <si>
    <t>F(t2)</t>
  </si>
  <si>
    <t>pi</t>
  </si>
  <si>
    <t>mti=npi</t>
  </si>
  <si>
    <r>
      <t>m</t>
    </r>
    <r>
      <rPr>
        <sz val="10"/>
        <rFont val="Arial Cyr"/>
        <charset val="204"/>
      </rPr>
      <t>i</t>
    </r>
  </si>
  <si>
    <t>"-Ґ</t>
  </si>
  <si>
    <t>q=</t>
  </si>
  <si>
    <t>&lt;1</t>
  </si>
  <si>
    <r>
      <t>u</t>
    </r>
    <r>
      <rPr>
        <sz val="12"/>
        <color theme="1"/>
        <rFont val="Calibri"/>
        <family val="2"/>
        <scheme val="minor"/>
      </rPr>
      <t>i=ni/100</t>
    </r>
  </si>
  <si>
    <t>wsi=nsi/100</t>
  </si>
  <si>
    <r>
      <t>u</t>
    </r>
    <r>
      <rPr>
        <sz val="12"/>
        <color theme="1"/>
        <rFont val="Calibri"/>
        <family val="2"/>
        <scheme val="minor"/>
      </rPr>
      <t>i/h</t>
    </r>
  </si>
  <si>
    <t>pi/h</t>
  </si>
  <si>
    <t>n*i</t>
  </si>
  <si>
    <t>mi-mti</t>
  </si>
  <si>
    <t>(mi-mti)^2/mti</t>
  </si>
  <si>
    <t>контроль</t>
  </si>
  <si>
    <t>Acсим=</t>
  </si>
  <si>
    <t>E=</t>
  </si>
  <si>
    <t>хи(0,05;6-3)</t>
  </si>
  <si>
    <t>m=s/sqr(n)=</t>
  </si>
  <si>
    <t>m(x,y)</t>
  </si>
  <si>
    <t>у</t>
  </si>
  <si>
    <t>р</t>
  </si>
  <si>
    <t>Закон распределения У</t>
  </si>
  <si>
    <t>m(y)</t>
  </si>
  <si>
    <t>m(y2)</t>
  </si>
  <si>
    <t>D(y)</t>
  </si>
  <si>
    <t>s(y)</t>
  </si>
  <si>
    <t>х</t>
  </si>
  <si>
    <t>m(x)</t>
  </si>
  <si>
    <t>m(x2)</t>
  </si>
  <si>
    <t>D(x)</t>
  </si>
  <si>
    <t>s(x)</t>
  </si>
  <si>
    <t>Закон распределения Х</t>
  </si>
  <si>
    <t>rв=(m(xy)-m(x)m(y))/(sxsy)=</t>
  </si>
  <si>
    <t>r(sy)/(sx)=</t>
  </si>
  <si>
    <t>Метод Колмогорова</t>
  </si>
  <si>
    <r>
      <t>xi</t>
    </r>
    <r>
      <rPr>
        <sz val="12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i</t>
    </r>
  </si>
  <si>
    <t>x</t>
  </si>
  <si>
    <t>wi(накопл)</t>
  </si>
  <si>
    <t>F(теор)</t>
  </si>
  <si>
    <t>di</t>
  </si>
  <si>
    <t>max(di)=</t>
  </si>
  <si>
    <t>l=D*кор(n)=</t>
  </si>
  <si>
    <t>Корреляционная таблица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</si>
  <si>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</si>
  <si>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</si>
  <si>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</si>
  <si>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</si>
  <si>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</si>
  <si>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</si>
  <si>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</si>
  <si>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</si>
  <si>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</si>
  <si>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</si>
  <si>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</si>
  <si>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</si>
  <si>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</si>
  <si>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</si>
  <si>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</si>
  <si>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</si>
  <si>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</si>
  <si>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</si>
  <si>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</si>
  <si>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</si>
  <si>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</si>
  <si>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</si>
  <si>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</si>
  <si>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</si>
  <si>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</si>
  <si>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h=</t>
  </si>
  <si>
    <t>у_ср=</t>
  </si>
  <si>
    <t>Ymax=</t>
  </si>
  <si>
    <t>R=</t>
  </si>
  <si>
    <t>k=</t>
  </si>
  <si>
    <t>Ymin=</t>
  </si>
  <si>
    <t>Уравнение регрессии:</t>
  </si>
  <si>
    <t>у=</t>
  </si>
  <si>
    <t>*</t>
  </si>
  <si>
    <t>(х-</t>
  </si>
  <si>
    <t>)+</t>
  </si>
  <si>
    <t>Курс доллара ноябрь - декабрь</t>
  </si>
  <si>
    <t>Дата</t>
  </si>
  <si>
    <t>Стоимость</t>
  </si>
  <si>
    <t>Цена</t>
  </si>
  <si>
    <t>Изменение цены</t>
  </si>
  <si>
    <t>58.717</t>
  </si>
  <si>
    <t>59.0061</t>
  </si>
  <si>
    <t>57.6869</t>
  </si>
  <si>
    <t>57.7192</t>
  </si>
  <si>
    <t>59.799</t>
  </si>
  <si>
    <t>59.5787</t>
  </si>
  <si>
    <t>57.4437</t>
  </si>
  <si>
    <t>56.756</t>
  </si>
  <si>
    <t>56.3131</t>
  </si>
  <si>
    <t>58.2437</t>
  </si>
  <si>
    <t>58.0967</t>
  </si>
  <si>
    <t>59.6526</t>
  </si>
  <si>
    <t>61.6368</t>
  </si>
  <si>
    <t>64.1833</t>
  </si>
  <si>
    <t>62.4583</t>
  </si>
  <si>
    <t>64.7579</t>
  </si>
  <si>
    <t>64.8139</t>
  </si>
  <si>
    <t>64.1127</t>
  </si>
  <si>
    <t>65.1339</t>
  </si>
  <si>
    <t>65.9681</t>
  </si>
  <si>
    <t>66.4756</t>
  </si>
  <si>
    <t>70.2305</t>
  </si>
  <si>
    <t>77.1326</t>
  </si>
  <si>
    <t>76.5845</t>
  </si>
  <si>
    <t>70.2244</t>
  </si>
  <si>
    <t>64.912</t>
  </si>
  <si>
    <t>62.7061</t>
  </si>
  <si>
    <t>66.5954</t>
  </si>
  <si>
    <t>65.0169</t>
  </si>
  <si>
    <t>56.9774</t>
  </si>
  <si>
    <t>54.3683</t>
  </si>
  <si>
    <t>50.3419</t>
  </si>
  <si>
    <t>52.363</t>
  </si>
  <si>
    <t>60.6649</t>
  </si>
  <si>
    <t>64.2972</t>
  </si>
  <si>
    <t>65.2869</t>
  </si>
  <si>
    <t>54.4367</t>
  </si>
  <si>
    <t>Расчет сезонной компоненты в аддитивной модели</t>
  </si>
  <si>
    <t>№ квартала, t</t>
  </si>
  <si>
    <r>
      <t>y</t>
    </r>
    <r>
      <rPr>
        <vertAlign val="subscript"/>
        <sz val="11"/>
        <color indexed="8"/>
        <rFont val="Calibri"/>
        <family val="2"/>
        <charset val="204"/>
      </rPr>
      <t>t</t>
    </r>
  </si>
  <si>
    <t xml:space="preserve">Центрированная скользящая средняя </t>
  </si>
  <si>
    <t>Оценка сезонной компоненты</t>
  </si>
  <si>
    <t>Показатели</t>
  </si>
  <si>
    <t>Год</t>
  </si>
  <si>
    <t>№ квартала, i</t>
  </si>
  <si>
    <t>Итого за i- квартал (за все годы)</t>
  </si>
  <si>
    <t>Средняя оценка сезонной компоненты для i-го квартала, Si</t>
  </si>
  <si>
    <t>Скорректированная сезонная компонента, Si</t>
  </si>
  <si>
    <t>корректирующий коэффициент k</t>
  </si>
  <si>
    <t>Расчет выравненных значений Т и ошибок E в аддитивной модели</t>
  </si>
  <si>
    <t>t</t>
  </si>
  <si>
    <r>
      <t>S</t>
    </r>
    <r>
      <rPr>
        <vertAlign val="subscript"/>
        <sz val="11"/>
        <color indexed="8"/>
        <rFont val="Calibri"/>
        <family val="2"/>
        <charset val="204"/>
      </rPr>
      <t>t</t>
    </r>
  </si>
  <si>
    <r>
      <t>T+E=y</t>
    </r>
    <r>
      <rPr>
        <vertAlign val="subscript"/>
        <sz val="10"/>
        <rFont val="Times New Roman"/>
        <family val="1"/>
        <charset val="204"/>
      </rPr>
      <t>t</t>
    </r>
    <r>
      <rPr>
        <sz val="10"/>
        <rFont val="Times New Roman"/>
        <family val="1"/>
        <charset val="204"/>
      </rPr>
      <t>-S</t>
    </r>
    <r>
      <rPr>
        <vertAlign val="subscript"/>
        <sz val="10"/>
        <rFont val="Times New Roman"/>
        <family val="1"/>
        <charset val="204"/>
      </rPr>
      <t>t</t>
    </r>
  </si>
  <si>
    <t>T</t>
  </si>
  <si>
    <t>T+S</t>
  </si>
  <si>
    <t>E=y-(T+S)</t>
  </si>
  <si>
    <r>
      <t>E</t>
    </r>
    <r>
      <rPr>
        <vertAlign val="superscript"/>
        <sz val="10"/>
        <rFont val="Times New Roman"/>
        <family val="1"/>
        <charset val="204"/>
      </rPr>
      <t>2</t>
    </r>
  </si>
  <si>
    <t xml:space="preserve">Скользящая средняя </t>
  </si>
  <si>
    <t>ЗП Россия 2015-2017</t>
  </si>
  <si>
    <t xml:space="preserve">Центрированная скользящая </t>
  </si>
  <si>
    <t>№ месяца, i</t>
  </si>
  <si>
    <t>y(t)</t>
  </si>
  <si>
    <t>Скользящая средняя за 4 квартала</t>
  </si>
  <si>
    <t>Период</t>
  </si>
  <si>
    <t>№ дня, i</t>
  </si>
  <si>
    <t>Изменение</t>
  </si>
  <si>
    <t>Объем потребления электроэнергии</t>
  </si>
  <si>
    <t>Объем продаж российской компании на внутреннем и мировом рынках за 14 лет</t>
  </si>
  <si>
    <t>Средняя оценка сезонной компоненты, Si</t>
  </si>
  <si>
    <t>Итого за i (за все годы)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</si>
</sst>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Symbol"/>
      <family val="1"/>
      <charset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2"/>
      <color rgb="FF4D4D4D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EFEDDF"/>
        <bgColor indexed="64"/>
      </patternFill>
    </fill>
    <fill>
      <patternFill patternType="solid">
        <fgColor rgb="FFF1DEBD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2" fillId="0" borderId="0"/>
    <xf numFmtId="0" fontId="16" fillId="11" borderId="0" applyNumberFormat="0" applyBorder="0" applyAlignment="0" applyProtection="0"/>
    <xf numFmtId="0" fontId="15" fillId="0" borderId="0"/>
    <xf numFmtId="0" fontId="20" fillId="0" borderId="0"/>
  </cellStyleXfs>
  <cellXfs count="29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2" borderId="2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2" fontId="0" fillId="0" borderId="0" xfId="0" applyNumberFormat="1"/>
    <xf numFmtId="165" fontId="0" fillId="0" borderId="1" xfId="0" applyNumberFormat="1" applyBorder="1"/>
    <xf numFmtId="0" fontId="0" fillId="0" borderId="3" xfId="0" applyBorder="1"/>
    <xf numFmtId="0" fontId="3" fillId="0" borderId="9" xfId="0" applyFont="1" applyBorder="1"/>
    <xf numFmtId="0" fontId="3" fillId="0" borderId="10" xfId="0" applyFont="1" applyBorder="1"/>
    <xf numFmtId="0" fontId="0" fillId="0" borderId="11" xfId="0" applyBorder="1"/>
    <xf numFmtId="0" fontId="3" fillId="0" borderId="12" xfId="0" applyFont="1" applyBorder="1"/>
    <xf numFmtId="0" fontId="3" fillId="0" borderId="0" xfId="0" applyFont="1" applyBorder="1"/>
    <xf numFmtId="0" fontId="3" fillId="0" borderId="13" xfId="0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13" xfId="0" applyNumberFormat="1" applyBorder="1" applyAlignment="1">
      <alignment horizontal="left"/>
    </xf>
    <xf numFmtId="0" fontId="0" fillId="0" borderId="14" xfId="0" applyBorder="1"/>
    <xf numFmtId="2" fontId="3" fillId="0" borderId="15" xfId="0" applyNumberFormat="1" applyFont="1" applyBorder="1"/>
    <xf numFmtId="0" fontId="3" fillId="0" borderId="15" xfId="0" applyFont="1" applyBorder="1" applyAlignment="1">
      <alignment horizontal="center"/>
    </xf>
    <xf numFmtId="2" fontId="0" fillId="0" borderId="16" xfId="0" applyNumberFormat="1" applyBorder="1" applyAlignment="1">
      <alignment horizontal="left"/>
    </xf>
    <xf numFmtId="0" fontId="6" fillId="0" borderId="9" xfId="0" applyFont="1" applyBorder="1" applyAlignment="1">
      <alignment horizontal="right"/>
    </xf>
    <xf numFmtId="164" fontId="3" fillId="0" borderId="10" xfId="0" applyNumberFormat="1" applyFont="1" applyBorder="1"/>
    <xf numFmtId="0" fontId="3" fillId="0" borderId="12" xfId="0" applyFont="1" applyBorder="1" applyAlignment="1">
      <alignment horizontal="right"/>
    </xf>
    <xf numFmtId="164" fontId="3" fillId="0" borderId="0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13" xfId="0" applyNumberFormat="1" applyBorder="1"/>
    <xf numFmtId="0" fontId="0" fillId="0" borderId="13" xfId="0" applyBorder="1"/>
    <xf numFmtId="164" fontId="3" fillId="0" borderId="15" xfId="0" applyNumberFormat="1" applyFont="1" applyBorder="1"/>
    <xf numFmtId="0" fontId="3" fillId="0" borderId="15" xfId="0" applyFont="1" applyBorder="1"/>
    <xf numFmtId="0" fontId="0" fillId="0" borderId="15" xfId="0" applyBorder="1"/>
    <xf numFmtId="0" fontId="6" fillId="0" borderId="10" xfId="0" applyFont="1" applyBorder="1" applyAlignment="1">
      <alignment horizontal="right"/>
    </xf>
    <xf numFmtId="0" fontId="13" fillId="0" borderId="0" xfId="0" applyFont="1" applyFill="1" applyBorder="1"/>
    <xf numFmtId="0" fontId="3" fillId="0" borderId="15" xfId="0" applyFont="1" applyBorder="1" applyAlignment="1">
      <alignment horizontal="right"/>
    </xf>
    <xf numFmtId="0" fontId="11" fillId="0" borderId="0" xfId="1"/>
    <xf numFmtId="0" fontId="3" fillId="0" borderId="6" xfId="0" applyFont="1" applyBorder="1" applyAlignment="1">
      <alignment horizontal="left"/>
    </xf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2" fillId="0" borderId="0" xfId="2"/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2" fontId="2" fillId="0" borderId="1" xfId="2" applyNumberFormat="1" applyBorder="1"/>
    <xf numFmtId="0" fontId="2" fillId="6" borderId="18" xfId="2" applyFill="1" applyBorder="1"/>
    <xf numFmtId="0" fontId="2" fillId="0" borderId="1" xfId="2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2"/>
    <xf numFmtId="0" fontId="2" fillId="0" borderId="20" xfId="2" applyBorder="1"/>
    <xf numFmtId="0" fontId="2" fillId="0" borderId="1" xfId="2" applyBorder="1"/>
    <xf numFmtId="0" fontId="2" fillId="0" borderId="3" xfId="2" applyBorder="1"/>
    <xf numFmtId="2" fontId="11" fillId="0" borderId="1" xfId="1" applyNumberFormat="1" applyBorder="1"/>
    <xf numFmtId="166" fontId="11" fillId="0" borderId="1" xfId="1" applyNumberFormat="1" applyBorder="1"/>
    <xf numFmtId="0" fontId="2" fillId="0" borderId="18" xfId="2" applyBorder="1"/>
    <xf numFmtId="0" fontId="2" fillId="0" borderId="5" xfId="2" applyBorder="1"/>
    <xf numFmtId="0" fontId="2" fillId="0" borderId="19" xfId="2" applyBorder="1"/>
    <xf numFmtId="0" fontId="2" fillId="0" borderId="8" xfId="2" applyBorder="1"/>
    <xf numFmtId="0" fontId="2" fillId="0" borderId="21" xfId="2" applyBorder="1"/>
    <xf numFmtId="0" fontId="2" fillId="0" borderId="16" xfId="2" applyBorder="1"/>
    <xf numFmtId="0" fontId="2" fillId="0" borderId="22" xfId="2" applyBorder="1"/>
    <xf numFmtId="0" fontId="2" fillId="0" borderId="23" xfId="2" applyBorder="1"/>
    <xf numFmtId="0" fontId="2" fillId="0" borderId="24" xfId="2" applyBorder="1"/>
    <xf numFmtId="0" fontId="10" fillId="6" borderId="17" xfId="2" applyFont="1" applyFill="1" applyBorder="1"/>
    <xf numFmtId="2" fontId="0" fillId="0" borderId="5" xfId="0" applyNumberFormat="1" applyBorder="1"/>
    <xf numFmtId="2" fontId="0" fillId="0" borderId="23" xfId="0" applyNumberFormat="1" applyBorder="1"/>
    <xf numFmtId="2" fontId="0" fillId="0" borderId="22" xfId="0" applyNumberFormat="1" applyBorder="1"/>
    <xf numFmtId="2" fontId="0" fillId="0" borderId="16" xfId="0" applyNumberFormat="1" applyBorder="1"/>
    <xf numFmtId="2" fontId="0" fillId="0" borderId="3" xfId="0" applyNumberFormat="1" applyBorder="1"/>
    <xf numFmtId="2" fontId="2" fillId="0" borderId="3" xfId="2" applyNumberFormat="1" applyBorder="1"/>
    <xf numFmtId="0" fontId="11" fillId="0" borderId="20" xfId="1" applyFill="1" applyBorder="1" applyAlignment="1">
      <alignment horizontal="center"/>
    </xf>
    <xf numFmtId="0" fontId="11" fillId="0" borderId="20" xfId="1" applyBorder="1" applyAlignment="1">
      <alignment horizontal="center"/>
    </xf>
    <xf numFmtId="0" fontId="11" fillId="0" borderId="20" xfId="1" applyBorder="1"/>
    <xf numFmtId="0" fontId="11" fillId="0" borderId="20" xfId="1" applyFill="1" applyBorder="1"/>
    <xf numFmtId="0" fontId="11" fillId="0" borderId="8" xfId="1" applyBorder="1"/>
    <xf numFmtId="0" fontId="11" fillId="0" borderId="21" xfId="1" applyFill="1" applyBorder="1" applyAlignment="1">
      <alignment horizontal="center"/>
    </xf>
    <xf numFmtId="0" fontId="11" fillId="0" borderId="18" xfId="1" applyBorder="1"/>
    <xf numFmtId="164" fontId="2" fillId="0" borderId="22" xfId="2" applyNumberFormat="1" applyBorder="1"/>
    <xf numFmtId="164" fontId="2" fillId="0" borderId="23" xfId="2" applyNumberFormat="1" applyBorder="1"/>
    <xf numFmtId="164" fontId="2" fillId="0" borderId="24" xfId="2" applyNumberFormat="1" applyBorder="1"/>
    <xf numFmtId="0" fontId="11" fillId="0" borderId="22" xfId="1" applyBorder="1"/>
    <xf numFmtId="0" fontId="11" fillId="0" borderId="23" xfId="1" applyBorder="1"/>
    <xf numFmtId="0" fontId="11" fillId="0" borderId="24" xfId="1" applyBorder="1"/>
    <xf numFmtId="0" fontId="11" fillId="0" borderId="21" xfId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0" fillId="0" borderId="25" xfId="0" applyBorder="1"/>
    <xf numFmtId="2" fontId="0" fillId="0" borderId="26" xfId="0" applyNumberFormat="1" applyBorder="1"/>
    <xf numFmtId="0" fontId="7" fillId="0" borderId="20" xfId="0" applyFont="1" applyBorder="1" applyAlignment="1">
      <alignment horizontal="center"/>
    </xf>
    <xf numFmtId="0" fontId="8" fillId="0" borderId="20" xfId="0" applyFont="1" applyBorder="1"/>
    <xf numFmtId="0" fontId="9" fillId="0" borderId="2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7" fillId="0" borderId="20" xfId="0" applyFont="1" applyBorder="1"/>
    <xf numFmtId="0" fontId="8" fillId="0" borderId="8" xfId="0" applyFont="1" applyBorder="1"/>
    <xf numFmtId="0" fontId="2" fillId="0" borderId="27" xfId="2" applyBorder="1"/>
    <xf numFmtId="0" fontId="2" fillId="0" borderId="28" xfId="2" applyBorder="1"/>
    <xf numFmtId="0" fontId="2" fillId="0" borderId="29" xfId="2" applyBorder="1"/>
    <xf numFmtId="0" fontId="2" fillId="0" borderId="30" xfId="2" applyBorder="1"/>
    <xf numFmtId="0" fontId="2" fillId="0" borderId="31" xfId="2" applyBorder="1"/>
    <xf numFmtId="0" fontId="2" fillId="0" borderId="32" xfId="2" applyBorder="1"/>
    <xf numFmtId="0" fontId="2" fillId="6" borderId="19" xfId="2" applyFill="1" applyBorder="1"/>
    <xf numFmtId="2" fontId="2" fillId="6" borderId="19" xfId="2" applyNumberFormat="1" applyFill="1" applyBorder="1"/>
    <xf numFmtId="2" fontId="0" fillId="0" borderId="30" xfId="0" applyNumberFormat="1" applyBorder="1"/>
    <xf numFmtId="2" fontId="0" fillId="0" borderId="31" xfId="0" applyNumberFormat="1" applyBorder="1"/>
    <xf numFmtId="1" fontId="0" fillId="0" borderId="31" xfId="0" applyNumberFormat="1" applyBorder="1"/>
    <xf numFmtId="2" fontId="2" fillId="0" borderId="31" xfId="2" applyNumberFormat="1" applyBorder="1"/>
    <xf numFmtId="166" fontId="11" fillId="6" borderId="33" xfId="1" applyNumberFormat="1" applyFill="1" applyBorder="1"/>
    <xf numFmtId="2" fontId="11" fillId="6" borderId="34" xfId="1" applyNumberFormat="1" applyFill="1" applyBorder="1"/>
    <xf numFmtId="2" fontId="11" fillId="0" borderId="35" xfId="1" applyNumberFormat="1" applyBorder="1"/>
    <xf numFmtId="2" fontId="11" fillId="0" borderId="36" xfId="1" applyNumberFormat="1" applyBorder="1"/>
    <xf numFmtId="0" fontId="12" fillId="0" borderId="36" xfId="1" applyFont="1" applyBorder="1"/>
    <xf numFmtId="0" fontId="11" fillId="0" borderId="36" xfId="1" applyBorder="1"/>
    <xf numFmtId="166" fontId="11" fillId="0" borderId="36" xfId="1" applyNumberFormat="1" applyBorder="1"/>
    <xf numFmtId="0" fontId="11" fillId="0" borderId="37" xfId="1" applyFill="1" applyBorder="1" applyAlignment="1">
      <alignment horizontal="center"/>
    </xf>
    <xf numFmtId="2" fontId="11" fillId="0" borderId="38" xfId="1" applyNumberFormat="1" applyBorder="1"/>
    <xf numFmtId="0" fontId="11" fillId="0" borderId="28" xfId="1" applyFill="1" applyBorder="1" applyAlignment="1">
      <alignment horizontal="center"/>
    </xf>
    <xf numFmtId="2" fontId="11" fillId="0" borderId="39" xfId="1" applyNumberFormat="1" applyBorder="1"/>
    <xf numFmtId="2" fontId="11" fillId="0" borderId="31" xfId="1" applyNumberFormat="1" applyBorder="1"/>
    <xf numFmtId="166" fontId="11" fillId="0" borderId="31" xfId="1" applyNumberFormat="1" applyBorder="1"/>
    <xf numFmtId="0" fontId="11" fillId="0" borderId="32" xfId="1" applyFill="1" applyBorder="1" applyAlignment="1">
      <alignment horizontal="center"/>
    </xf>
    <xf numFmtId="2" fontId="0" fillId="0" borderId="35" xfId="0" applyNumberFormat="1" applyBorder="1"/>
    <xf numFmtId="0" fontId="0" fillId="0" borderId="36" xfId="0" applyBorder="1"/>
    <xf numFmtId="2" fontId="0" fillId="0" borderId="36" xfId="0" applyNumberFormat="1" applyBorder="1"/>
    <xf numFmtId="165" fontId="0" fillId="0" borderId="36" xfId="0" applyNumberFormat="1" applyBorder="1"/>
    <xf numFmtId="1" fontId="0" fillId="0" borderId="37" xfId="0" applyNumberFormat="1" applyBorder="1"/>
    <xf numFmtId="2" fontId="0" fillId="0" borderId="38" xfId="0" applyNumberFormat="1" applyBorder="1"/>
    <xf numFmtId="1" fontId="0" fillId="0" borderId="28" xfId="0" applyNumberFormat="1" applyBorder="1"/>
    <xf numFmtId="2" fontId="0" fillId="0" borderId="39" xfId="0" applyNumberFormat="1" applyBorder="1"/>
    <xf numFmtId="0" fontId="0" fillId="0" borderId="31" xfId="0" applyBorder="1"/>
    <xf numFmtId="165" fontId="0" fillId="0" borderId="31" xfId="0" applyNumberFormat="1" applyBorder="1"/>
    <xf numFmtId="1" fontId="0" fillId="0" borderId="32" xfId="0" applyNumberFormat="1" applyBorder="1"/>
    <xf numFmtId="2" fontId="3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0" fillId="0" borderId="7" xfId="0" applyBorder="1" applyAlignment="1">
      <alignment horizontal="right"/>
    </xf>
    <xf numFmtId="2" fontId="5" fillId="0" borderId="20" xfId="0" applyNumberFormat="1" applyFont="1" applyBorder="1"/>
    <xf numFmtId="1" fontId="5" fillId="0" borderId="8" xfId="0" applyNumberFormat="1" applyFont="1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164" fontId="4" fillId="0" borderId="37" xfId="0" applyNumberFormat="1" applyFont="1" applyBorder="1"/>
    <xf numFmtId="164" fontId="4" fillId="0" borderId="28" xfId="0" applyNumberFormat="1" applyFont="1" applyBorder="1"/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43" xfId="0" applyBorder="1"/>
    <xf numFmtId="0" fontId="0" fillId="0" borderId="7" xfId="0" applyBorder="1"/>
    <xf numFmtId="0" fontId="0" fillId="0" borderId="20" xfId="0" applyBorder="1"/>
    <xf numFmtId="0" fontId="0" fillId="0" borderId="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6" borderId="18" xfId="0" applyFill="1" applyBorder="1"/>
    <xf numFmtId="0" fontId="0" fillId="0" borderId="35" xfId="0" applyBorder="1"/>
    <xf numFmtId="0" fontId="0" fillId="0" borderId="47" xfId="0" applyBorder="1"/>
    <xf numFmtId="0" fontId="0" fillId="0" borderId="38" xfId="0" applyBorder="1"/>
    <xf numFmtId="0" fontId="0" fillId="0" borderId="48" xfId="0" applyBorder="1"/>
    <xf numFmtId="0" fontId="0" fillId="0" borderId="35" xfId="0" applyBorder="1" applyAlignment="1">
      <alignment horizontal="right"/>
    </xf>
    <xf numFmtId="0" fontId="0" fillId="0" borderId="37" xfId="0" applyBorder="1"/>
    <xf numFmtId="0" fontId="0" fillId="0" borderId="38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2" xfId="0" applyBorder="1"/>
    <xf numFmtId="0" fontId="0" fillId="0" borderId="0" xfId="0" applyAlignment="1"/>
    <xf numFmtId="166" fontId="0" fillId="0" borderId="51" xfId="0" applyNumberFormat="1" applyBorder="1"/>
    <xf numFmtId="0" fontId="0" fillId="0" borderId="17" xfId="0" applyBorder="1"/>
    <xf numFmtId="0" fontId="0" fillId="0" borderId="50" xfId="0" applyBorder="1" applyAlignment="1">
      <alignment horizontal="right"/>
    </xf>
    <xf numFmtId="166" fontId="0" fillId="0" borderId="1" xfId="0" applyNumberFormat="1" applyBorder="1"/>
    <xf numFmtId="2" fontId="0" fillId="0" borderId="37" xfId="0" applyNumberFormat="1" applyBorder="1"/>
    <xf numFmtId="166" fontId="0" fillId="0" borderId="28" xfId="0" applyNumberFormat="1" applyBorder="1"/>
    <xf numFmtId="166" fontId="0" fillId="0" borderId="31" xfId="0" applyNumberFormat="1" applyBorder="1"/>
    <xf numFmtId="166" fontId="0" fillId="0" borderId="32" xfId="0" applyNumberFormat="1" applyBorder="1"/>
    <xf numFmtId="0" fontId="0" fillId="0" borderId="42" xfId="0" applyBorder="1" applyAlignment="1">
      <alignment horizontal="right"/>
    </xf>
    <xf numFmtId="0" fontId="0" fillId="0" borderId="55" xfId="0" applyBorder="1"/>
    <xf numFmtId="0" fontId="0" fillId="0" borderId="53" xfId="0" applyBorder="1" applyAlignment="1">
      <alignment horizontal="right"/>
    </xf>
    <xf numFmtId="0" fontId="2" fillId="0" borderId="43" xfId="2" applyBorder="1" applyAlignment="1">
      <alignment horizontal="left"/>
    </xf>
    <xf numFmtId="0" fontId="0" fillId="0" borderId="0" xfId="0" applyFill="1" applyBorder="1" applyAlignment="1"/>
    <xf numFmtId="0" fontId="0" fillId="0" borderId="56" xfId="0" applyFill="1" applyBorder="1" applyAlignment="1"/>
    <xf numFmtId="0" fontId="14" fillId="0" borderId="57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43" xfId="2" applyFont="1" applyBorder="1" applyAlignment="1">
      <alignment horizontal="right"/>
    </xf>
    <xf numFmtId="0" fontId="0" fillId="10" borderId="6" xfId="0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0" fillId="10" borderId="6" xfId="0" applyFill="1" applyBorder="1"/>
    <xf numFmtId="0" fontId="0" fillId="0" borderId="5" xfId="0" applyBorder="1" applyAlignment="1">
      <alignment horizontal="left"/>
    </xf>
    <xf numFmtId="0" fontId="0" fillId="10" borderId="4" xfId="0" applyFill="1" applyBorder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Border="1" applyProtection="1">
      <protection locked="0"/>
    </xf>
    <xf numFmtId="0" fontId="0" fillId="0" borderId="8" xfId="0" applyBorder="1"/>
    <xf numFmtId="0" fontId="0" fillId="0" borderId="58" xfId="0" applyNumberFormat="1" applyBorder="1"/>
    <xf numFmtId="14" fontId="0" fillId="0" borderId="59" xfId="0" applyNumberFormat="1" applyBorder="1"/>
    <xf numFmtId="0" fontId="0" fillId="0" borderId="60" xfId="0" applyNumberFormat="1" applyBorder="1"/>
    <xf numFmtId="14" fontId="0" fillId="0" borderId="61" xfId="0" applyNumberFormat="1" applyBorder="1"/>
    <xf numFmtId="0" fontId="15" fillId="0" borderId="20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Fill="1"/>
    <xf numFmtId="0" fontId="0" fillId="0" borderId="20" xfId="0" applyFill="1" applyBorder="1"/>
    <xf numFmtId="17" fontId="17" fillId="12" borderId="0" xfId="0" applyNumberFormat="1" applyFont="1" applyFill="1" applyAlignment="1">
      <alignment vertical="center" wrapText="1"/>
    </xf>
    <xf numFmtId="0" fontId="17" fillId="12" borderId="0" xfId="0" applyFont="1" applyFill="1" applyAlignment="1">
      <alignment vertical="center" wrapText="1"/>
    </xf>
    <xf numFmtId="17" fontId="17" fillId="13" borderId="0" xfId="0" applyNumberFormat="1" applyFont="1" applyFill="1" applyAlignment="1">
      <alignment vertical="center" wrapText="1"/>
    </xf>
    <xf numFmtId="0" fontId="17" fillId="13" borderId="0" xfId="0" applyFont="1" applyFill="1" applyAlignment="1">
      <alignment vertical="center" wrapText="1"/>
    </xf>
    <xf numFmtId="0" fontId="16" fillId="11" borderId="20" xfId="3" applyBorder="1"/>
    <xf numFmtId="0" fontId="18" fillId="0" borderId="0" xfId="0" applyFont="1" applyFill="1" applyAlignment="1">
      <alignment vertical="center" wrapText="1"/>
    </xf>
    <xf numFmtId="14" fontId="17" fillId="0" borderId="0" xfId="0" applyNumberFormat="1" applyFont="1" applyFill="1" applyAlignment="1">
      <alignment vertical="center" wrapText="1"/>
    </xf>
    <xf numFmtId="0" fontId="0" fillId="0" borderId="44" xfId="0" applyFill="1" applyBorder="1"/>
    <xf numFmtId="0" fontId="0" fillId="0" borderId="21" xfId="0" applyFill="1" applyBorder="1"/>
    <xf numFmtId="0" fontId="16" fillId="11" borderId="53" xfId="3" applyBorder="1"/>
    <xf numFmtId="0" fontId="0" fillId="0" borderId="2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21" fillId="0" borderId="1" xfId="0" applyNumberFormat="1" applyFont="1" applyBorder="1"/>
    <xf numFmtId="167" fontId="21" fillId="0" borderId="0" xfId="0" applyNumberFormat="1" applyFont="1"/>
    <xf numFmtId="0" fontId="22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Border="1"/>
    <xf numFmtId="14" fontId="0" fillId="0" borderId="0" xfId="0" applyNumberFormat="1" applyFill="1"/>
    <xf numFmtId="17" fontId="17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5" fillId="0" borderId="0" xfId="4" applyProtection="1">
      <protection locked="0"/>
    </xf>
    <xf numFmtId="17" fontId="15" fillId="0" borderId="0" xfId="4" applyNumberFormat="1" applyProtection="1">
      <protection locked="0"/>
    </xf>
    <xf numFmtId="0" fontId="22" fillId="0" borderId="0" xfId="5" applyFont="1" applyAlignment="1">
      <alignment wrapText="1"/>
    </xf>
    <xf numFmtId="167" fontId="21" fillId="0" borderId="0" xfId="5" applyNumberFormat="1" applyFont="1"/>
    <xf numFmtId="164" fontId="21" fillId="0" borderId="1" xfId="5" applyNumberFormat="1" applyFont="1" applyBorder="1"/>
    <xf numFmtId="0" fontId="20" fillId="0" borderId="1" xfId="5" applyBorder="1"/>
    <xf numFmtId="0" fontId="20" fillId="0" borderId="1" xfId="5" applyBorder="1" applyAlignment="1">
      <alignment wrapText="1"/>
    </xf>
    <xf numFmtId="0" fontId="20" fillId="0" borderId="0" xfId="5"/>
    <xf numFmtId="164" fontId="20" fillId="0" borderId="1" xfId="5" applyNumberFormat="1" applyBorder="1"/>
    <xf numFmtId="0" fontId="20" fillId="0" borderId="1" xfId="5" applyBorder="1" applyAlignment="1">
      <alignment horizontal="center"/>
    </xf>
    <xf numFmtId="0" fontId="20" fillId="0" borderId="1" xfId="5" applyFont="1" applyBorder="1" applyAlignment="1">
      <alignment horizontal="center"/>
    </xf>
    <xf numFmtId="0" fontId="20" fillId="0" borderId="1" xfId="5" applyBorder="1" applyAlignment="1">
      <alignment horizontal="center"/>
    </xf>
    <xf numFmtId="0" fontId="20" fillId="0" borderId="1" xfId="5" applyFont="1" applyBorder="1" applyAlignment="1">
      <alignment horizontal="center"/>
    </xf>
    <xf numFmtId="0" fontId="20" fillId="0" borderId="1" xfId="5" applyFont="1" applyBorder="1"/>
    <xf numFmtId="0" fontId="15" fillId="0" borderId="0" xfId="4" applyAlignment="1" applyProtection="1">
      <alignment wrapText="1"/>
      <protection locked="0"/>
    </xf>
    <xf numFmtId="0" fontId="15" fillId="0" borderId="17" xfId="4" applyFont="1" applyBorder="1" applyAlignment="1" applyProtection="1">
      <alignment horizontal="center" vertical="center" wrapText="1"/>
      <protection locked="0"/>
    </xf>
    <xf numFmtId="0" fontId="15" fillId="0" borderId="54" xfId="4" applyFont="1" applyBorder="1" applyAlignment="1" applyProtection="1">
      <alignment vertical="center" wrapText="1"/>
      <protection locked="0"/>
    </xf>
    <xf numFmtId="0" fontId="15" fillId="0" borderId="54" xfId="4" applyFont="1" applyBorder="1" applyAlignment="1" applyProtection="1">
      <alignment horizontal="center" vertical="center" wrapText="1"/>
      <protection locked="0"/>
    </xf>
    <xf numFmtId="0" fontId="15" fillId="0" borderId="54" xfId="4" applyBorder="1" applyAlignment="1" applyProtection="1">
      <alignment horizontal="center" vertical="center" wrapText="1"/>
      <protection locked="0"/>
    </xf>
    <xf numFmtId="0" fontId="15" fillId="0" borderId="53" xfId="4" applyBorder="1" applyAlignment="1" applyProtection="1">
      <alignment horizontal="center" vertical="center"/>
      <protection locked="0"/>
    </xf>
    <xf numFmtId="164" fontId="20" fillId="0" borderId="0" xfId="5" applyNumberFormat="1"/>
    <xf numFmtId="0" fontId="15" fillId="0" borderId="1" xfId="4" applyBorder="1" applyProtection="1">
      <protection locked="0"/>
    </xf>
    <xf numFmtId="0" fontId="20" fillId="0" borderId="62" xfId="5" applyBorder="1" applyAlignment="1">
      <alignment horizontal="center"/>
    </xf>
    <xf numFmtId="0" fontId="20" fillId="0" borderId="63" xfId="5" applyFill="1" applyBorder="1" applyAlignment="1">
      <alignment horizontal="center"/>
    </xf>
    <xf numFmtId="0" fontId="20" fillId="0" borderId="0" xfId="5" applyBorder="1" applyAlignment="1">
      <alignment horizontal="center"/>
    </xf>
    <xf numFmtId="0" fontId="15" fillId="0" borderId="0" xfId="4" applyBorder="1" applyProtection="1">
      <protection locked="0"/>
    </xf>
    <xf numFmtId="0" fontId="15" fillId="0" borderId="0" xfId="4" applyFont="1" applyProtection="1">
      <protection locked="0"/>
    </xf>
    <xf numFmtId="0" fontId="20" fillId="0" borderId="0" xfId="5" applyFont="1"/>
    <xf numFmtId="0" fontId="15" fillId="0" borderId="64" xfId="4" applyBorder="1" applyAlignment="1" applyProtection="1">
      <alignment horizontal="center"/>
      <protection locked="0"/>
    </xf>
    <xf numFmtId="0" fontId="20" fillId="0" borderId="1" xfId="5" applyBorder="1" applyAlignment="1">
      <alignment horizontal="center"/>
    </xf>
    <xf numFmtId="0" fontId="20" fillId="0" borderId="1" xfId="5" applyFont="1" applyBorder="1" applyAlignment="1">
      <alignment horizontal="center"/>
    </xf>
    <xf numFmtId="0" fontId="20" fillId="0" borderId="1" xfId="5" applyBorder="1" applyAlignment="1">
      <alignment horizontal="center"/>
    </xf>
    <xf numFmtId="0" fontId="20" fillId="0" borderId="1" xfId="5" applyFont="1" applyBorder="1" applyAlignment="1">
      <alignment horizontal="center"/>
    </xf>
    <xf numFmtId="2" fontId="15" fillId="0" borderId="0" xfId="4" applyNumberFormat="1" applyProtection="1"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right"/>
    </xf>
    <xf numFmtId="0" fontId="0" fillId="0" borderId="54" xfId="0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5" applyBorder="1" applyAlignment="1">
      <alignment horizontal="center"/>
    </xf>
    <xf numFmtId="0" fontId="20" fillId="0" borderId="1" xfId="5" applyFont="1" applyBorder="1" applyAlignment="1">
      <alignment horizontal="center"/>
    </xf>
    <xf numFmtId="0" fontId="20" fillId="0" borderId="0" xfId="5" applyAlignment="1">
      <alignment horizontal="center" wrapText="1"/>
    </xf>
    <xf numFmtId="0" fontId="15" fillId="0" borderId="0" xfId="4" applyAlignment="1" applyProtection="1">
      <alignment horizontal="center" wrapText="1"/>
      <protection locked="0"/>
    </xf>
    <xf numFmtId="0" fontId="15" fillId="0" borderId="0" xfId="4" applyAlignment="1" applyProtection="1">
      <alignment horizontal="center" vertical="top"/>
      <protection locked="0"/>
    </xf>
  </cellXfs>
  <cellStyles count="6">
    <cellStyle name="Обычный" xfId="0" builtinId="0"/>
    <cellStyle name="Обычный 2" xfId="1"/>
    <cellStyle name="Обычный 3" xfId="2"/>
    <cellStyle name="Обычный 3 2" xfId="5"/>
    <cellStyle name="Обычный 4" xfId="4"/>
    <cellStyle name="Хороший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Лист1!$C$2:$C$101</c:f>
              <c:numCache>
                <c:formatCode>General</c:formatCode>
                <c:ptCount val="100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166</c:v>
                </c:pt>
                <c:pt idx="28">
                  <c:v>166</c:v>
                </c:pt>
                <c:pt idx="29">
                  <c:v>166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169</c:v>
                </c:pt>
                <c:pt idx="49">
                  <c:v>169</c:v>
                </c:pt>
                <c:pt idx="50">
                  <c:v>169</c:v>
                </c:pt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173</c:v>
                </c:pt>
                <c:pt idx="76">
                  <c:v>173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175</c:v>
                </c:pt>
                <c:pt idx="88">
                  <c:v>175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177</c:v>
                </c:pt>
                <c:pt idx="95">
                  <c:v>178</c:v>
                </c:pt>
                <c:pt idx="96">
                  <c:v>178</c:v>
                </c:pt>
                <c:pt idx="97">
                  <c:v>178</c:v>
                </c:pt>
                <c:pt idx="98">
                  <c:v>178</c:v>
                </c:pt>
                <c:pt idx="99">
                  <c:v>180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69</c:v>
                </c:pt>
                <c:pt idx="4">
                  <c:v>55</c:v>
                </c:pt>
                <c:pt idx="5">
                  <c:v>55</c:v>
                </c:pt>
                <c:pt idx="6">
                  <c:v>51</c:v>
                </c:pt>
                <c:pt idx="7">
                  <c:v>52</c:v>
                </c:pt>
                <c:pt idx="8">
                  <c:v>65</c:v>
                </c:pt>
                <c:pt idx="9">
                  <c:v>56</c:v>
                </c:pt>
                <c:pt idx="10">
                  <c:v>67</c:v>
                </c:pt>
                <c:pt idx="11">
                  <c:v>60</c:v>
                </c:pt>
                <c:pt idx="12">
                  <c:v>68</c:v>
                </c:pt>
                <c:pt idx="13">
                  <c:v>68</c:v>
                </c:pt>
                <c:pt idx="14">
                  <c:v>60</c:v>
                </c:pt>
                <c:pt idx="15">
                  <c:v>62</c:v>
                </c:pt>
                <c:pt idx="16">
                  <c:v>57</c:v>
                </c:pt>
                <c:pt idx="17">
                  <c:v>60</c:v>
                </c:pt>
                <c:pt idx="18">
                  <c:v>60</c:v>
                </c:pt>
                <c:pt idx="19">
                  <c:v>57</c:v>
                </c:pt>
                <c:pt idx="20">
                  <c:v>68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57</c:v>
                </c:pt>
                <c:pt idx="25">
                  <c:v>57</c:v>
                </c:pt>
                <c:pt idx="26">
                  <c:v>61</c:v>
                </c:pt>
                <c:pt idx="27">
                  <c:v>55</c:v>
                </c:pt>
                <c:pt idx="28">
                  <c:v>55</c:v>
                </c:pt>
                <c:pt idx="29">
                  <c:v>62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71</c:v>
                </c:pt>
                <c:pt idx="34">
                  <c:v>65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65</c:v>
                </c:pt>
                <c:pt idx="39">
                  <c:v>52</c:v>
                </c:pt>
                <c:pt idx="40">
                  <c:v>57</c:v>
                </c:pt>
                <c:pt idx="41">
                  <c:v>70</c:v>
                </c:pt>
                <c:pt idx="42">
                  <c:v>66</c:v>
                </c:pt>
                <c:pt idx="43">
                  <c:v>64</c:v>
                </c:pt>
                <c:pt idx="44">
                  <c:v>70</c:v>
                </c:pt>
                <c:pt idx="45">
                  <c:v>65</c:v>
                </c:pt>
                <c:pt idx="46">
                  <c:v>58</c:v>
                </c:pt>
                <c:pt idx="47">
                  <c:v>70</c:v>
                </c:pt>
                <c:pt idx="48">
                  <c:v>62</c:v>
                </c:pt>
                <c:pt idx="49">
                  <c:v>59</c:v>
                </c:pt>
                <c:pt idx="50">
                  <c:v>68</c:v>
                </c:pt>
                <c:pt idx="51">
                  <c:v>57</c:v>
                </c:pt>
                <c:pt idx="52">
                  <c:v>66</c:v>
                </c:pt>
                <c:pt idx="53">
                  <c:v>61</c:v>
                </c:pt>
                <c:pt idx="54">
                  <c:v>68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67</c:v>
                </c:pt>
                <c:pt idx="59">
                  <c:v>61</c:v>
                </c:pt>
                <c:pt idx="60">
                  <c:v>63</c:v>
                </c:pt>
                <c:pt idx="61">
                  <c:v>65</c:v>
                </c:pt>
                <c:pt idx="62">
                  <c:v>65</c:v>
                </c:pt>
                <c:pt idx="63">
                  <c:v>64</c:v>
                </c:pt>
                <c:pt idx="64">
                  <c:v>65</c:v>
                </c:pt>
                <c:pt idx="65">
                  <c:v>63</c:v>
                </c:pt>
                <c:pt idx="66">
                  <c:v>63</c:v>
                </c:pt>
                <c:pt idx="67">
                  <c:v>60</c:v>
                </c:pt>
                <c:pt idx="68">
                  <c:v>78</c:v>
                </c:pt>
                <c:pt idx="69">
                  <c:v>66</c:v>
                </c:pt>
                <c:pt idx="70">
                  <c:v>78</c:v>
                </c:pt>
                <c:pt idx="71">
                  <c:v>70</c:v>
                </c:pt>
                <c:pt idx="72">
                  <c:v>59</c:v>
                </c:pt>
                <c:pt idx="73">
                  <c:v>73</c:v>
                </c:pt>
                <c:pt idx="74">
                  <c:v>70</c:v>
                </c:pt>
                <c:pt idx="75">
                  <c:v>65</c:v>
                </c:pt>
                <c:pt idx="76">
                  <c:v>71</c:v>
                </c:pt>
                <c:pt idx="77">
                  <c:v>74</c:v>
                </c:pt>
                <c:pt idx="78">
                  <c:v>66</c:v>
                </c:pt>
                <c:pt idx="79">
                  <c:v>66</c:v>
                </c:pt>
                <c:pt idx="80">
                  <c:v>77</c:v>
                </c:pt>
                <c:pt idx="81">
                  <c:v>63</c:v>
                </c:pt>
                <c:pt idx="82">
                  <c:v>72</c:v>
                </c:pt>
                <c:pt idx="83">
                  <c:v>69</c:v>
                </c:pt>
                <c:pt idx="84">
                  <c:v>70</c:v>
                </c:pt>
                <c:pt idx="85">
                  <c:v>79</c:v>
                </c:pt>
                <c:pt idx="86">
                  <c:v>68</c:v>
                </c:pt>
                <c:pt idx="87">
                  <c:v>64</c:v>
                </c:pt>
                <c:pt idx="88">
                  <c:v>66</c:v>
                </c:pt>
                <c:pt idx="89">
                  <c:v>81</c:v>
                </c:pt>
                <c:pt idx="90">
                  <c:v>77</c:v>
                </c:pt>
                <c:pt idx="91">
                  <c:v>65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80</c:v>
                </c:pt>
                <c:pt idx="96">
                  <c:v>60</c:v>
                </c:pt>
                <c:pt idx="97">
                  <c:v>71</c:v>
                </c:pt>
                <c:pt idx="98">
                  <c:v>80</c:v>
                </c:pt>
                <c:pt idx="99">
                  <c:v>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1F-47CB-8072-23BDBDC2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6576"/>
        <c:axId val="153098112"/>
      </c:scatterChart>
      <c:valAx>
        <c:axId val="1530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98112"/>
        <c:crosses val="autoZero"/>
        <c:crossBetween val="midCat"/>
      </c:valAx>
      <c:valAx>
        <c:axId val="1530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9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16207349081366"/>
                  <c:y val="-4.7528798483522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'Врем.ряд (доллар)'!$D$3:$D$35</c:f>
              <c:numCache>
                <c:formatCode>m/d/yyyy</c:formatCode>
                <c:ptCount val="33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</c:numCache>
            </c:numRef>
          </c:xVal>
          <c:yVal>
            <c:numRef>
              <c:f>'Врем.ряд (доллар)'!$E$3:$E$35</c:f>
              <c:numCache>
                <c:formatCode>General</c:formatCode>
                <c:ptCount val="33"/>
                <c:pt idx="0">
                  <c:v>52.363</c:v>
                </c:pt>
                <c:pt idx="1">
                  <c:v>50.341900000000003</c:v>
                </c:pt>
                <c:pt idx="2">
                  <c:v>54.368299999999998</c:v>
                </c:pt>
                <c:pt idx="3">
                  <c:v>56.977400000000003</c:v>
                </c:pt>
                <c:pt idx="4">
                  <c:v>65.016900000000007</c:v>
                </c:pt>
                <c:pt idx="5">
                  <c:v>66.595399999999998</c:v>
                </c:pt>
                <c:pt idx="6">
                  <c:v>62.706099999999999</c:v>
                </c:pt>
                <c:pt idx="7">
                  <c:v>64.912000000000006</c:v>
                </c:pt>
                <c:pt idx="8">
                  <c:v>70.224400000000003</c:v>
                </c:pt>
                <c:pt idx="9">
                  <c:v>76.584500000000006</c:v>
                </c:pt>
                <c:pt idx="10">
                  <c:v>77.132599999999996</c:v>
                </c:pt>
                <c:pt idx="11">
                  <c:v>70.230500000000006</c:v>
                </c:pt>
                <c:pt idx="12">
                  <c:v>66.4756</c:v>
                </c:pt>
                <c:pt idx="13">
                  <c:v>65.968100000000007</c:v>
                </c:pt>
                <c:pt idx="14">
                  <c:v>65.133899999999997</c:v>
                </c:pt>
                <c:pt idx="15">
                  <c:v>64.112700000000004</c:v>
                </c:pt>
                <c:pt idx="16">
                  <c:v>64.813900000000004</c:v>
                </c:pt>
                <c:pt idx="17">
                  <c:v>64.757900000000006</c:v>
                </c:pt>
                <c:pt idx="18">
                  <c:v>62.458300000000001</c:v>
                </c:pt>
                <c:pt idx="19">
                  <c:v>64.183300000000003</c:v>
                </c:pt>
                <c:pt idx="20">
                  <c:v>61.636800000000001</c:v>
                </c:pt>
                <c:pt idx="21">
                  <c:v>59.6526</c:v>
                </c:pt>
                <c:pt idx="22">
                  <c:v>58.096699999999998</c:v>
                </c:pt>
                <c:pt idx="23">
                  <c:v>58.243699999999997</c:v>
                </c:pt>
                <c:pt idx="24">
                  <c:v>56.313099999999999</c:v>
                </c:pt>
                <c:pt idx="25">
                  <c:v>56.756</c:v>
                </c:pt>
                <c:pt idx="26">
                  <c:v>57.4437</c:v>
                </c:pt>
                <c:pt idx="27">
                  <c:v>59.578699999999998</c:v>
                </c:pt>
                <c:pt idx="28">
                  <c:v>59.798999999999999</c:v>
                </c:pt>
                <c:pt idx="29">
                  <c:v>57.719200000000001</c:v>
                </c:pt>
                <c:pt idx="30">
                  <c:v>57.686900000000001</c:v>
                </c:pt>
                <c:pt idx="31">
                  <c:v>59.006100000000004</c:v>
                </c:pt>
                <c:pt idx="32">
                  <c:v>58.716999999999999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6608"/>
        <c:axId val="153191168"/>
      </c:scatterChart>
      <c:valAx>
        <c:axId val="15315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91168"/>
        <c:crosses val="autoZero"/>
        <c:crossBetween val="midCat"/>
      </c:valAx>
      <c:valAx>
        <c:axId val="153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16207349081366"/>
                  <c:y val="-4.7528798483522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'Врем.ряд(зп)'!$D$3:$D$35</c:f>
              <c:numCache>
                <c:formatCode>m/d/yyyy</c:formatCode>
                <c:ptCount val="3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</c:numCache>
            </c:numRef>
          </c:xVal>
          <c:yVal>
            <c:numRef>
              <c:f>'Врем.ряд(зп)'!$E$3:$E$35</c:f>
              <c:numCache>
                <c:formatCode>General</c:formatCode>
                <c:ptCount val="33"/>
                <c:pt idx="0">
                  <c:v>-4470</c:v>
                </c:pt>
                <c:pt idx="1">
                  <c:v>-560</c:v>
                </c:pt>
                <c:pt idx="2">
                  <c:v>2185</c:v>
                </c:pt>
                <c:pt idx="3">
                  <c:v>1595</c:v>
                </c:pt>
                <c:pt idx="4">
                  <c:v>1530</c:v>
                </c:pt>
                <c:pt idx="5">
                  <c:v>-1950</c:v>
                </c:pt>
                <c:pt idx="6">
                  <c:v>-2110</c:v>
                </c:pt>
                <c:pt idx="7">
                  <c:v>1270</c:v>
                </c:pt>
                <c:pt idx="8">
                  <c:v>100</c:v>
                </c:pt>
                <c:pt idx="9">
                  <c:v>617</c:v>
                </c:pt>
                <c:pt idx="10">
                  <c:v>8827</c:v>
                </c:pt>
                <c:pt idx="11">
                  <c:v>-10562</c:v>
                </c:pt>
                <c:pt idx="12">
                  <c:v>868</c:v>
                </c:pt>
                <c:pt idx="13">
                  <c:v>2580</c:v>
                </c:pt>
                <c:pt idx="14">
                  <c:v>640</c:v>
                </c:pt>
                <c:pt idx="15">
                  <c:v>360</c:v>
                </c:pt>
                <c:pt idx="16">
                  <c:v>2020</c:v>
                </c:pt>
                <c:pt idx="17">
                  <c:v>-2065</c:v>
                </c:pt>
                <c:pt idx="18">
                  <c:v>-2430</c:v>
                </c:pt>
                <c:pt idx="19">
                  <c:v>2060</c:v>
                </c:pt>
                <c:pt idx="20">
                  <c:v>45</c:v>
                </c:pt>
                <c:pt idx="21">
                  <c:v>-95</c:v>
                </c:pt>
                <c:pt idx="22">
                  <c:v>10949</c:v>
                </c:pt>
                <c:pt idx="23">
                  <c:v>-11404</c:v>
                </c:pt>
                <c:pt idx="24">
                  <c:v>250</c:v>
                </c:pt>
                <c:pt idx="25">
                  <c:v>1740</c:v>
                </c:pt>
                <c:pt idx="26">
                  <c:v>1613</c:v>
                </c:pt>
                <c:pt idx="27">
                  <c:v>1387</c:v>
                </c:pt>
                <c:pt idx="28">
                  <c:v>1000</c:v>
                </c:pt>
                <c:pt idx="29">
                  <c:v>-2285</c:v>
                </c:pt>
                <c:pt idx="30">
                  <c:v>-1315</c:v>
                </c:pt>
                <c:pt idx="31">
                  <c:v>-520</c:v>
                </c:pt>
                <c:pt idx="32">
                  <c:v>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9888"/>
        <c:axId val="153431424"/>
      </c:scatterChart>
      <c:valAx>
        <c:axId val="153429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31424"/>
        <c:crosses val="autoZero"/>
        <c:crossBetween val="midCat"/>
      </c:valAx>
      <c:valAx>
        <c:axId val="1534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809930008748907E-2"/>
                  <c:y val="-0.36010061242344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'Так себе зп'!$B$24:$B$42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'Так себе зп'!$C$24:$C$42</c:f>
              <c:numCache>
                <c:formatCode>General</c:formatCode>
                <c:ptCount val="19"/>
                <c:pt idx="0">
                  <c:v>2</c:v>
                </c:pt>
                <c:pt idx="1">
                  <c:v>360</c:v>
                </c:pt>
                <c:pt idx="2">
                  <c:v>1020</c:v>
                </c:pt>
                <c:pt idx="3">
                  <c:v>-1065</c:v>
                </c:pt>
                <c:pt idx="4">
                  <c:v>-1430</c:v>
                </c:pt>
                <c:pt idx="5">
                  <c:v>1060</c:v>
                </c:pt>
                <c:pt idx="6">
                  <c:v>545</c:v>
                </c:pt>
                <c:pt idx="7">
                  <c:v>-595</c:v>
                </c:pt>
                <c:pt idx="8">
                  <c:v>1949</c:v>
                </c:pt>
                <c:pt idx="9">
                  <c:v>-1404</c:v>
                </c:pt>
                <c:pt idx="10">
                  <c:v>250</c:v>
                </c:pt>
                <c:pt idx="11">
                  <c:v>1740</c:v>
                </c:pt>
                <c:pt idx="12">
                  <c:v>1613</c:v>
                </c:pt>
                <c:pt idx="13">
                  <c:v>1387</c:v>
                </c:pt>
                <c:pt idx="14">
                  <c:v>1000</c:v>
                </c:pt>
                <c:pt idx="15">
                  <c:v>-1285</c:v>
                </c:pt>
                <c:pt idx="16">
                  <c:v>-315</c:v>
                </c:pt>
                <c:pt idx="17">
                  <c:v>520</c:v>
                </c:pt>
                <c:pt idx="18">
                  <c:v>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1840"/>
        <c:axId val="153678208"/>
      </c:scatterChart>
      <c:valAx>
        <c:axId val="1536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3678208"/>
        <c:crosses val="autoZero"/>
        <c:crossBetween val="midCat"/>
      </c:valAx>
      <c:valAx>
        <c:axId val="1536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51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809930008748907E-2"/>
                  <c:y val="-0.36010061242344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'Врем ряд'!$B$24:$B$42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'Врем ряд'!$C$24:$C$42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4.4000000000000004</c:v>
                </c:pt>
                <c:pt idx="3">
                  <c:v>5</c:v>
                </c:pt>
                <c:pt idx="4">
                  <c:v>9</c:v>
                </c:pt>
                <c:pt idx="5">
                  <c:v>7.2</c:v>
                </c:pt>
                <c:pt idx="6">
                  <c:v>4.8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5.6</c:v>
                </c:pt>
                <c:pt idx="11">
                  <c:v>6.4</c:v>
                </c:pt>
                <c:pt idx="12">
                  <c:v>11</c:v>
                </c:pt>
                <c:pt idx="13">
                  <c:v>9</c:v>
                </c:pt>
                <c:pt idx="14">
                  <c:v>6.6</c:v>
                </c:pt>
                <c:pt idx="15">
                  <c:v>7</c:v>
                </c:pt>
                <c:pt idx="16">
                  <c:v>10.8</c:v>
                </c:pt>
                <c:pt idx="17">
                  <c:v>9</c:v>
                </c:pt>
                <c:pt idx="18">
                  <c:v>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3424"/>
        <c:axId val="154024960"/>
      </c:scatterChart>
      <c:valAx>
        <c:axId val="1540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4024960"/>
        <c:crosses val="autoZero"/>
        <c:crossBetween val="midCat"/>
      </c:valAx>
      <c:valAx>
        <c:axId val="154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23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809930008748907E-2"/>
                  <c:y val="-0.36010061242344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'Врем ряд (Дзюба)'!$B$24:$B$42</c:f>
              <c:strCach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Итого</c:v>
                </c:pt>
              </c:strCache>
            </c:strRef>
          </c:xVal>
          <c:yVal>
            <c:numRef>
              <c:f>'Врем ряд (Дзюба)'!$C$24:$C$42</c:f>
              <c:numCache>
                <c:formatCode>General</c:formatCode>
                <c:ptCount val="19"/>
                <c:pt idx="0">
                  <c:v>2</c:v>
                </c:pt>
                <c:pt idx="1">
                  <c:v>195</c:v>
                </c:pt>
                <c:pt idx="2">
                  <c:v>143</c:v>
                </c:pt>
                <c:pt idx="3">
                  <c:v>112</c:v>
                </c:pt>
                <c:pt idx="4">
                  <c:v>107</c:v>
                </c:pt>
                <c:pt idx="5">
                  <c:v>167</c:v>
                </c:pt>
                <c:pt idx="6">
                  <c:v>205</c:v>
                </c:pt>
                <c:pt idx="7">
                  <c:v>178</c:v>
                </c:pt>
                <c:pt idx="8">
                  <c:v>156</c:v>
                </c:pt>
                <c:pt idx="9">
                  <c:v>189</c:v>
                </c:pt>
                <c:pt idx="10">
                  <c:v>235</c:v>
                </c:pt>
                <c:pt idx="11">
                  <c:v>203</c:v>
                </c:pt>
                <c:pt idx="12">
                  <c:v>267</c:v>
                </c:pt>
                <c:pt idx="13">
                  <c:v>239</c:v>
                </c:pt>
                <c:pt idx="14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9536"/>
        <c:axId val="154067712"/>
      </c:scatterChart>
      <c:valAx>
        <c:axId val="1540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4067712"/>
        <c:crosses val="autoZero"/>
        <c:crossBetween val="midCat"/>
      </c:valAx>
      <c:valAx>
        <c:axId val="1540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49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200025</xdr:colOff>
      <xdr:row>33</xdr:row>
      <xdr:rowOff>42862</xdr:rowOff>
    </xdr:from>
    <xdr:to>
      <xdr:col>34</xdr:col>
      <xdr:colOff>447675</xdr:colOff>
      <xdr:row>50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11905</xdr:colOff>
      <xdr:row>2</xdr:row>
      <xdr:rowOff>9525</xdr:rowOff>
    </xdr:from>
    <xdr:to>
      <xdr:col>31</xdr:col>
      <xdr:colOff>333374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11905</xdr:colOff>
      <xdr:row>2</xdr:row>
      <xdr:rowOff>9525</xdr:rowOff>
    </xdr:from>
    <xdr:to>
      <xdr:col>31</xdr:col>
      <xdr:colOff>333374</xdr:colOff>
      <xdr:row>16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17</xdr:row>
      <xdr:rowOff>19050</xdr:rowOff>
    </xdr:from>
    <xdr:to>
      <xdr:col>18</xdr:col>
      <xdr:colOff>238125</xdr:colOff>
      <xdr:row>33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17</xdr:row>
      <xdr:rowOff>19050</xdr:rowOff>
    </xdr:from>
    <xdr:to>
      <xdr:col>18</xdr:col>
      <xdr:colOff>238125</xdr:colOff>
      <xdr:row>33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17</xdr:row>
      <xdr:rowOff>19050</xdr:rowOff>
    </xdr:from>
    <xdr:to>
      <xdr:col>18</xdr:col>
      <xdr:colOff>238125</xdr:colOff>
      <xdr:row>33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9"/>
  <sheetViews>
    <sheetView topLeftCell="A101" workbookViewId="0">
      <selection activeCell="M116" sqref="M116"/>
    </sheetView>
  </sheetViews>
  <sheetFormatPr defaultRowHeight="15" x14ac:dyDescent="0.25"/>
  <cols>
    <col min="7" max="7" width="25" customWidth="1"/>
    <col min="8" max="8" width="17.85546875" customWidth="1"/>
    <col min="9" max="10" width="23.42578125" customWidth="1"/>
    <col min="11" max="11" width="17" customWidth="1"/>
    <col min="12" max="12" width="14.7109375" customWidth="1"/>
    <col min="13" max="13" width="13.5703125" customWidth="1"/>
    <col min="14" max="14" width="15.85546875" customWidth="1"/>
    <col min="15" max="15" width="16.42578125" customWidth="1"/>
    <col min="16" max="16" width="12.5703125" customWidth="1"/>
    <col min="30" max="30" width="3.140625" customWidth="1"/>
    <col min="31" max="31" width="3.42578125" customWidth="1"/>
    <col min="32" max="32" width="7" customWidth="1"/>
    <col min="33" max="33" width="3" customWidth="1"/>
  </cols>
  <sheetData>
    <row r="1" spans="1:20" x14ac:dyDescent="0.25">
      <c r="A1" s="11" t="s">
        <v>0</v>
      </c>
      <c r="B1" s="11" t="s">
        <v>1</v>
      </c>
      <c r="C1" s="4" t="s">
        <v>0</v>
      </c>
      <c r="D1" s="4" t="s">
        <v>1</v>
      </c>
      <c r="G1" s="1" t="s">
        <v>2</v>
      </c>
      <c r="H1" s="2">
        <f>C2</f>
        <v>156</v>
      </c>
      <c r="I1" s="1" t="s">
        <v>3</v>
      </c>
      <c r="J1" s="2">
        <f>C101</f>
        <v>180</v>
      </c>
      <c r="L1" s="282" t="s">
        <v>12</v>
      </c>
      <c r="M1" s="282"/>
      <c r="T1" s="4" t="s">
        <v>1</v>
      </c>
    </row>
    <row r="2" spans="1:20" x14ac:dyDescent="0.25">
      <c r="A2" s="6">
        <v>174</v>
      </c>
      <c r="B2" s="6">
        <v>70</v>
      </c>
      <c r="C2" s="50">
        <v>156</v>
      </c>
      <c r="D2" s="6">
        <v>54</v>
      </c>
      <c r="G2" s="1" t="s">
        <v>4</v>
      </c>
      <c r="H2" s="2">
        <f>J1-H1</f>
        <v>24</v>
      </c>
      <c r="I2" s="3"/>
      <c r="J2" s="2"/>
      <c r="T2" s="6">
        <v>51</v>
      </c>
    </row>
    <row r="3" spans="1:20" x14ac:dyDescent="0.25">
      <c r="A3" s="6">
        <v>166</v>
      </c>
      <c r="B3" s="6">
        <v>57</v>
      </c>
      <c r="C3" s="50">
        <v>156</v>
      </c>
      <c r="D3" s="6">
        <v>54</v>
      </c>
      <c r="G3" s="1" t="s">
        <v>5</v>
      </c>
      <c r="H3" s="2">
        <f>ROUND(1+3.32*LOG10(100),0)</f>
        <v>8</v>
      </c>
      <c r="T3" s="6">
        <v>52</v>
      </c>
    </row>
    <row r="4" spans="1:20" x14ac:dyDescent="0.25">
      <c r="A4" s="6">
        <v>161</v>
      </c>
      <c r="B4" s="6">
        <v>55</v>
      </c>
      <c r="C4" s="50">
        <v>156</v>
      </c>
      <c r="D4" s="6">
        <v>54</v>
      </c>
      <c r="G4" s="1" t="s">
        <v>6</v>
      </c>
      <c r="H4" s="2">
        <f>H2/H3</f>
        <v>3</v>
      </c>
      <c r="T4" s="6">
        <v>52</v>
      </c>
    </row>
    <row r="5" spans="1:20" ht="15.75" thickBot="1" x14ac:dyDescent="0.3">
      <c r="A5" s="6">
        <v>172</v>
      </c>
      <c r="B5" s="6">
        <v>60</v>
      </c>
      <c r="C5" s="50">
        <v>157</v>
      </c>
      <c r="D5" s="6">
        <v>69</v>
      </c>
      <c r="T5" s="6">
        <v>54</v>
      </c>
    </row>
    <row r="6" spans="1:20" ht="16.5" thickBot="1" x14ac:dyDescent="0.3">
      <c r="A6" s="6">
        <v>166</v>
      </c>
      <c r="B6" s="6">
        <v>57</v>
      </c>
      <c r="C6" s="14">
        <v>161</v>
      </c>
      <c r="D6" s="6">
        <v>55</v>
      </c>
      <c r="G6" s="106"/>
      <c r="H6" s="105" t="s">
        <v>7</v>
      </c>
      <c r="I6" s="101" t="s">
        <v>8</v>
      </c>
      <c r="J6" s="101" t="s">
        <v>9</v>
      </c>
      <c r="K6" s="101" t="s">
        <v>10</v>
      </c>
      <c r="L6" s="101" t="s">
        <v>11</v>
      </c>
      <c r="M6" s="102" t="s">
        <v>43</v>
      </c>
      <c r="N6" s="110" t="s">
        <v>44</v>
      </c>
      <c r="O6" s="111" t="s">
        <v>45</v>
      </c>
      <c r="T6" s="6">
        <v>54</v>
      </c>
    </row>
    <row r="7" spans="1:20" x14ac:dyDescent="0.25">
      <c r="A7" s="6">
        <v>169</v>
      </c>
      <c r="B7" s="6">
        <v>62</v>
      </c>
      <c r="C7" s="14">
        <v>161</v>
      </c>
      <c r="D7" s="6">
        <v>55</v>
      </c>
      <c r="G7" s="155">
        <v>1</v>
      </c>
      <c r="H7" s="138">
        <f>$H$1</f>
        <v>156</v>
      </c>
      <c r="I7" s="140">
        <f>H7+$H$4</f>
        <v>159</v>
      </c>
      <c r="J7" s="139">
        <f>COUNTIF($A$2:$A$101,"&lt;=159")</f>
        <v>4</v>
      </c>
      <c r="K7" s="139">
        <f>J7</f>
        <v>4</v>
      </c>
      <c r="L7" s="140">
        <f>(H7+I7)/2</f>
        <v>157.5</v>
      </c>
      <c r="M7" s="139">
        <f>J7/100</f>
        <v>0.04</v>
      </c>
      <c r="N7" s="139">
        <f>K7/100</f>
        <v>0.04</v>
      </c>
      <c r="O7" s="158">
        <f>M7/$H$4</f>
        <v>1.3333333333333334E-2</v>
      </c>
      <c r="T7" s="6">
        <v>54</v>
      </c>
    </row>
    <row r="8" spans="1:20" x14ac:dyDescent="0.25">
      <c r="A8" s="6">
        <v>168</v>
      </c>
      <c r="B8" s="6">
        <v>70</v>
      </c>
      <c r="C8" s="14">
        <v>161</v>
      </c>
      <c r="D8" s="6">
        <v>51</v>
      </c>
      <c r="G8" s="156">
        <v>2</v>
      </c>
      <c r="H8" s="143">
        <f>I7</f>
        <v>159</v>
      </c>
      <c r="I8" s="8">
        <f t="shared" ref="I8:I14" si="0">H8+$H$4</f>
        <v>162</v>
      </c>
      <c r="J8" s="9">
        <f>COUNTIF($A$2:$A$101,"&lt;=162")-J7</f>
        <v>6</v>
      </c>
      <c r="K8" s="9">
        <f>J8+K7</f>
        <v>10</v>
      </c>
      <c r="L8" s="8">
        <f t="shared" ref="L8:L14" si="1">(H8+I8)/2</f>
        <v>160.5</v>
      </c>
      <c r="M8" s="5">
        <f t="shared" ref="M8:N14" si="2">J8/100</f>
        <v>0.06</v>
      </c>
      <c r="N8" s="5">
        <f t="shared" si="2"/>
        <v>0.1</v>
      </c>
      <c r="O8" s="159">
        <f t="shared" ref="O8:O14" si="3">M8/$H$4</f>
        <v>0.02</v>
      </c>
      <c r="T8" s="6">
        <v>55</v>
      </c>
    </row>
    <row r="9" spans="1:20" x14ac:dyDescent="0.25">
      <c r="A9" s="6">
        <v>167</v>
      </c>
      <c r="B9" s="6">
        <v>65</v>
      </c>
      <c r="C9" s="14">
        <v>162</v>
      </c>
      <c r="D9" s="6">
        <v>52</v>
      </c>
      <c r="G9" s="156">
        <v>3</v>
      </c>
      <c r="H9" s="143">
        <f t="shared" ref="H9:H14" si="4">I8</f>
        <v>162</v>
      </c>
      <c r="I9" s="8">
        <f t="shared" si="0"/>
        <v>165</v>
      </c>
      <c r="J9" s="9">
        <f>COUNTIF($A$2:$A$101,"&lt;=165")-J8-J7</f>
        <v>14</v>
      </c>
      <c r="K9" s="9">
        <f t="shared" ref="K9:K14" si="5">J9+K8</f>
        <v>24</v>
      </c>
      <c r="L9" s="8">
        <f t="shared" si="1"/>
        <v>163.5</v>
      </c>
      <c r="M9" s="5">
        <f t="shared" si="2"/>
        <v>0.14000000000000001</v>
      </c>
      <c r="N9" s="5">
        <f t="shared" si="2"/>
        <v>0.24</v>
      </c>
      <c r="O9" s="159">
        <f t="shared" si="3"/>
        <v>4.6666666666666669E-2</v>
      </c>
      <c r="T9" s="6">
        <v>55</v>
      </c>
    </row>
    <row r="10" spans="1:20" x14ac:dyDescent="0.25">
      <c r="A10" s="6">
        <v>178</v>
      </c>
      <c r="B10" s="6">
        <v>80</v>
      </c>
      <c r="C10" s="14">
        <v>162</v>
      </c>
      <c r="D10" s="6">
        <v>65</v>
      </c>
      <c r="G10" s="156">
        <v>4</v>
      </c>
      <c r="H10" s="143">
        <f t="shared" si="4"/>
        <v>165</v>
      </c>
      <c r="I10" s="8">
        <f t="shared" si="0"/>
        <v>168</v>
      </c>
      <c r="J10" s="9">
        <f>COUNTIF($A$2:$A$101,"&lt;=168")-J9-J8-J7</f>
        <v>24</v>
      </c>
      <c r="K10" s="9">
        <f t="shared" si="5"/>
        <v>48</v>
      </c>
      <c r="L10" s="8">
        <f t="shared" si="1"/>
        <v>166.5</v>
      </c>
      <c r="M10" s="5">
        <f t="shared" si="2"/>
        <v>0.24</v>
      </c>
      <c r="N10" s="5">
        <f t="shared" si="2"/>
        <v>0.48</v>
      </c>
      <c r="O10" s="159">
        <f t="shared" si="3"/>
        <v>0.08</v>
      </c>
      <c r="T10" s="6">
        <v>55</v>
      </c>
    </row>
    <row r="11" spans="1:20" x14ac:dyDescent="0.25">
      <c r="A11" s="6">
        <v>165</v>
      </c>
      <c r="B11" s="6">
        <v>68</v>
      </c>
      <c r="C11" s="14">
        <v>162</v>
      </c>
      <c r="D11" s="6">
        <v>56</v>
      </c>
      <c r="G11" s="156">
        <v>5</v>
      </c>
      <c r="H11" s="143">
        <f t="shared" si="4"/>
        <v>168</v>
      </c>
      <c r="I11" s="8">
        <f t="shared" si="0"/>
        <v>171</v>
      </c>
      <c r="J11" s="9">
        <f>COUNTIF($A$2:$A$101,"&lt;=171")-J10-J9-J8-J7</f>
        <v>19</v>
      </c>
      <c r="K11" s="9">
        <f t="shared" si="5"/>
        <v>67</v>
      </c>
      <c r="L11" s="8">
        <f t="shared" si="1"/>
        <v>169.5</v>
      </c>
      <c r="M11" s="5">
        <f t="shared" si="2"/>
        <v>0.19</v>
      </c>
      <c r="N11" s="5">
        <f t="shared" si="2"/>
        <v>0.67</v>
      </c>
      <c r="O11" s="159">
        <f t="shared" si="3"/>
        <v>6.3333333333333339E-2</v>
      </c>
      <c r="T11" s="6">
        <v>55</v>
      </c>
    </row>
    <row r="12" spans="1:20" x14ac:dyDescent="0.25">
      <c r="A12" s="6">
        <v>175</v>
      </c>
      <c r="B12" s="6">
        <v>64</v>
      </c>
      <c r="C12" s="13">
        <v>163</v>
      </c>
      <c r="D12" s="6">
        <v>67</v>
      </c>
      <c r="G12" s="156">
        <v>6</v>
      </c>
      <c r="H12" s="143">
        <f t="shared" si="4"/>
        <v>171</v>
      </c>
      <c r="I12" s="8">
        <f t="shared" si="0"/>
        <v>174</v>
      </c>
      <c r="J12" s="9">
        <f>COUNTIF($A$2:$A$101,"&lt;=174")-SUM(J7:J11)</f>
        <v>20</v>
      </c>
      <c r="K12" s="9">
        <f t="shared" si="5"/>
        <v>87</v>
      </c>
      <c r="L12" s="8">
        <f t="shared" si="1"/>
        <v>172.5</v>
      </c>
      <c r="M12" s="5">
        <f t="shared" si="2"/>
        <v>0.2</v>
      </c>
      <c r="N12" s="5">
        <f t="shared" si="2"/>
        <v>0.87</v>
      </c>
      <c r="O12" s="159">
        <f t="shared" si="3"/>
        <v>6.6666666666666666E-2</v>
      </c>
      <c r="T12" s="6">
        <v>55</v>
      </c>
    </row>
    <row r="13" spans="1:20" x14ac:dyDescent="0.25">
      <c r="A13" s="6">
        <v>165</v>
      </c>
      <c r="B13" s="6">
        <v>55</v>
      </c>
      <c r="C13" s="13">
        <v>163</v>
      </c>
      <c r="D13" s="6">
        <v>60</v>
      </c>
      <c r="G13" s="156">
        <v>7</v>
      </c>
      <c r="H13" s="143">
        <f t="shared" si="4"/>
        <v>174</v>
      </c>
      <c r="I13" s="8">
        <f t="shared" si="0"/>
        <v>177</v>
      </c>
      <c r="J13" s="9">
        <f>COUNTIF($A$2:$A$101,"&lt;=177")-SUM(J7:J12)</f>
        <v>8</v>
      </c>
      <c r="K13" s="9">
        <f t="shared" si="5"/>
        <v>95</v>
      </c>
      <c r="L13" s="8">
        <f t="shared" si="1"/>
        <v>175.5</v>
      </c>
      <c r="M13" s="5">
        <f t="shared" si="2"/>
        <v>0.08</v>
      </c>
      <c r="N13" s="5">
        <f t="shared" si="2"/>
        <v>0.95</v>
      </c>
      <c r="O13" s="159">
        <f t="shared" si="3"/>
        <v>2.6666666666666668E-2</v>
      </c>
      <c r="T13" s="6">
        <v>55</v>
      </c>
    </row>
    <row r="14" spans="1:20" ht="15.75" thickBot="1" x14ac:dyDescent="0.3">
      <c r="A14" s="6">
        <v>172</v>
      </c>
      <c r="B14" s="6">
        <v>78</v>
      </c>
      <c r="C14" s="13">
        <v>163</v>
      </c>
      <c r="D14" s="6">
        <v>68</v>
      </c>
      <c r="G14" s="157">
        <v>8</v>
      </c>
      <c r="H14" s="143">
        <f t="shared" si="4"/>
        <v>177</v>
      </c>
      <c r="I14" s="8">
        <f t="shared" si="0"/>
        <v>180</v>
      </c>
      <c r="J14" s="9">
        <f>COUNTIF($A$2:$A$101,"&lt;=180")-SUM(J7:J13)</f>
        <v>5</v>
      </c>
      <c r="K14" s="9">
        <f t="shared" si="5"/>
        <v>100</v>
      </c>
      <c r="L14" s="8">
        <f t="shared" si="1"/>
        <v>178.5</v>
      </c>
      <c r="M14" s="5">
        <f t="shared" si="2"/>
        <v>0.05</v>
      </c>
      <c r="N14" s="5">
        <f t="shared" si="2"/>
        <v>1</v>
      </c>
      <c r="O14" s="159">
        <f t="shared" si="3"/>
        <v>1.6666666666666666E-2</v>
      </c>
      <c r="T14" s="6">
        <v>55</v>
      </c>
    </row>
    <row r="15" spans="1:20" ht="15.75" thickBot="1" x14ac:dyDescent="0.3">
      <c r="A15" s="6">
        <v>173</v>
      </c>
      <c r="B15" s="6">
        <v>65</v>
      </c>
      <c r="C15" s="13">
        <v>164</v>
      </c>
      <c r="D15" s="6">
        <v>68</v>
      </c>
      <c r="H15" s="145"/>
      <c r="I15" s="121"/>
      <c r="J15" s="146">
        <f>SUM(J7:J14)</f>
        <v>100</v>
      </c>
      <c r="K15" s="160" t="s">
        <v>13</v>
      </c>
      <c r="L15" s="160" t="s">
        <v>13</v>
      </c>
      <c r="M15" s="146">
        <f>SUM(M7:M14)</f>
        <v>0.99999999999999989</v>
      </c>
      <c r="N15" s="146"/>
      <c r="O15" s="161"/>
      <c r="T15" s="6">
        <v>56</v>
      </c>
    </row>
    <row r="16" spans="1:20" ht="15.75" thickBot="1" x14ac:dyDescent="0.3">
      <c r="A16" s="6">
        <v>167</v>
      </c>
      <c r="B16" s="6">
        <v>63</v>
      </c>
      <c r="C16" s="13">
        <v>164</v>
      </c>
      <c r="D16" s="6">
        <v>60</v>
      </c>
      <c r="T16" s="6">
        <v>57</v>
      </c>
    </row>
    <row r="17" spans="1:20" ht="15.75" thickBot="1" x14ac:dyDescent="0.3">
      <c r="A17" s="6">
        <v>163</v>
      </c>
      <c r="B17" s="6">
        <v>67</v>
      </c>
      <c r="C17" s="13">
        <v>164</v>
      </c>
      <c r="D17" s="6">
        <v>62</v>
      </c>
      <c r="G17" s="99" t="s">
        <v>14</v>
      </c>
      <c r="H17" s="100">
        <f>$K$27</f>
        <v>168.45000000000002</v>
      </c>
      <c r="I17" s="15"/>
      <c r="T17" s="6">
        <v>57</v>
      </c>
    </row>
    <row r="18" spans="1:20" ht="16.5" thickBot="1" x14ac:dyDescent="0.3">
      <c r="A18" s="6">
        <v>173</v>
      </c>
      <c r="B18" s="6">
        <v>71</v>
      </c>
      <c r="C18" s="13">
        <v>164</v>
      </c>
      <c r="D18" s="6">
        <v>57</v>
      </c>
      <c r="G18" s="106"/>
      <c r="H18" s="105" t="s">
        <v>11</v>
      </c>
      <c r="I18" s="102" t="s">
        <v>27</v>
      </c>
      <c r="J18" s="102" t="s">
        <v>15</v>
      </c>
      <c r="K18" s="101" t="s">
        <v>72</v>
      </c>
      <c r="L18" s="103" t="s">
        <v>23</v>
      </c>
      <c r="M18" s="103" t="s">
        <v>24</v>
      </c>
      <c r="N18" s="103" t="s">
        <v>25</v>
      </c>
      <c r="O18" s="104" t="s">
        <v>26</v>
      </c>
      <c r="T18" s="6">
        <v>57</v>
      </c>
    </row>
    <row r="19" spans="1:20" x14ac:dyDescent="0.25">
      <c r="A19" s="6">
        <v>164</v>
      </c>
      <c r="B19" s="6">
        <v>68</v>
      </c>
      <c r="C19" s="13">
        <v>164</v>
      </c>
      <c r="D19" s="6">
        <v>60</v>
      </c>
      <c r="G19" s="107">
        <v>1</v>
      </c>
      <c r="H19" s="138">
        <f>L7</f>
        <v>157.5</v>
      </c>
      <c r="I19" s="139">
        <f>M7</f>
        <v>0.04</v>
      </c>
      <c r="J19" s="140">
        <f>H19-$K$27</f>
        <v>-10.950000000000017</v>
      </c>
      <c r="K19" s="140">
        <f>H19*I19</f>
        <v>6.3</v>
      </c>
      <c r="L19" s="140">
        <f>I19*J19</f>
        <v>-0.43800000000000067</v>
      </c>
      <c r="M19" s="140">
        <f>L19*J19</f>
        <v>4.7961000000000151</v>
      </c>
      <c r="N19" s="141">
        <f>M19*J19</f>
        <v>-52.517295000000246</v>
      </c>
      <c r="O19" s="142">
        <f>N19*J19</f>
        <v>575.06438025000364</v>
      </c>
      <c r="T19" s="6">
        <v>57</v>
      </c>
    </row>
    <row r="20" spans="1:20" x14ac:dyDescent="0.25">
      <c r="A20" s="6">
        <v>170</v>
      </c>
      <c r="B20" s="6">
        <v>68</v>
      </c>
      <c r="C20" s="13">
        <v>164</v>
      </c>
      <c r="D20" s="6">
        <v>60</v>
      </c>
      <c r="G20" s="108">
        <v>2</v>
      </c>
      <c r="H20" s="143">
        <f>L8</f>
        <v>160.5</v>
      </c>
      <c r="I20" s="5">
        <f t="shared" ref="H20:I26" si="6">M8</f>
        <v>0.06</v>
      </c>
      <c r="J20" s="8">
        <f>H20-$K$27</f>
        <v>-7.9500000000000171</v>
      </c>
      <c r="K20" s="8">
        <f t="shared" ref="K20:L26" si="7">H20*I20</f>
        <v>9.629999999999999</v>
      </c>
      <c r="L20" s="8">
        <f t="shared" si="7"/>
        <v>-0.47700000000000098</v>
      </c>
      <c r="M20" s="8">
        <f t="shared" ref="M20:M26" si="8">L20*J20</f>
        <v>3.7921500000000159</v>
      </c>
      <c r="N20" s="16">
        <f t="shared" ref="N20:N26" si="9">M20*J20</f>
        <v>-30.14759250000019</v>
      </c>
      <c r="O20" s="144">
        <f t="shared" ref="O20:O26" si="10">N20*J20</f>
        <v>239.67336037500203</v>
      </c>
      <c r="T20" s="6">
        <v>57</v>
      </c>
    </row>
    <row r="21" spans="1:20" x14ac:dyDescent="0.25">
      <c r="A21" s="6">
        <v>164</v>
      </c>
      <c r="B21" s="6">
        <v>60</v>
      </c>
      <c r="C21" s="13">
        <v>164</v>
      </c>
      <c r="D21" s="6">
        <v>57</v>
      </c>
      <c r="G21" s="108">
        <v>3</v>
      </c>
      <c r="H21" s="143">
        <f t="shared" si="6"/>
        <v>163.5</v>
      </c>
      <c r="I21" s="5">
        <f t="shared" si="6"/>
        <v>0.14000000000000001</v>
      </c>
      <c r="J21" s="8">
        <f t="shared" ref="J21:J26" si="11">H21-$K$27</f>
        <v>-4.9500000000000171</v>
      </c>
      <c r="K21" s="8">
        <f t="shared" si="7"/>
        <v>22.89</v>
      </c>
      <c r="L21" s="8">
        <f t="shared" si="7"/>
        <v>-0.6930000000000025</v>
      </c>
      <c r="M21" s="8">
        <f t="shared" si="8"/>
        <v>3.4303500000000242</v>
      </c>
      <c r="N21" s="16">
        <f t="shared" si="9"/>
        <v>-16.980232500000177</v>
      </c>
      <c r="O21" s="144">
        <f t="shared" si="10"/>
        <v>84.052150875001161</v>
      </c>
      <c r="T21" s="6">
        <v>57</v>
      </c>
    </row>
    <row r="22" spans="1:20" x14ac:dyDescent="0.25">
      <c r="A22" s="6">
        <v>170</v>
      </c>
      <c r="B22" s="6">
        <v>63</v>
      </c>
      <c r="C22" s="13">
        <v>165</v>
      </c>
      <c r="D22" s="6">
        <v>68</v>
      </c>
      <c r="G22" s="108">
        <v>4</v>
      </c>
      <c r="H22" s="143">
        <f t="shared" si="6"/>
        <v>166.5</v>
      </c>
      <c r="I22" s="5">
        <f t="shared" si="6"/>
        <v>0.24</v>
      </c>
      <c r="J22" s="8">
        <f t="shared" si="11"/>
        <v>-1.9500000000000171</v>
      </c>
      <c r="K22" s="8">
        <f t="shared" si="7"/>
        <v>39.96</v>
      </c>
      <c r="L22" s="8">
        <f t="shared" si="7"/>
        <v>-0.46800000000000408</v>
      </c>
      <c r="M22" s="8">
        <f t="shared" si="8"/>
        <v>0.91260000000001595</v>
      </c>
      <c r="N22" s="16">
        <f t="shared" si="9"/>
        <v>-1.7795700000000467</v>
      </c>
      <c r="O22" s="144">
        <f t="shared" si="10"/>
        <v>3.4701615000001214</v>
      </c>
      <c r="T22" s="6">
        <v>58</v>
      </c>
    </row>
    <row r="23" spans="1:20" x14ac:dyDescent="0.25">
      <c r="A23" s="6">
        <v>180</v>
      </c>
      <c r="B23" s="6">
        <v>73</v>
      </c>
      <c r="C23" s="13">
        <v>165</v>
      </c>
      <c r="D23" s="6">
        <v>55</v>
      </c>
      <c r="G23" s="108">
        <v>5</v>
      </c>
      <c r="H23" s="143">
        <f t="shared" si="6"/>
        <v>169.5</v>
      </c>
      <c r="I23" s="5">
        <f t="shared" si="6"/>
        <v>0.19</v>
      </c>
      <c r="J23" s="8">
        <f t="shared" si="11"/>
        <v>1.0499999999999829</v>
      </c>
      <c r="K23" s="8">
        <f t="shared" si="7"/>
        <v>32.204999999999998</v>
      </c>
      <c r="L23" s="8">
        <f t="shared" si="7"/>
        <v>0.19949999999999676</v>
      </c>
      <c r="M23" s="8">
        <f t="shared" si="8"/>
        <v>0.20947499999999319</v>
      </c>
      <c r="N23" s="16">
        <f t="shared" si="9"/>
        <v>0.21994874999998928</v>
      </c>
      <c r="O23" s="144">
        <f t="shared" si="10"/>
        <v>0.230946187499985</v>
      </c>
      <c r="T23" s="6">
        <v>59</v>
      </c>
    </row>
    <row r="24" spans="1:20" x14ac:dyDescent="0.25">
      <c r="A24" s="6">
        <v>176</v>
      </c>
      <c r="B24" s="6">
        <v>81</v>
      </c>
      <c r="C24" s="13">
        <v>165</v>
      </c>
      <c r="D24" s="6">
        <v>55</v>
      </c>
      <c r="G24" s="108">
        <v>6</v>
      </c>
      <c r="H24" s="143">
        <f>L12</f>
        <v>172.5</v>
      </c>
      <c r="I24" s="5">
        <f t="shared" si="6"/>
        <v>0.2</v>
      </c>
      <c r="J24" s="8">
        <f t="shared" si="11"/>
        <v>4.0499999999999829</v>
      </c>
      <c r="K24" s="8">
        <f t="shared" si="7"/>
        <v>34.5</v>
      </c>
      <c r="L24" s="8">
        <f t="shared" si="7"/>
        <v>0.80999999999999661</v>
      </c>
      <c r="M24" s="8">
        <f t="shared" si="8"/>
        <v>3.2804999999999724</v>
      </c>
      <c r="N24" s="16">
        <f t="shared" si="9"/>
        <v>13.286024999999832</v>
      </c>
      <c r="O24" s="144">
        <f t="shared" si="10"/>
        <v>53.808401249999093</v>
      </c>
      <c r="T24" s="6">
        <v>59</v>
      </c>
    </row>
    <row r="25" spans="1:20" x14ac:dyDescent="0.25">
      <c r="A25" s="6">
        <v>173</v>
      </c>
      <c r="B25" s="6">
        <v>74</v>
      </c>
      <c r="C25" s="13">
        <v>165</v>
      </c>
      <c r="D25" s="6">
        <v>55</v>
      </c>
      <c r="G25" s="108">
        <v>7</v>
      </c>
      <c r="H25" s="143">
        <f t="shared" si="6"/>
        <v>175.5</v>
      </c>
      <c r="I25" s="5">
        <f t="shared" si="6"/>
        <v>0.08</v>
      </c>
      <c r="J25" s="8">
        <f t="shared" si="11"/>
        <v>7.0499999999999829</v>
      </c>
      <c r="K25" s="8">
        <f t="shared" si="7"/>
        <v>14.040000000000001</v>
      </c>
      <c r="L25" s="8">
        <f t="shared" si="7"/>
        <v>0.56399999999999861</v>
      </c>
      <c r="M25" s="8">
        <f t="shared" si="8"/>
        <v>3.9761999999999804</v>
      </c>
      <c r="N25" s="16">
        <f t="shared" si="9"/>
        <v>28.032209999999793</v>
      </c>
      <c r="O25" s="144">
        <f t="shared" si="10"/>
        <v>197.62708049999807</v>
      </c>
      <c r="T25" s="6">
        <v>60</v>
      </c>
    </row>
    <row r="26" spans="1:20" ht="15.75" thickBot="1" x14ac:dyDescent="0.3">
      <c r="A26" s="6">
        <v>168</v>
      </c>
      <c r="B26" s="6">
        <v>66</v>
      </c>
      <c r="C26" s="10">
        <v>166</v>
      </c>
      <c r="D26" s="6">
        <v>57</v>
      </c>
      <c r="G26" s="109">
        <v>8</v>
      </c>
      <c r="H26" s="145">
        <f t="shared" si="6"/>
        <v>178.5</v>
      </c>
      <c r="I26" s="146">
        <f>M14</f>
        <v>0.05</v>
      </c>
      <c r="J26" s="121">
        <f t="shared" si="11"/>
        <v>10.049999999999983</v>
      </c>
      <c r="K26" s="121">
        <f t="shared" si="7"/>
        <v>8.9250000000000007</v>
      </c>
      <c r="L26" s="121">
        <f t="shared" si="7"/>
        <v>0.50249999999999917</v>
      </c>
      <c r="M26" s="121">
        <f t="shared" si="8"/>
        <v>5.0501249999999827</v>
      </c>
      <c r="N26" s="147">
        <f t="shared" si="9"/>
        <v>50.753756249999739</v>
      </c>
      <c r="O26" s="148">
        <f t="shared" si="10"/>
        <v>510.07525031249651</v>
      </c>
      <c r="T26" s="6">
        <v>60</v>
      </c>
    </row>
    <row r="27" spans="1:20" ht="15.75" thickBot="1" x14ac:dyDescent="0.3">
      <c r="A27" s="6">
        <v>161</v>
      </c>
      <c r="B27" s="6">
        <v>55</v>
      </c>
      <c r="C27" s="10">
        <v>166</v>
      </c>
      <c r="D27" s="6">
        <v>57</v>
      </c>
      <c r="J27" s="152" t="s">
        <v>14</v>
      </c>
      <c r="K27" s="153">
        <f>SUM(K19:K26)</f>
        <v>168.45000000000002</v>
      </c>
      <c r="L27" s="153">
        <f>SUM(L19:L26)</f>
        <v>-1.6875389974302379E-14</v>
      </c>
      <c r="M27" s="153">
        <f>SUM(M19:M26)</f>
        <v>25.447499999999998</v>
      </c>
      <c r="N27" s="153">
        <f>SUM(N19:N26)</f>
        <v>-9.1327500000013089</v>
      </c>
      <c r="O27" s="154">
        <f>SUM(O19:O26)</f>
        <v>1664.0017312500006</v>
      </c>
      <c r="T27" s="6">
        <v>60</v>
      </c>
    </row>
    <row r="28" spans="1:20" x14ac:dyDescent="0.25">
      <c r="A28" s="6">
        <v>164</v>
      </c>
      <c r="B28" s="6">
        <v>62</v>
      </c>
      <c r="C28" s="10">
        <v>166</v>
      </c>
      <c r="D28" s="6">
        <v>61</v>
      </c>
      <c r="G28" s="31" t="s">
        <v>28</v>
      </c>
      <c r="H28" s="32">
        <f>M27</f>
        <v>25.447499999999998</v>
      </c>
      <c r="I28" s="43" t="s">
        <v>31</v>
      </c>
      <c r="J28" s="149">
        <f>N27</f>
        <v>-9.1327500000013089</v>
      </c>
      <c r="K28" s="150" t="s">
        <v>32</v>
      </c>
      <c r="L28" s="151">
        <f>O27</f>
        <v>1664.0017312500006</v>
      </c>
      <c r="M28" s="39"/>
      <c r="T28" s="6">
        <v>60</v>
      </c>
    </row>
    <row r="29" spans="1:20" x14ac:dyDescent="0.25">
      <c r="A29" s="6">
        <v>167</v>
      </c>
      <c r="B29" s="6">
        <v>61</v>
      </c>
      <c r="C29" s="10">
        <v>166</v>
      </c>
      <c r="D29" s="6">
        <v>55</v>
      </c>
      <c r="G29" s="33" t="s">
        <v>29</v>
      </c>
      <c r="H29" s="34">
        <f>H28</f>
        <v>25.447499999999998</v>
      </c>
      <c r="I29" s="35"/>
      <c r="J29" s="22"/>
      <c r="K29" s="22"/>
      <c r="L29" s="36" t="s">
        <v>16</v>
      </c>
      <c r="M29" s="23">
        <f>100/99*H29</f>
        <v>25.704545454545453</v>
      </c>
      <c r="T29" s="6">
        <v>60</v>
      </c>
    </row>
    <row r="30" spans="1:20" x14ac:dyDescent="0.25">
      <c r="A30" s="6">
        <v>176</v>
      </c>
      <c r="B30" s="6">
        <v>77</v>
      </c>
      <c r="C30" s="10">
        <v>166</v>
      </c>
      <c r="D30" s="6">
        <v>55</v>
      </c>
      <c r="G30" s="33" t="s">
        <v>30</v>
      </c>
      <c r="H30" s="34">
        <f>SQRT(H29)</f>
        <v>5.0445515162400705</v>
      </c>
      <c r="I30" s="35"/>
      <c r="J30" s="35"/>
      <c r="K30" s="35"/>
      <c r="L30" s="37" t="s">
        <v>17</v>
      </c>
      <c r="M30" s="38">
        <f>M29^0.5</f>
        <v>5.0699650348444667</v>
      </c>
      <c r="T30" s="6">
        <v>60</v>
      </c>
    </row>
    <row r="31" spans="1:20" x14ac:dyDescent="0.25">
      <c r="A31" s="6">
        <v>165</v>
      </c>
      <c r="B31" s="6">
        <v>55</v>
      </c>
      <c r="C31" s="10">
        <v>166</v>
      </c>
      <c r="D31" s="6">
        <v>62</v>
      </c>
      <c r="G31" s="55" t="s">
        <v>51</v>
      </c>
      <c r="H31" s="34">
        <f>J28/(H30^3)</f>
        <v>-7.1143280128915715E-2</v>
      </c>
      <c r="I31" s="22"/>
      <c r="J31" s="22"/>
      <c r="K31" s="35"/>
      <c r="L31" s="36" t="s">
        <v>18</v>
      </c>
      <c r="M31" s="39">
        <v>1.96</v>
      </c>
      <c r="T31" s="6">
        <v>61</v>
      </c>
    </row>
    <row r="32" spans="1:20" x14ac:dyDescent="0.25">
      <c r="A32" s="6">
        <v>166</v>
      </c>
      <c r="B32" s="6">
        <v>61</v>
      </c>
      <c r="C32" s="10">
        <v>167</v>
      </c>
      <c r="D32" s="6">
        <v>65</v>
      </c>
      <c r="G32" s="56" t="s">
        <v>52</v>
      </c>
      <c r="H32" s="40">
        <f>L28/(H30^4)-3</f>
        <v>-0.43041180899042208</v>
      </c>
      <c r="I32" s="41"/>
      <c r="J32" s="41"/>
      <c r="K32" s="42"/>
      <c r="L32" s="45" t="s">
        <v>19</v>
      </c>
      <c r="M32" s="39">
        <f>M30*M31/10</f>
        <v>0.9937131468295155</v>
      </c>
      <c r="T32" s="6">
        <v>61</v>
      </c>
    </row>
    <row r="33" spans="1:20" x14ac:dyDescent="0.25">
      <c r="A33" s="6">
        <v>175</v>
      </c>
      <c r="B33" s="6">
        <v>66</v>
      </c>
      <c r="C33" s="10">
        <v>167</v>
      </c>
      <c r="D33" s="6">
        <v>63</v>
      </c>
      <c r="G33" s="18"/>
      <c r="H33" s="19" t="s">
        <v>20</v>
      </c>
      <c r="I33" s="19"/>
      <c r="J33" s="20"/>
      <c r="K33" s="49" t="s">
        <v>41</v>
      </c>
      <c r="L33" s="47">
        <v>0.14299999999999999</v>
      </c>
      <c r="M33" s="48" t="s">
        <v>42</v>
      </c>
      <c r="T33" s="6">
        <v>61</v>
      </c>
    </row>
    <row r="34" spans="1:20" x14ac:dyDescent="0.25">
      <c r="A34" s="6">
        <v>164</v>
      </c>
      <c r="B34" s="6">
        <v>57</v>
      </c>
      <c r="C34" s="10">
        <v>167</v>
      </c>
      <c r="D34" s="6">
        <v>61</v>
      </c>
      <c r="F34" s="44"/>
      <c r="G34" s="21"/>
      <c r="H34" s="24">
        <f>K27-M32</f>
        <v>167.4562868531705</v>
      </c>
      <c r="I34" s="25" t="s">
        <v>21</v>
      </c>
      <c r="J34" s="26">
        <f>H17+M32</f>
        <v>169.44371314682954</v>
      </c>
      <c r="K34" s="44"/>
      <c r="L34" s="44"/>
      <c r="M34" s="44"/>
      <c r="N34" s="44"/>
      <c r="O34" s="44"/>
      <c r="P34" s="44"/>
      <c r="T34" s="6">
        <v>61</v>
      </c>
    </row>
    <row r="35" spans="1:20" x14ac:dyDescent="0.25">
      <c r="A35" s="6">
        <v>171</v>
      </c>
      <c r="B35" s="6">
        <v>65</v>
      </c>
      <c r="C35" s="10">
        <v>167</v>
      </c>
      <c r="D35" s="6">
        <v>71</v>
      </c>
      <c r="F35" s="44"/>
      <c r="G35" s="27"/>
      <c r="H35" s="28">
        <f>M30*(1-0.143)</f>
        <v>4.3449600348617077</v>
      </c>
      <c r="I35" s="29" t="s">
        <v>22</v>
      </c>
      <c r="J35" s="30">
        <f>M30*(1+0.143)</f>
        <v>5.7949700348272257</v>
      </c>
      <c r="K35" s="44"/>
      <c r="L35" s="44"/>
      <c r="M35" s="44"/>
      <c r="N35" s="44"/>
      <c r="O35" s="44"/>
      <c r="P35" s="44"/>
      <c r="T35" s="6">
        <v>61</v>
      </c>
    </row>
    <row r="36" spans="1:20" x14ac:dyDescent="0.25">
      <c r="A36" s="6">
        <v>174</v>
      </c>
      <c r="B36" s="6">
        <v>79</v>
      </c>
      <c r="C36" s="10">
        <v>167</v>
      </c>
      <c r="D36" s="6">
        <v>65</v>
      </c>
      <c r="F36" s="44"/>
      <c r="G36" s="35"/>
      <c r="T36" s="6">
        <v>62</v>
      </c>
    </row>
    <row r="37" spans="1:20" ht="15.75" thickBot="1" x14ac:dyDescent="0.3">
      <c r="A37" s="6">
        <v>167</v>
      </c>
      <c r="B37" s="6">
        <v>71</v>
      </c>
      <c r="C37" s="10">
        <v>167</v>
      </c>
      <c r="D37" s="6">
        <v>61</v>
      </c>
      <c r="F37" s="44"/>
      <c r="T37" s="6">
        <v>62</v>
      </c>
    </row>
    <row r="38" spans="1:20" ht="15.75" thickBot="1" x14ac:dyDescent="0.3">
      <c r="A38" s="6">
        <v>169</v>
      </c>
      <c r="B38" s="6">
        <v>59</v>
      </c>
      <c r="C38" s="10">
        <v>167</v>
      </c>
      <c r="D38" s="6">
        <v>62</v>
      </c>
      <c r="F38" s="44"/>
      <c r="G38" s="90"/>
      <c r="H38" s="97" t="s">
        <v>7</v>
      </c>
      <c r="I38" s="85" t="s">
        <v>8</v>
      </c>
      <c r="J38" s="86" t="s">
        <v>33</v>
      </c>
      <c r="K38" s="86" t="s">
        <v>34</v>
      </c>
      <c r="L38" s="86" t="s">
        <v>35</v>
      </c>
      <c r="M38" s="86" t="s">
        <v>36</v>
      </c>
      <c r="N38" s="86" t="s">
        <v>37</v>
      </c>
      <c r="O38" s="86" t="s">
        <v>38</v>
      </c>
      <c r="P38" s="98" t="s">
        <v>39</v>
      </c>
      <c r="T38" s="6">
        <v>62</v>
      </c>
    </row>
    <row r="39" spans="1:20" x14ac:dyDescent="0.25">
      <c r="A39" s="6">
        <v>162</v>
      </c>
      <c r="B39" s="6">
        <v>52</v>
      </c>
      <c r="C39" s="10">
        <v>167</v>
      </c>
      <c r="D39" s="6">
        <v>63</v>
      </c>
      <c r="F39" s="44"/>
      <c r="G39" s="94">
        <v>1</v>
      </c>
      <c r="H39" s="126">
        <f t="shared" ref="H39:H46" si="12">H7</f>
        <v>156</v>
      </c>
      <c r="I39" s="127">
        <f>H39+$H$4</f>
        <v>159</v>
      </c>
      <c r="J39" s="128" t="s">
        <v>40</v>
      </c>
      <c r="K39" s="127">
        <f>(I39-$K$27)/$H$30</f>
        <v>-1.8733082553676692</v>
      </c>
      <c r="L39" s="129">
        <v>-0.5</v>
      </c>
      <c r="M39" s="127">
        <f>0.5-_xlfn.NORM.DIST(-K39,0,1,1)</f>
        <v>-0.46948708472000111</v>
      </c>
      <c r="N39" s="130">
        <f>M39-L39</f>
        <v>3.0512915279998887E-2</v>
      </c>
      <c r="O39" s="127">
        <f>N39*100</f>
        <v>3.0512915279998887</v>
      </c>
      <c r="P39" s="131">
        <f>M7</f>
        <v>0.04</v>
      </c>
      <c r="T39" s="6">
        <v>62</v>
      </c>
    </row>
    <row r="40" spans="1:20" x14ac:dyDescent="0.25">
      <c r="A40" s="6">
        <v>169</v>
      </c>
      <c r="B40" s="6">
        <v>68</v>
      </c>
      <c r="C40" s="10">
        <v>167</v>
      </c>
      <c r="D40" s="6">
        <v>65</v>
      </c>
      <c r="F40" s="44"/>
      <c r="G40" s="95">
        <v>2</v>
      </c>
      <c r="H40" s="132">
        <f t="shared" si="12"/>
        <v>159</v>
      </c>
      <c r="I40" s="66">
        <f t="shared" ref="I40:I46" si="13">H40+$H$4</f>
        <v>162</v>
      </c>
      <c r="J40" s="66">
        <f>(H40-$K$27)/$H$30</f>
        <v>-1.8733082553676692</v>
      </c>
      <c r="K40" s="66">
        <f t="shared" ref="K40:K46" si="14">(I40-$K$27)/$H$30</f>
        <v>-1.2786072219176166</v>
      </c>
      <c r="L40" s="66">
        <f>0.5-_xlfn.NORM.DIST(-J40,0,1,1)</f>
        <v>-0.46948708472000111</v>
      </c>
      <c r="M40" s="66">
        <f t="shared" ref="M40:M44" si="15">0.5-_xlfn.NORM.DIST(-K40,0,1,1)</f>
        <v>-0.39948229723516793</v>
      </c>
      <c r="N40" s="67">
        <f t="shared" ref="N40:N46" si="16">M40-L40</f>
        <v>7.0004787484833186E-2</v>
      </c>
      <c r="O40" s="66">
        <f t="shared" ref="O40:O46" si="17">N40*100</f>
        <v>7.0004787484833191</v>
      </c>
      <c r="P40" s="133">
        <f t="shared" ref="P40:P46" si="18">M8</f>
        <v>0.06</v>
      </c>
      <c r="T40" s="6">
        <v>63</v>
      </c>
    </row>
    <row r="41" spans="1:20" x14ac:dyDescent="0.25">
      <c r="A41" s="6">
        <v>173</v>
      </c>
      <c r="B41" s="6">
        <v>66</v>
      </c>
      <c r="C41" s="10">
        <v>167</v>
      </c>
      <c r="D41" s="6">
        <v>52</v>
      </c>
      <c r="F41" s="44"/>
      <c r="G41" s="95">
        <v>3</v>
      </c>
      <c r="H41" s="132">
        <f t="shared" si="12"/>
        <v>162</v>
      </c>
      <c r="I41" s="66">
        <f t="shared" si="13"/>
        <v>165</v>
      </c>
      <c r="J41" s="66">
        <f t="shared" ref="J41:J46" si="19">(H41-$K$27)/$H$30</f>
        <v>-1.2786072219176166</v>
      </c>
      <c r="K41" s="66">
        <f t="shared" si="14"/>
        <v>-0.6839061884675639</v>
      </c>
      <c r="L41" s="66">
        <f t="shared" ref="L41:L46" si="20">0.5-_xlfn.NORM.DIST(-J41,0,1,1)</f>
        <v>-0.39948229723516793</v>
      </c>
      <c r="M41" s="66">
        <f t="shared" si="15"/>
        <v>-0.25298279699748438</v>
      </c>
      <c r="N41" s="67">
        <f t="shared" si="16"/>
        <v>0.14649950023768354</v>
      </c>
      <c r="O41" s="66">
        <f t="shared" si="17"/>
        <v>14.649950023768355</v>
      </c>
      <c r="P41" s="133">
        <f t="shared" si="18"/>
        <v>0.14000000000000001</v>
      </c>
      <c r="T41" s="6">
        <v>63</v>
      </c>
    </row>
    <row r="42" spans="1:20" x14ac:dyDescent="0.25">
      <c r="A42" s="6">
        <v>172</v>
      </c>
      <c r="B42" s="6">
        <v>66</v>
      </c>
      <c r="C42" s="10">
        <v>167</v>
      </c>
      <c r="D42" s="6">
        <v>57</v>
      </c>
      <c r="F42" s="44"/>
      <c r="G42" s="95">
        <v>4</v>
      </c>
      <c r="H42" s="132">
        <f t="shared" si="12"/>
        <v>165</v>
      </c>
      <c r="I42" s="66">
        <f t="shared" si="13"/>
        <v>168</v>
      </c>
      <c r="J42" s="66">
        <f t="shared" si="19"/>
        <v>-0.6839061884675639</v>
      </c>
      <c r="K42" s="66">
        <f t="shared" si="14"/>
        <v>-8.9205155017511278E-2</v>
      </c>
      <c r="L42" s="66">
        <f t="shared" si="20"/>
        <v>-0.25298279699748438</v>
      </c>
      <c r="M42" s="66">
        <f t="shared" si="15"/>
        <v>-3.5540565699034521E-2</v>
      </c>
      <c r="N42" s="67">
        <f t="shared" si="16"/>
        <v>0.21744223129844986</v>
      </c>
      <c r="O42" s="66">
        <f t="shared" si="17"/>
        <v>21.744223129844986</v>
      </c>
      <c r="P42" s="133">
        <f t="shared" si="18"/>
        <v>0.24</v>
      </c>
      <c r="T42" s="6">
        <v>63</v>
      </c>
    </row>
    <row r="43" spans="1:20" x14ac:dyDescent="0.25">
      <c r="A43" s="6">
        <v>164</v>
      </c>
      <c r="B43" s="6">
        <v>60</v>
      </c>
      <c r="C43" s="10">
        <v>168</v>
      </c>
      <c r="D43" s="6">
        <v>70</v>
      </c>
      <c r="F43" s="44"/>
      <c r="G43" s="95">
        <v>5</v>
      </c>
      <c r="H43" s="132">
        <f t="shared" si="12"/>
        <v>168</v>
      </c>
      <c r="I43" s="66">
        <f t="shared" si="13"/>
        <v>171</v>
      </c>
      <c r="J43" s="66">
        <f t="shared" si="19"/>
        <v>-8.9205155017511278E-2</v>
      </c>
      <c r="K43" s="66">
        <f t="shared" si="14"/>
        <v>0.5054958784325414</v>
      </c>
      <c r="L43" s="66">
        <f t="shared" si="20"/>
        <v>-3.5540565699034521E-2</v>
      </c>
      <c r="M43" s="66">
        <f>0.5-_xlfn.NORM.DIST(-K43,0,1,1)</f>
        <v>0.19339470371812595</v>
      </c>
      <c r="N43" s="67">
        <f t="shared" si="16"/>
        <v>0.22893526941716047</v>
      </c>
      <c r="O43" s="66">
        <f t="shared" si="17"/>
        <v>22.893526941716047</v>
      </c>
      <c r="P43" s="133">
        <f t="shared" si="18"/>
        <v>0.19</v>
      </c>
      <c r="T43" s="6">
        <v>63</v>
      </c>
    </row>
    <row r="44" spans="1:20" x14ac:dyDescent="0.25">
      <c r="A44" s="6">
        <v>170</v>
      </c>
      <c r="B44" s="6">
        <v>63</v>
      </c>
      <c r="C44" s="10">
        <v>168</v>
      </c>
      <c r="D44" s="6">
        <v>66</v>
      </c>
      <c r="F44" s="44"/>
      <c r="G44" s="95">
        <v>6</v>
      </c>
      <c r="H44" s="132">
        <f t="shared" si="12"/>
        <v>171</v>
      </c>
      <c r="I44" s="66">
        <f t="shared" si="13"/>
        <v>174</v>
      </c>
      <c r="J44" s="66">
        <f t="shared" si="19"/>
        <v>0.5054958784325414</v>
      </c>
      <c r="K44" s="66">
        <f t="shared" si="14"/>
        <v>1.1001969118825941</v>
      </c>
      <c r="L44" s="66">
        <f t="shared" si="20"/>
        <v>0.19339470371812595</v>
      </c>
      <c r="M44" s="66">
        <f t="shared" si="15"/>
        <v>0.36437683209009741</v>
      </c>
      <c r="N44" s="67">
        <f t="shared" si="16"/>
        <v>0.17098212837197146</v>
      </c>
      <c r="O44" s="66">
        <f t="shared" si="17"/>
        <v>17.098212837197146</v>
      </c>
      <c r="P44" s="133">
        <f t="shared" si="18"/>
        <v>0.2</v>
      </c>
      <c r="T44" s="6">
        <v>63</v>
      </c>
    </row>
    <row r="45" spans="1:20" x14ac:dyDescent="0.25">
      <c r="A45" s="6">
        <v>167</v>
      </c>
      <c r="B45" s="6">
        <v>65</v>
      </c>
      <c r="C45" s="10">
        <v>168</v>
      </c>
      <c r="D45" s="6">
        <v>64</v>
      </c>
      <c r="F45" s="44"/>
      <c r="G45" s="95">
        <v>7</v>
      </c>
      <c r="H45" s="132">
        <f t="shared" si="12"/>
        <v>174</v>
      </c>
      <c r="I45" s="66">
        <f t="shared" si="13"/>
        <v>177</v>
      </c>
      <c r="J45" s="66">
        <f t="shared" si="19"/>
        <v>1.1001969118825941</v>
      </c>
      <c r="K45" s="66">
        <f t="shared" si="14"/>
        <v>1.6948979453326467</v>
      </c>
      <c r="L45" s="66">
        <f t="shared" si="20"/>
        <v>0.36437683209009741</v>
      </c>
      <c r="M45" s="66">
        <f>0.5-_xlfn.NORM.DIST(-K45,0,1,1)</f>
        <v>0.45495260881342858</v>
      </c>
      <c r="N45" s="67">
        <f t="shared" si="16"/>
        <v>9.0575776723331169E-2</v>
      </c>
      <c r="O45" s="66">
        <f t="shared" si="17"/>
        <v>9.0575776723331174</v>
      </c>
      <c r="P45" s="133">
        <f t="shared" si="18"/>
        <v>0.08</v>
      </c>
      <c r="T45" s="6">
        <v>63</v>
      </c>
    </row>
    <row r="46" spans="1:20" ht="15.75" thickBot="1" x14ac:dyDescent="0.3">
      <c r="A46" s="6">
        <v>166</v>
      </c>
      <c r="B46" s="6">
        <v>55</v>
      </c>
      <c r="C46" s="10">
        <v>168</v>
      </c>
      <c r="D46" s="6">
        <v>70</v>
      </c>
      <c r="F46" s="44"/>
      <c r="G46" s="96">
        <v>8</v>
      </c>
      <c r="H46" s="134">
        <f t="shared" si="12"/>
        <v>177</v>
      </c>
      <c r="I46" s="135">
        <f t="shared" si="13"/>
        <v>180</v>
      </c>
      <c r="J46" s="135">
        <f t="shared" si="19"/>
        <v>1.6948979453326467</v>
      </c>
      <c r="K46" s="135">
        <f t="shared" si="14"/>
        <v>2.2895989787826991</v>
      </c>
      <c r="L46" s="135">
        <f t="shared" si="20"/>
        <v>0.45495260881342858</v>
      </c>
      <c r="M46" s="135">
        <f>0.5</f>
        <v>0.5</v>
      </c>
      <c r="N46" s="136">
        <f t="shared" si="16"/>
        <v>4.5047391186571417E-2</v>
      </c>
      <c r="O46" s="135">
        <f t="shared" si="17"/>
        <v>4.5047391186571417</v>
      </c>
      <c r="P46" s="137">
        <f t="shared" si="18"/>
        <v>0.05</v>
      </c>
      <c r="T46" s="6">
        <v>63</v>
      </c>
    </row>
    <row r="47" spans="1:20" ht="15.75" thickBot="1" x14ac:dyDescent="0.3">
      <c r="A47" s="6">
        <v>156</v>
      </c>
      <c r="B47" s="6">
        <v>54</v>
      </c>
      <c r="C47" s="10">
        <v>168</v>
      </c>
      <c r="D47" s="6">
        <v>65</v>
      </c>
      <c r="G47" s="46"/>
      <c r="H47" s="46"/>
      <c r="I47" s="46"/>
      <c r="J47" s="46"/>
      <c r="K47" s="46"/>
      <c r="L47" s="46"/>
      <c r="M47" s="46"/>
      <c r="N47" s="124">
        <f>SUM(N39:N46)</f>
        <v>1</v>
      </c>
      <c r="O47" s="125">
        <f>SUM(O39:O46)</f>
        <v>100</v>
      </c>
      <c r="P47" s="46"/>
      <c r="T47" s="6">
        <v>63</v>
      </c>
    </row>
    <row r="48" spans="1:20" ht="15.75" thickBot="1" x14ac:dyDescent="0.3">
      <c r="A48" s="6">
        <v>166</v>
      </c>
      <c r="B48" s="6">
        <v>55</v>
      </c>
      <c r="C48" s="10">
        <v>168</v>
      </c>
      <c r="D48" s="6">
        <v>58</v>
      </c>
      <c r="T48" s="6">
        <v>63</v>
      </c>
    </row>
    <row r="49" spans="1:34" ht="15.75" thickBot="1" x14ac:dyDescent="0.3">
      <c r="A49" s="6">
        <v>156</v>
      </c>
      <c r="B49" s="6">
        <v>54</v>
      </c>
      <c r="C49" s="10">
        <v>168</v>
      </c>
      <c r="D49" s="6">
        <v>70</v>
      </c>
      <c r="G49" s="90" t="s">
        <v>46</v>
      </c>
      <c r="H49" s="89" t="s">
        <v>7</v>
      </c>
      <c r="I49" s="85" t="s">
        <v>8</v>
      </c>
      <c r="J49" s="84" t="s">
        <v>9</v>
      </c>
      <c r="K49" s="84" t="s">
        <v>47</v>
      </c>
      <c r="L49" s="86" t="s">
        <v>38</v>
      </c>
      <c r="M49" s="87" t="s">
        <v>38</v>
      </c>
      <c r="N49" s="87" t="s">
        <v>48</v>
      </c>
      <c r="O49" s="86" t="s">
        <v>49</v>
      </c>
      <c r="P49" s="88" t="s">
        <v>50</v>
      </c>
      <c r="T49" s="6">
        <v>64</v>
      </c>
    </row>
    <row r="50" spans="1:34" x14ac:dyDescent="0.25">
      <c r="A50" s="6">
        <v>169</v>
      </c>
      <c r="B50" s="6">
        <v>57</v>
      </c>
      <c r="C50" s="51">
        <v>169</v>
      </c>
      <c r="D50" s="6">
        <v>62</v>
      </c>
      <c r="G50" s="91">
        <f>N39/$K$27</f>
        <v>1.8113930115760691E-4</v>
      </c>
      <c r="H50" s="81">
        <f>$H$1</f>
        <v>156</v>
      </c>
      <c r="I50" s="82">
        <f>H50+$H$4</f>
        <v>159</v>
      </c>
      <c r="J50" s="17">
        <f>COUNTIF($A$2:$A$101,"&lt;=159")</f>
        <v>4</v>
      </c>
      <c r="K50" s="17">
        <v>4</v>
      </c>
      <c r="L50" s="83">
        <f>O39</f>
        <v>3.0512915279998887</v>
      </c>
      <c r="M50" s="83">
        <f>L50</f>
        <v>3.0512915279998887</v>
      </c>
      <c r="N50" s="83">
        <f>K50-M50</f>
        <v>0.94870847200011132</v>
      </c>
      <c r="O50" s="65">
        <f>N50*N50/M50</f>
        <v>0.29497272108731093</v>
      </c>
      <c r="P50" s="112">
        <f>K50*K50/M50</f>
        <v>5.2436811930874221</v>
      </c>
      <c r="T50" s="6">
        <v>64</v>
      </c>
    </row>
    <row r="51" spans="1:34" x14ac:dyDescent="0.25">
      <c r="A51" s="6">
        <v>165</v>
      </c>
      <c r="B51" s="6">
        <v>55</v>
      </c>
      <c r="C51" s="51">
        <v>169</v>
      </c>
      <c r="D51" s="6">
        <v>59</v>
      </c>
      <c r="G51" s="92">
        <f t="shared" ref="G51:G57" si="21">N40/$K$27</f>
        <v>4.1558199753537059E-4</v>
      </c>
      <c r="H51" s="78">
        <f>I50</f>
        <v>159</v>
      </c>
      <c r="I51" s="8">
        <f t="shared" ref="I51:I57" si="22">H51+$H$4</f>
        <v>162</v>
      </c>
      <c r="J51" s="9">
        <f>COUNTIF($A$2:$A$101,"&lt;=162")-J50</f>
        <v>6</v>
      </c>
      <c r="K51" s="9">
        <v>6</v>
      </c>
      <c r="L51" s="57">
        <f t="shared" ref="L51:L57" si="23">O40</f>
        <v>7.0004787484833191</v>
      </c>
      <c r="M51" s="57">
        <f t="shared" ref="M51:M54" si="24">L51</f>
        <v>7.0004787484833191</v>
      </c>
      <c r="N51" s="57">
        <f t="shared" ref="N51:N55" si="25">K51-M51</f>
        <v>-1.0004787484833191</v>
      </c>
      <c r="O51" s="64">
        <f t="shared" ref="O51:O55" si="26">N51*N51/M51</f>
        <v>0.14298418181522368</v>
      </c>
      <c r="P51" s="113">
        <f t="shared" ref="P51:P55" si="27">K51*K51/M51</f>
        <v>5.1425054333319045</v>
      </c>
      <c r="T51" s="6">
        <v>64</v>
      </c>
    </row>
    <row r="52" spans="1:34" x14ac:dyDescent="0.25">
      <c r="A52" s="6">
        <v>172</v>
      </c>
      <c r="B52" s="6">
        <v>78</v>
      </c>
      <c r="C52" s="51">
        <v>169</v>
      </c>
      <c r="D52" s="6">
        <v>68</v>
      </c>
      <c r="G52" s="92">
        <f>N41/$K$27</f>
        <v>8.6969130446829044E-4</v>
      </c>
      <c r="H52" s="78">
        <f t="shared" ref="H52:H57" si="28">I51</f>
        <v>162</v>
      </c>
      <c r="I52" s="8">
        <f t="shared" si="22"/>
        <v>165</v>
      </c>
      <c r="J52" s="9">
        <f>COUNTIF($A$2:$A$101,"&lt;=165")-J51-J50</f>
        <v>14</v>
      </c>
      <c r="K52" s="9">
        <v>14</v>
      </c>
      <c r="L52" s="57">
        <f t="shared" si="23"/>
        <v>14.649950023768355</v>
      </c>
      <c r="M52" s="57">
        <f t="shared" si="24"/>
        <v>14.649950023768355</v>
      </c>
      <c r="N52" s="57">
        <f t="shared" si="25"/>
        <v>-0.64995002376835487</v>
      </c>
      <c r="O52" s="64">
        <f t="shared" si="26"/>
        <v>2.8835254230295565E-2</v>
      </c>
      <c r="P52" s="113">
        <f t="shared" si="27"/>
        <v>13.378885230461941</v>
      </c>
      <c r="T52" s="6">
        <v>65</v>
      </c>
      <c r="Y52" s="275" t="s">
        <v>111</v>
      </c>
      <c r="Z52" s="276"/>
      <c r="AA52" s="276"/>
      <c r="AB52" s="206" t="s">
        <v>112</v>
      </c>
      <c r="AC52" s="202">
        <f>J113*P111/P103</f>
        <v>0.85676392572973314</v>
      </c>
      <c r="AD52" s="202" t="s">
        <v>113</v>
      </c>
      <c r="AE52" s="202" t="s">
        <v>114</v>
      </c>
      <c r="AF52" s="203">
        <f>P100</f>
        <v>168.45000000000002</v>
      </c>
      <c r="AG52" s="204" t="s">
        <v>115</v>
      </c>
      <c r="AH52" s="205">
        <f>P108</f>
        <v>64.424999999999997</v>
      </c>
    </row>
    <row r="53" spans="1:34" x14ac:dyDescent="0.25">
      <c r="A53" s="6">
        <v>178</v>
      </c>
      <c r="B53" s="6">
        <v>60</v>
      </c>
      <c r="C53" s="51">
        <v>169</v>
      </c>
      <c r="D53" s="6">
        <v>57</v>
      </c>
      <c r="G53" s="92">
        <f t="shared" si="21"/>
        <v>1.2908413849715039E-3</v>
      </c>
      <c r="H53" s="78">
        <f>I52</f>
        <v>165</v>
      </c>
      <c r="I53" s="8">
        <f t="shared" si="22"/>
        <v>168</v>
      </c>
      <c r="J53" s="9">
        <f>COUNTIF($A$2:$A$101,"&lt;=168")-J52-J51-J50</f>
        <v>24</v>
      </c>
      <c r="K53" s="9">
        <v>24</v>
      </c>
      <c r="L53" s="57">
        <f t="shared" si="23"/>
        <v>21.744223129844986</v>
      </c>
      <c r="M53" s="57">
        <f t="shared" si="24"/>
        <v>21.744223129844986</v>
      </c>
      <c r="N53" s="57">
        <f t="shared" si="25"/>
        <v>2.2557768701550138</v>
      </c>
      <c r="O53" s="64">
        <f t="shared" si="26"/>
        <v>0.23401752536939799</v>
      </c>
      <c r="P53" s="113">
        <f t="shared" si="27"/>
        <v>26.489794395524413</v>
      </c>
      <c r="T53" s="6">
        <v>65</v>
      </c>
    </row>
    <row r="54" spans="1:34" x14ac:dyDescent="0.25">
      <c r="A54" s="6">
        <v>170</v>
      </c>
      <c r="B54" s="6">
        <v>63</v>
      </c>
      <c r="C54" s="51">
        <v>169</v>
      </c>
      <c r="D54" s="6">
        <v>66</v>
      </c>
      <c r="G54" s="92">
        <f t="shared" si="21"/>
        <v>1.3590695720816885E-3</v>
      </c>
      <c r="H54" s="78">
        <f t="shared" si="28"/>
        <v>168</v>
      </c>
      <c r="I54" s="8">
        <f t="shared" si="22"/>
        <v>171</v>
      </c>
      <c r="J54" s="9">
        <f>COUNTIF($A$2:$A$101,"&lt;=171")-J53-J52-J51-J50</f>
        <v>19</v>
      </c>
      <c r="K54" s="9">
        <v>19</v>
      </c>
      <c r="L54" s="57">
        <f t="shared" si="23"/>
        <v>22.893526941716047</v>
      </c>
      <c r="M54" s="57">
        <f t="shared" si="24"/>
        <v>22.893526941716047</v>
      </c>
      <c r="N54" s="57">
        <f t="shared" si="25"/>
        <v>-3.893526941716047</v>
      </c>
      <c r="O54" s="64">
        <f t="shared" si="26"/>
        <v>0.66217634724710472</v>
      </c>
      <c r="P54" s="113">
        <f t="shared" si="27"/>
        <v>15.768649405531058</v>
      </c>
      <c r="T54" s="6">
        <v>65</v>
      </c>
    </row>
    <row r="55" spans="1:34" x14ac:dyDescent="0.25">
      <c r="A55" s="6">
        <v>167</v>
      </c>
      <c r="B55" s="6">
        <v>61</v>
      </c>
      <c r="C55" s="51">
        <v>169</v>
      </c>
      <c r="D55" s="6">
        <v>61</v>
      </c>
      <c r="G55" s="92">
        <f t="shared" si="21"/>
        <v>1.015031928595853E-3</v>
      </c>
      <c r="H55" s="78">
        <f t="shared" si="28"/>
        <v>171</v>
      </c>
      <c r="I55" s="8">
        <f>H55+$H$4</f>
        <v>174</v>
      </c>
      <c r="J55" s="9">
        <f>COUNTIF($A$2:$A$101,"&lt;=174")-SUM(J50:J54)</f>
        <v>20</v>
      </c>
      <c r="K55" s="9">
        <v>33</v>
      </c>
      <c r="L55" s="57">
        <f t="shared" si="23"/>
        <v>17.098212837197146</v>
      </c>
      <c r="M55" s="57">
        <f>L55+L56+L57</f>
        <v>30.660529628187405</v>
      </c>
      <c r="N55" s="57">
        <f t="shared" si="25"/>
        <v>2.3394703718125953</v>
      </c>
      <c r="O55" s="64">
        <f t="shared" si="26"/>
        <v>0.17850708017637476</v>
      </c>
      <c r="P55" s="113">
        <f t="shared" si="27"/>
        <v>35.517977451988969</v>
      </c>
      <c r="T55" s="6">
        <v>65</v>
      </c>
      <c r="AF55">
        <f>-AC52*AF52+AH52</f>
        <v>-79.896883289173573</v>
      </c>
    </row>
    <row r="56" spans="1:34" x14ac:dyDescent="0.25">
      <c r="A56" s="6">
        <v>166</v>
      </c>
      <c r="B56" s="6">
        <v>62</v>
      </c>
      <c r="C56" s="51">
        <v>170</v>
      </c>
      <c r="D56" s="6">
        <v>68</v>
      </c>
      <c r="G56" s="92">
        <f t="shared" si="21"/>
        <v>5.3770125689125059E-4</v>
      </c>
      <c r="H56" s="78">
        <f>I55</f>
        <v>174</v>
      </c>
      <c r="I56" s="8">
        <f t="shared" si="22"/>
        <v>177</v>
      </c>
      <c r="J56" s="9">
        <f>COUNTIF($A$2:$A$101,"&lt;=177")-SUM(J50:J55)</f>
        <v>8</v>
      </c>
      <c r="K56" s="9"/>
      <c r="L56" s="57">
        <f t="shared" si="23"/>
        <v>9.0575776723331174</v>
      </c>
      <c r="M56" s="64"/>
      <c r="N56" s="57"/>
      <c r="O56" s="64"/>
      <c r="P56" s="113"/>
      <c r="T56" s="6">
        <v>65</v>
      </c>
    </row>
    <row r="57" spans="1:34" ht="15.75" thickBot="1" x14ac:dyDescent="0.3">
      <c r="A57" s="6">
        <v>163</v>
      </c>
      <c r="B57" s="6">
        <v>60</v>
      </c>
      <c r="C57" s="51">
        <v>170</v>
      </c>
      <c r="D57" s="6">
        <v>63</v>
      </c>
      <c r="G57" s="93">
        <f t="shared" si="21"/>
        <v>2.6742292185557383E-4</v>
      </c>
      <c r="H57" s="120">
        <f t="shared" si="28"/>
        <v>177</v>
      </c>
      <c r="I57" s="121">
        <f t="shared" si="22"/>
        <v>180</v>
      </c>
      <c r="J57" s="122">
        <f>COUNTIF($A$2:$A$101,"&lt;=180")-SUM(J50:J56)</f>
        <v>5</v>
      </c>
      <c r="K57" s="122"/>
      <c r="L57" s="123">
        <f t="shared" si="23"/>
        <v>4.5047391186571417</v>
      </c>
      <c r="M57" s="116"/>
      <c r="N57" s="116"/>
      <c r="O57" s="116"/>
      <c r="P57" s="117"/>
      <c r="T57" s="6">
        <v>65</v>
      </c>
    </row>
    <row r="58" spans="1:34" ht="15.75" thickBot="1" x14ac:dyDescent="0.3">
      <c r="A58" s="6">
        <v>157</v>
      </c>
      <c r="B58" s="6">
        <v>69</v>
      </c>
      <c r="C58" s="51">
        <v>170</v>
      </c>
      <c r="D58" s="6">
        <v>63</v>
      </c>
      <c r="G58" s="54"/>
      <c r="H58" s="54"/>
      <c r="I58" s="54"/>
      <c r="J58" s="54"/>
      <c r="K58" s="118">
        <f>SUM(K50:K55)</f>
        <v>100</v>
      </c>
      <c r="L58" s="119">
        <f>SUM(L50:L57)</f>
        <v>100</v>
      </c>
      <c r="M58" s="119">
        <f>SUM(M50:M55)</f>
        <v>100</v>
      </c>
      <c r="N58" s="54"/>
      <c r="O58" s="70">
        <f>SUM(O50:O55)</f>
        <v>1.5414931099257079</v>
      </c>
      <c r="P58" s="70">
        <f>SUM(P50:P55)</f>
        <v>101.54149310992571</v>
      </c>
      <c r="T58" s="6">
        <v>65</v>
      </c>
    </row>
    <row r="59" spans="1:34" x14ac:dyDescent="0.25">
      <c r="A59" s="6">
        <v>173</v>
      </c>
      <c r="B59" s="6">
        <v>66</v>
      </c>
      <c r="C59" s="51">
        <v>170</v>
      </c>
      <c r="D59" s="6">
        <v>63</v>
      </c>
      <c r="P59">
        <f>P58-100</f>
        <v>1.5414931099257103</v>
      </c>
      <c r="T59" s="6">
        <v>65</v>
      </c>
    </row>
    <row r="60" spans="1:34" x14ac:dyDescent="0.25">
      <c r="A60" s="6">
        <v>176</v>
      </c>
      <c r="B60" s="6">
        <v>65</v>
      </c>
      <c r="C60" s="51">
        <v>170</v>
      </c>
      <c r="D60" s="6">
        <v>67</v>
      </c>
      <c r="K60" t="s">
        <v>54</v>
      </c>
      <c r="L60" s="60">
        <f>H30/SQRT(100)</f>
        <v>0.504455151624007</v>
      </c>
      <c r="N60" s="61" t="s">
        <v>53</v>
      </c>
      <c r="O60" s="60">
        <v>7.8</v>
      </c>
      <c r="T60" s="6">
        <v>65</v>
      </c>
    </row>
    <row r="61" spans="1:34" x14ac:dyDescent="0.25">
      <c r="A61" s="6">
        <v>167</v>
      </c>
      <c r="B61" s="6">
        <v>62</v>
      </c>
      <c r="C61" s="51">
        <v>170</v>
      </c>
      <c r="D61" s="6">
        <v>61</v>
      </c>
      <c r="T61" s="6">
        <v>65</v>
      </c>
    </row>
    <row r="62" spans="1:34" ht="15.75" thickBot="1" x14ac:dyDescent="0.3">
      <c r="A62" s="6">
        <v>168</v>
      </c>
      <c r="B62" s="6">
        <v>64</v>
      </c>
      <c r="C62" s="51">
        <v>170</v>
      </c>
      <c r="D62" s="6">
        <v>63</v>
      </c>
      <c r="G62" s="201" t="s">
        <v>110</v>
      </c>
      <c r="H62" s="192">
        <v>51</v>
      </c>
      <c r="I62" s="201" t="s">
        <v>107</v>
      </c>
      <c r="J62" s="59">
        <v>81</v>
      </c>
      <c r="K62" s="199" t="s">
        <v>108</v>
      </c>
      <c r="L62" s="200">
        <f>J62-H62</f>
        <v>30</v>
      </c>
      <c r="M62" s="199" t="s">
        <v>109</v>
      </c>
      <c r="N62" s="200">
        <f>H3</f>
        <v>8</v>
      </c>
      <c r="O62" s="199" t="s">
        <v>105</v>
      </c>
      <c r="P62" s="200">
        <f>L62/N62</f>
        <v>3.75</v>
      </c>
      <c r="Q62" s="199" t="s">
        <v>106</v>
      </c>
      <c r="R62" s="200">
        <f>AVERAGE(T2:T101)</f>
        <v>64.39</v>
      </c>
      <c r="T62" s="6">
        <v>66</v>
      </c>
    </row>
    <row r="63" spans="1:34" ht="15.75" thickBot="1" x14ac:dyDescent="0.3">
      <c r="A63" s="6">
        <v>172</v>
      </c>
      <c r="B63" s="6">
        <v>70</v>
      </c>
      <c r="C63" s="51">
        <v>170</v>
      </c>
      <c r="D63" s="6">
        <v>65</v>
      </c>
      <c r="G63" s="283" t="s">
        <v>79</v>
      </c>
      <c r="H63" s="284"/>
      <c r="I63" s="285"/>
      <c r="T63" s="6">
        <v>66</v>
      </c>
    </row>
    <row r="64" spans="1:34" ht="15.75" thickBot="1" x14ac:dyDescent="0.3">
      <c r="A64" s="6">
        <v>168</v>
      </c>
      <c r="B64" s="6">
        <v>70</v>
      </c>
      <c r="C64" s="51">
        <v>171</v>
      </c>
      <c r="D64" s="6">
        <v>65</v>
      </c>
      <c r="G64" s="68"/>
      <c r="H64" s="72"/>
      <c r="I64" s="63">
        <v>51</v>
      </c>
      <c r="J64" s="63">
        <f>I64+$P$62</f>
        <v>54.75</v>
      </c>
      <c r="K64" s="63">
        <f t="shared" ref="K64:Q64" si="29">J64+$P$62</f>
        <v>58.5</v>
      </c>
      <c r="L64" s="63">
        <f t="shared" si="29"/>
        <v>62.25</v>
      </c>
      <c r="M64" s="63">
        <f t="shared" si="29"/>
        <v>66</v>
      </c>
      <c r="N64" s="63">
        <f t="shared" si="29"/>
        <v>69.75</v>
      </c>
      <c r="O64" s="63">
        <f t="shared" si="29"/>
        <v>73.5</v>
      </c>
      <c r="P64" s="63">
        <f t="shared" si="29"/>
        <v>77.25</v>
      </c>
      <c r="Q64" s="71">
        <f t="shared" si="29"/>
        <v>81</v>
      </c>
      <c r="R64" s="62"/>
      <c r="T64" s="6">
        <v>66</v>
      </c>
    </row>
    <row r="65" spans="1:20" x14ac:dyDescent="0.25">
      <c r="A65" s="6">
        <v>177</v>
      </c>
      <c r="B65" s="6">
        <v>70</v>
      </c>
      <c r="C65" s="51">
        <v>171</v>
      </c>
      <c r="D65" s="6">
        <v>64</v>
      </c>
      <c r="G65" s="80">
        <f>$H$1</f>
        <v>156</v>
      </c>
      <c r="H65" s="81">
        <f>G65+$H$4</f>
        <v>159</v>
      </c>
      <c r="I65" s="65"/>
      <c r="J65" s="65">
        <f>COUNTIF($D$2:$D$5,"&lt;=54")</f>
        <v>3</v>
      </c>
      <c r="K65" s="65">
        <f>COUNTIF($D$2:$D$5,"&lt;=58")-J65</f>
        <v>0</v>
      </c>
      <c r="L65" s="65">
        <f>COUNTIF($D$2:$D$5,"&lt;=62")-K65-J65</f>
        <v>0</v>
      </c>
      <c r="M65" s="65">
        <f>COUNTIF($D$2:$D$5,"&lt;=66")-L65-K65-J65</f>
        <v>0</v>
      </c>
      <c r="N65" s="65">
        <f>COUNTIF($D$2:$D$5,"&lt;=69")-M65-L65-K65-J65</f>
        <v>1</v>
      </c>
      <c r="O65" s="65">
        <f>COUNTIF($D$2:$D$5,"&lt;=73")-N65-J65</f>
        <v>0</v>
      </c>
      <c r="P65" s="65">
        <f>COUNTIF($D$2:$D$5,"&lt;=77")-N65-J65</f>
        <v>0</v>
      </c>
      <c r="Q65" s="112">
        <f>COUNTIF($D$2:$D$5,"&lt;=81")-N65-J65</f>
        <v>0</v>
      </c>
      <c r="R65" s="62"/>
      <c r="T65" s="6">
        <v>66</v>
      </c>
    </row>
    <row r="66" spans="1:20" x14ac:dyDescent="0.25">
      <c r="A66" s="6">
        <v>163</v>
      </c>
      <c r="B66" s="6">
        <v>68</v>
      </c>
      <c r="C66" s="51">
        <v>171</v>
      </c>
      <c r="D66" s="6">
        <v>65</v>
      </c>
      <c r="G66" s="79">
        <f>H65</f>
        <v>159</v>
      </c>
      <c r="H66" s="78">
        <f t="shared" ref="H66:H72" si="30">G66+$H$4</f>
        <v>162</v>
      </c>
      <c r="I66" s="64"/>
      <c r="J66" s="64">
        <f>COUNTIF($D$6:$D$11,"&lt;=54")</f>
        <v>2</v>
      </c>
      <c r="K66" s="64">
        <f>COUNTIF($D$6:$D$11,"&lt;=58")-J66</f>
        <v>3</v>
      </c>
      <c r="L66" s="64">
        <f>COUNTIF($D$6:$D$11,"&lt;=62")-K66-J66</f>
        <v>0</v>
      </c>
      <c r="M66" s="64">
        <f>COUNTIF($D$6:$D$11,"&lt;=66")-L66-K66-J66</f>
        <v>1</v>
      </c>
      <c r="N66" s="64">
        <f>COUNTIF($D$6:$D$11,"&lt;=69")-M66-L66-K66-J66</f>
        <v>0</v>
      </c>
      <c r="O66" s="64">
        <f>COUNTIF($D$6:$D$11,"&lt;=73")-M66-K66-J66</f>
        <v>0</v>
      </c>
      <c r="P66" s="64">
        <f>COUNTIF($D$6:$D$11,"&lt;=77")-M66-K66-J66</f>
        <v>0</v>
      </c>
      <c r="Q66" s="113">
        <f>COUNTIF($D$6:$D$11,"&lt;=81")-M66-K66-J66</f>
        <v>0</v>
      </c>
      <c r="R66" s="62"/>
      <c r="T66" s="6">
        <v>66</v>
      </c>
    </row>
    <row r="67" spans="1:20" x14ac:dyDescent="0.25">
      <c r="A67" s="6">
        <v>169</v>
      </c>
      <c r="B67" s="6">
        <v>66</v>
      </c>
      <c r="C67" s="51">
        <v>171</v>
      </c>
      <c r="D67" s="6">
        <v>63</v>
      </c>
      <c r="G67" s="79">
        <f t="shared" ref="G67:G72" si="31">H66</f>
        <v>162</v>
      </c>
      <c r="H67" s="78">
        <f t="shared" si="30"/>
        <v>165</v>
      </c>
      <c r="I67" s="64"/>
      <c r="J67" s="64">
        <f>COUNTIF($D$12:$D$25,"&lt;=54")</f>
        <v>0</v>
      </c>
      <c r="K67" s="64">
        <f>COUNTIF($D$12:$D$25,"&lt;=58")-J67</f>
        <v>5</v>
      </c>
      <c r="L67" s="64">
        <f>COUNTIF($D$12:$D$25,"&lt;=62")-K67-J67</f>
        <v>5</v>
      </c>
      <c r="M67" s="64">
        <f>COUNTIF($D$12:$D$25,"&lt;=66")-K67-L67</f>
        <v>0</v>
      </c>
      <c r="N67" s="64">
        <f>COUNTIF($D$12:$D$25,"&lt;=69")-M67-L67-K67-J67</f>
        <v>4</v>
      </c>
      <c r="O67" s="64">
        <f>COUNTIF($D$12:$D$25,"&lt;=73")-N67-L67-K67</f>
        <v>0</v>
      </c>
      <c r="P67" s="64">
        <f>COUNTIF($D$12:$D$25,"&lt;=77")-N67-L67-K67</f>
        <v>0</v>
      </c>
      <c r="Q67" s="113">
        <f>COUNTIF($D$12:$D$25,"&lt;=81")-N67-L67-K67</f>
        <v>0</v>
      </c>
      <c r="R67" s="62"/>
      <c r="T67" s="6">
        <v>66</v>
      </c>
    </row>
    <row r="68" spans="1:20" x14ac:dyDescent="0.25">
      <c r="A68" s="6">
        <v>173</v>
      </c>
      <c r="B68" s="6">
        <v>77</v>
      </c>
      <c r="C68" s="51">
        <v>171</v>
      </c>
      <c r="D68" s="6">
        <v>63</v>
      </c>
      <c r="G68" s="79">
        <f t="shared" si="31"/>
        <v>165</v>
      </c>
      <c r="H68" s="78">
        <f t="shared" si="30"/>
        <v>168</v>
      </c>
      <c r="I68" s="64"/>
      <c r="J68" s="64">
        <f>COUNTIF($D$26:$D$49,"&lt;=54")</f>
        <v>1</v>
      </c>
      <c r="K68" s="64">
        <f>COUNTIF($D$26:$D$49,"&lt;=58")-J68</f>
        <v>6</v>
      </c>
      <c r="L68" s="64">
        <f>COUNTIF($D$26:$D$49,"&lt;=62")-K68-J68</f>
        <v>5</v>
      </c>
      <c r="M68" s="64">
        <f>COUNTIF($D$26:$D$49,"&lt;=66")-J68-K68-L68</f>
        <v>8</v>
      </c>
      <c r="N68" s="64">
        <f>COUNTIF($D$26:$D$49,"&lt;=69")-M68-L68-K68-J68</f>
        <v>0</v>
      </c>
      <c r="O68" s="64">
        <f>COUNTIF($D$26:$D$49,"&lt;=73")-M68-L68-K68-J68</f>
        <v>4</v>
      </c>
      <c r="P68" s="64">
        <f>COUNTIF($D$26:$D$49,"&lt;=77")-O68-M68-L68-K68-J68</f>
        <v>0</v>
      </c>
      <c r="Q68" s="113">
        <f>COUNTIF($D$26:$D$49,"&lt;=81")-O68-M68-L68-K68-J68</f>
        <v>0</v>
      </c>
      <c r="R68" s="62"/>
      <c r="T68" s="6">
        <v>67</v>
      </c>
    </row>
    <row r="69" spans="1:20" x14ac:dyDescent="0.25">
      <c r="A69" s="6">
        <v>178</v>
      </c>
      <c r="B69" s="6">
        <v>71</v>
      </c>
      <c r="C69" s="14">
        <v>172</v>
      </c>
      <c r="D69" s="6">
        <v>60</v>
      </c>
      <c r="G69" s="79">
        <f t="shared" si="31"/>
        <v>168</v>
      </c>
      <c r="H69" s="78">
        <f t="shared" si="30"/>
        <v>171</v>
      </c>
      <c r="I69" s="64"/>
      <c r="J69" s="64">
        <f>COUNTIF($D$50:$D$68,"&lt;=54")</f>
        <v>0</v>
      </c>
      <c r="K69" s="64">
        <f>COUNTIF($D$50:$D$68,"&lt;=58")-J69</f>
        <v>1</v>
      </c>
      <c r="L69" s="64">
        <f>COUNTIF($D$50:$D$68,"&lt;=62")-K69-J69</f>
        <v>4</v>
      </c>
      <c r="M69" s="64">
        <f>COUNTIF($D$50:$D$68,"&lt;=66")-J69-K69-L69</f>
        <v>11</v>
      </c>
      <c r="N69" s="64">
        <f>COUNTIF($D$50:$D$68,"&lt;=69")-M69-L69-K69-J69</f>
        <v>3</v>
      </c>
      <c r="O69" s="64">
        <f>COUNTIF($D$50:$D$68,"&lt;=73")-N69-M69-L69-K69</f>
        <v>0</v>
      </c>
      <c r="P69" s="64">
        <f>COUNTIF($D$50:$D$68,"&lt;=77")-N69-M69-L69-K69</f>
        <v>0</v>
      </c>
      <c r="Q69" s="113">
        <f>COUNTIF($D$50:$D$68,"&lt;=81")-N69-M69-L69-K69</f>
        <v>0</v>
      </c>
      <c r="R69" s="62"/>
      <c r="T69" s="6">
        <v>67</v>
      </c>
    </row>
    <row r="70" spans="1:20" x14ac:dyDescent="0.25">
      <c r="A70" s="6">
        <v>171</v>
      </c>
      <c r="B70" s="6">
        <v>64</v>
      </c>
      <c r="C70" s="14">
        <v>172</v>
      </c>
      <c r="D70" s="6">
        <v>78</v>
      </c>
      <c r="G70" s="79">
        <f t="shared" si="31"/>
        <v>171</v>
      </c>
      <c r="H70" s="78">
        <f>G70+$H$4</f>
        <v>174</v>
      </c>
      <c r="I70" s="64"/>
      <c r="J70" s="64">
        <f>COUNTIF($D$69:$D$88,"&lt;=54")</f>
        <v>0</v>
      </c>
      <c r="K70" s="64">
        <f>COUNTIF($D$69:$D$88,"&lt;=58")-J70</f>
        <v>0</v>
      </c>
      <c r="L70" s="64">
        <f>COUNTIF($D$69:$D$88,"&lt;=62")-K70-J70</f>
        <v>2</v>
      </c>
      <c r="M70" s="64">
        <f>COUNTIF($D$69:$D$88,"&lt;=66")-K70-L70</f>
        <v>5</v>
      </c>
      <c r="N70" s="64">
        <f>COUNTIF($D$69:$D$88,"&lt;=69")-M70-L70-K70-J70</f>
        <v>2</v>
      </c>
      <c r="O70" s="64">
        <f>COUNTIF($D$69:$D$88,"&lt;=73")-N70-M70-L70</f>
        <v>6</v>
      </c>
      <c r="P70" s="64">
        <f>COUNTIF($D$69:$D$88,"&lt;=77")-O70-N70-M70-L70</f>
        <v>2</v>
      </c>
      <c r="Q70" s="113">
        <f>COUNTIF($D$69:$D$88,"&lt;=81")-P70-O70-N70-M70-L70</f>
        <v>3</v>
      </c>
      <c r="R70" s="62"/>
      <c r="T70" s="6">
        <v>68</v>
      </c>
    </row>
    <row r="71" spans="1:20" x14ac:dyDescent="0.25">
      <c r="A71" s="6">
        <v>161</v>
      </c>
      <c r="B71" s="6">
        <v>51</v>
      </c>
      <c r="C71" s="14">
        <v>172</v>
      </c>
      <c r="D71" s="6">
        <v>66</v>
      </c>
      <c r="G71" s="79">
        <f t="shared" si="31"/>
        <v>174</v>
      </c>
      <c r="H71" s="78">
        <f t="shared" si="30"/>
        <v>177</v>
      </c>
      <c r="I71" s="64"/>
      <c r="J71" s="64">
        <f>COUNTIF($D$89:$D$96,"&lt;=54")</f>
        <v>0</v>
      </c>
      <c r="K71" s="64">
        <f>COUNTIF($D$89:$D$96,"&lt;=58")-J71</f>
        <v>0</v>
      </c>
      <c r="L71" s="64">
        <f>COUNTIF($D$89:$D$96,"&lt;=62")-K71-J71</f>
        <v>0</v>
      </c>
      <c r="M71" s="64">
        <f>COUNTIF($D$89:$D$96,"&lt;=66")-L71-K71-J71</f>
        <v>3</v>
      </c>
      <c r="N71" s="64">
        <f>COUNTIF($D$89:$D$96,"&lt;=69")-M71-L71</f>
        <v>0</v>
      </c>
      <c r="O71" s="64">
        <f>COUNTIF($D$89:$D$96,"&lt;=73")-N71-M71-L71</f>
        <v>3</v>
      </c>
      <c r="P71" s="64">
        <f>COUNTIF($D$89:$D$96,"&lt;=77")-O71-M71-L71-N71</f>
        <v>1</v>
      </c>
      <c r="Q71" s="113">
        <f>COUNTIF($D$89:$D$96,"&lt;=81")-P71-O71-M71</f>
        <v>1</v>
      </c>
      <c r="R71" s="62"/>
      <c r="T71" s="6">
        <v>68</v>
      </c>
    </row>
    <row r="72" spans="1:20" ht="15.75" thickBot="1" x14ac:dyDescent="0.3">
      <c r="A72" s="6">
        <v>162</v>
      </c>
      <c r="B72" s="6">
        <v>65</v>
      </c>
      <c r="C72" s="14">
        <v>172</v>
      </c>
      <c r="D72" s="6">
        <v>78</v>
      </c>
      <c r="G72" s="79">
        <f t="shared" si="31"/>
        <v>177</v>
      </c>
      <c r="H72" s="78">
        <f t="shared" si="30"/>
        <v>180</v>
      </c>
      <c r="I72" s="64"/>
      <c r="J72" s="64">
        <f>COUNTIF($D$97:$D$101,"&lt;=54")</f>
        <v>0</v>
      </c>
      <c r="K72" s="64">
        <f>COUNTIF($D$97:$D$101,"&lt;=58")-J72</f>
        <v>0</v>
      </c>
      <c r="L72" s="64">
        <f>COUNTIF($D$97:$D$101,"&lt;=62")-K72-J72</f>
        <v>1</v>
      </c>
      <c r="M72" s="64">
        <f>COUNTIF($D$97:$D$101,"&lt;=66")-L72</f>
        <v>0</v>
      </c>
      <c r="N72" s="64">
        <f>COUNTIF($D$97:$D$101,"&lt;=69")-L72</f>
        <v>0</v>
      </c>
      <c r="O72" s="64">
        <f>COUNTIF($D$97:$D$101,"&lt;=73")-L72</f>
        <v>2</v>
      </c>
      <c r="P72" s="64">
        <f>COUNTIF($D$97:$D$101,"&lt;=77")-O72-L72</f>
        <v>0</v>
      </c>
      <c r="Q72" s="113">
        <f>COUNTIF($D$97:$D$101,"&lt;=81")-O72-L72</f>
        <v>2</v>
      </c>
      <c r="R72" s="62"/>
      <c r="T72" s="6">
        <v>68</v>
      </c>
    </row>
    <row r="73" spans="1:20" ht="15.75" thickBot="1" x14ac:dyDescent="0.3">
      <c r="A73" s="6">
        <v>167</v>
      </c>
      <c r="B73" s="6">
        <v>63</v>
      </c>
      <c r="C73" s="14">
        <v>172</v>
      </c>
      <c r="D73" s="6">
        <v>70</v>
      </c>
      <c r="G73" s="76"/>
      <c r="H73" s="115"/>
      <c r="I73" s="116"/>
      <c r="J73" s="116">
        <f>SUM(J65:J72)</f>
        <v>6</v>
      </c>
      <c r="K73" s="116">
        <f t="shared" ref="K73:Q73" si="32">SUM(K65:K72)</f>
        <v>15</v>
      </c>
      <c r="L73" s="116">
        <f t="shared" si="32"/>
        <v>17</v>
      </c>
      <c r="M73" s="116">
        <f t="shared" si="32"/>
        <v>28</v>
      </c>
      <c r="N73" s="116">
        <f t="shared" si="32"/>
        <v>10</v>
      </c>
      <c r="O73" s="116">
        <f t="shared" si="32"/>
        <v>15</v>
      </c>
      <c r="P73" s="116">
        <f t="shared" si="32"/>
        <v>3</v>
      </c>
      <c r="Q73" s="117">
        <f t="shared" si="32"/>
        <v>6</v>
      </c>
      <c r="R73" s="77">
        <f>SUM(J73:Q73)</f>
        <v>100</v>
      </c>
      <c r="T73" s="6">
        <v>68</v>
      </c>
    </row>
    <row r="74" spans="1:20" ht="15.75" thickBot="1" x14ac:dyDescent="0.3">
      <c r="A74" s="6">
        <v>174</v>
      </c>
      <c r="B74" s="6">
        <v>68</v>
      </c>
      <c r="C74" s="14">
        <v>172</v>
      </c>
      <c r="D74" s="6">
        <v>59</v>
      </c>
      <c r="T74" s="6">
        <v>68</v>
      </c>
    </row>
    <row r="75" spans="1:20" ht="15.75" thickBot="1" x14ac:dyDescent="0.3">
      <c r="A75" s="6">
        <v>167</v>
      </c>
      <c r="B75" s="6">
        <v>65</v>
      </c>
      <c r="C75" s="14">
        <v>172</v>
      </c>
      <c r="D75" s="6">
        <v>73</v>
      </c>
      <c r="G75" s="68"/>
      <c r="H75" s="72">
        <f>(I64+J64)/2</f>
        <v>52.875</v>
      </c>
      <c r="I75" s="63">
        <f t="shared" ref="I75:N75" si="33">(J64+K64)/2</f>
        <v>56.625</v>
      </c>
      <c r="J75" s="63">
        <f t="shared" si="33"/>
        <v>60.375</v>
      </c>
      <c r="K75" s="63">
        <f t="shared" si="33"/>
        <v>64.125</v>
      </c>
      <c r="L75" s="63">
        <f t="shared" si="33"/>
        <v>67.875</v>
      </c>
      <c r="M75" s="63">
        <f t="shared" si="33"/>
        <v>71.625</v>
      </c>
      <c r="N75" s="63">
        <f t="shared" si="33"/>
        <v>75.375</v>
      </c>
      <c r="O75" s="63">
        <f>(P64+Q64)/2</f>
        <v>79.125</v>
      </c>
      <c r="P75" s="71"/>
      <c r="T75" s="6">
        <v>68</v>
      </c>
    </row>
    <row r="76" spans="1:20" x14ac:dyDescent="0.25">
      <c r="A76" s="6">
        <v>169</v>
      </c>
      <c r="B76" s="6">
        <v>61</v>
      </c>
      <c r="C76" s="14">
        <v>172</v>
      </c>
      <c r="D76" s="6">
        <v>70</v>
      </c>
      <c r="G76" s="74">
        <f>($H$7+$I$7)/2</f>
        <v>157.5</v>
      </c>
      <c r="H76" s="73">
        <f>J65/100</f>
        <v>0.03</v>
      </c>
      <c r="I76" s="65">
        <f t="shared" ref="I76:N76" si="34">K65/100</f>
        <v>0</v>
      </c>
      <c r="J76" s="65">
        <f t="shared" si="34"/>
        <v>0</v>
      </c>
      <c r="K76" s="65">
        <f t="shared" si="34"/>
        <v>0</v>
      </c>
      <c r="L76" s="65">
        <f t="shared" si="34"/>
        <v>0.01</v>
      </c>
      <c r="M76" s="65">
        <f t="shared" si="34"/>
        <v>0</v>
      </c>
      <c r="N76" s="65">
        <f t="shared" si="34"/>
        <v>0</v>
      </c>
      <c r="O76" s="65">
        <f>Q65/100</f>
        <v>0</v>
      </c>
      <c r="P76" s="112">
        <f>SUM(H76:O76)</f>
        <v>0.04</v>
      </c>
      <c r="T76" s="6">
        <v>69</v>
      </c>
    </row>
    <row r="77" spans="1:20" x14ac:dyDescent="0.25">
      <c r="A77" s="6">
        <v>176</v>
      </c>
      <c r="B77" s="6">
        <v>70</v>
      </c>
      <c r="C77" s="14">
        <v>173</v>
      </c>
      <c r="D77" s="6">
        <v>65</v>
      </c>
      <c r="G77" s="75">
        <f>($H$8+$I$8)/2</f>
        <v>160.5</v>
      </c>
      <c r="H77" s="69">
        <f t="shared" ref="H77:H83" si="35">J66/100</f>
        <v>0.02</v>
      </c>
      <c r="I77" s="64">
        <f t="shared" ref="I77:I83" si="36">K66/100</f>
        <v>0.03</v>
      </c>
      <c r="J77" s="64">
        <f t="shared" ref="J77:J83" si="37">L66/100</f>
        <v>0</v>
      </c>
      <c r="K77" s="64">
        <f t="shared" ref="K77:K83" si="38">M66/100</f>
        <v>0.01</v>
      </c>
      <c r="L77" s="64">
        <f t="shared" ref="L77:L83" si="39">N66/100</f>
        <v>0</v>
      </c>
      <c r="M77" s="64">
        <f t="shared" ref="M77:M83" si="40">O66/100</f>
        <v>0</v>
      </c>
      <c r="N77" s="64">
        <f t="shared" ref="N77:O83" si="41">P66/100</f>
        <v>0</v>
      </c>
      <c r="O77" s="64">
        <f t="shared" si="41"/>
        <v>0</v>
      </c>
      <c r="P77" s="113">
        <f t="shared" ref="P77:P83" si="42">SUM(H77:O77)</f>
        <v>6.0000000000000005E-2</v>
      </c>
      <c r="T77" s="6">
        <v>69</v>
      </c>
    </row>
    <row r="78" spans="1:20" x14ac:dyDescent="0.25">
      <c r="A78" s="6">
        <v>170</v>
      </c>
      <c r="B78" s="6">
        <v>67</v>
      </c>
      <c r="C78" s="14">
        <v>173</v>
      </c>
      <c r="D78" s="6">
        <v>71</v>
      </c>
      <c r="G78" s="75">
        <f>($H$9+$I$9)/2</f>
        <v>163.5</v>
      </c>
      <c r="H78" s="69">
        <f t="shared" si="35"/>
        <v>0</v>
      </c>
      <c r="I78" s="64">
        <f t="shared" si="36"/>
        <v>0.05</v>
      </c>
      <c r="J78" s="64">
        <f t="shared" si="37"/>
        <v>0.05</v>
      </c>
      <c r="K78" s="64">
        <f t="shared" si="38"/>
        <v>0</v>
      </c>
      <c r="L78" s="64">
        <f t="shared" si="39"/>
        <v>0.04</v>
      </c>
      <c r="M78" s="64">
        <f t="shared" si="40"/>
        <v>0</v>
      </c>
      <c r="N78" s="64">
        <f t="shared" si="41"/>
        <v>0</v>
      </c>
      <c r="O78" s="64">
        <f t="shared" ref="O78:O83" si="43">Q67/100</f>
        <v>0</v>
      </c>
      <c r="P78" s="113">
        <f t="shared" si="42"/>
        <v>0.14000000000000001</v>
      </c>
      <c r="T78" s="6">
        <v>70</v>
      </c>
    </row>
    <row r="79" spans="1:20" x14ac:dyDescent="0.25">
      <c r="A79" s="6">
        <v>168</v>
      </c>
      <c r="B79" s="6">
        <v>65</v>
      </c>
      <c r="C79" s="14">
        <v>173</v>
      </c>
      <c r="D79" s="6">
        <v>74</v>
      </c>
      <c r="G79" s="75">
        <f>($H$10+$I$10)/2</f>
        <v>166.5</v>
      </c>
      <c r="H79" s="69">
        <f t="shared" si="35"/>
        <v>0.01</v>
      </c>
      <c r="I79" s="64">
        <f t="shared" si="36"/>
        <v>0.06</v>
      </c>
      <c r="J79" s="64">
        <f t="shared" si="37"/>
        <v>0.05</v>
      </c>
      <c r="K79" s="64">
        <f t="shared" si="38"/>
        <v>0.08</v>
      </c>
      <c r="L79" s="64">
        <f t="shared" si="39"/>
        <v>0</v>
      </c>
      <c r="M79" s="64">
        <f t="shared" si="40"/>
        <v>0.04</v>
      </c>
      <c r="N79" s="64">
        <f t="shared" si="41"/>
        <v>0</v>
      </c>
      <c r="O79" s="64">
        <f t="shared" si="43"/>
        <v>0</v>
      </c>
      <c r="P79" s="113">
        <f t="shared" si="42"/>
        <v>0.24000000000000002</v>
      </c>
      <c r="T79" s="6">
        <v>70</v>
      </c>
    </row>
    <row r="80" spans="1:20" x14ac:dyDescent="0.25">
      <c r="A80" s="6">
        <v>172</v>
      </c>
      <c r="B80" s="6">
        <v>59</v>
      </c>
      <c r="C80" s="14">
        <v>173</v>
      </c>
      <c r="D80" s="6">
        <v>66</v>
      </c>
      <c r="G80" s="75">
        <f>($H$11+$I$11)/2</f>
        <v>169.5</v>
      </c>
      <c r="H80" s="69">
        <f t="shared" si="35"/>
        <v>0</v>
      </c>
      <c r="I80" s="64">
        <f t="shared" si="36"/>
        <v>0.01</v>
      </c>
      <c r="J80" s="64">
        <f t="shared" si="37"/>
        <v>0.04</v>
      </c>
      <c r="K80" s="64">
        <f t="shared" si="38"/>
        <v>0.11</v>
      </c>
      <c r="L80" s="64">
        <f t="shared" si="39"/>
        <v>0.03</v>
      </c>
      <c r="M80" s="64">
        <f t="shared" si="40"/>
        <v>0</v>
      </c>
      <c r="N80" s="64">
        <f t="shared" si="41"/>
        <v>0</v>
      </c>
      <c r="O80" s="64">
        <f t="shared" si="43"/>
        <v>0</v>
      </c>
      <c r="P80" s="113">
        <f t="shared" si="42"/>
        <v>0.19</v>
      </c>
      <c r="T80" s="6">
        <v>70</v>
      </c>
    </row>
    <row r="81" spans="1:20" x14ac:dyDescent="0.25">
      <c r="A81" s="6">
        <v>164</v>
      </c>
      <c r="B81" s="6">
        <v>60</v>
      </c>
      <c r="C81" s="14">
        <v>173</v>
      </c>
      <c r="D81" s="6">
        <v>66</v>
      </c>
      <c r="G81" s="75">
        <f>($H$12+$I$12)/2</f>
        <v>172.5</v>
      </c>
      <c r="H81" s="69">
        <f t="shared" si="35"/>
        <v>0</v>
      </c>
      <c r="I81" s="64">
        <f t="shared" si="36"/>
        <v>0</v>
      </c>
      <c r="J81" s="64">
        <f t="shared" si="37"/>
        <v>0.02</v>
      </c>
      <c r="K81" s="64">
        <f t="shared" si="38"/>
        <v>0.05</v>
      </c>
      <c r="L81" s="64">
        <f t="shared" si="39"/>
        <v>0.02</v>
      </c>
      <c r="M81" s="64">
        <f t="shared" si="40"/>
        <v>0.06</v>
      </c>
      <c r="N81" s="64">
        <f t="shared" si="41"/>
        <v>0.02</v>
      </c>
      <c r="O81" s="64">
        <f t="shared" si="43"/>
        <v>0.03</v>
      </c>
      <c r="P81" s="113">
        <f t="shared" si="42"/>
        <v>0.2</v>
      </c>
      <c r="T81" s="6">
        <v>70</v>
      </c>
    </row>
    <row r="82" spans="1:20" x14ac:dyDescent="0.25">
      <c r="A82" s="6">
        <v>178</v>
      </c>
      <c r="B82" s="6">
        <v>80</v>
      </c>
      <c r="C82" s="14">
        <v>173</v>
      </c>
      <c r="D82" s="6">
        <v>77</v>
      </c>
      <c r="G82" s="75">
        <f>($H$13+$I$13)/2</f>
        <v>175.5</v>
      </c>
      <c r="H82" s="69">
        <f t="shared" si="35"/>
        <v>0</v>
      </c>
      <c r="I82" s="64">
        <f t="shared" si="36"/>
        <v>0</v>
      </c>
      <c r="J82" s="64">
        <f t="shared" si="37"/>
        <v>0</v>
      </c>
      <c r="K82" s="64">
        <f t="shared" si="38"/>
        <v>0.03</v>
      </c>
      <c r="L82" s="64">
        <f t="shared" si="39"/>
        <v>0</v>
      </c>
      <c r="M82" s="64">
        <f t="shared" si="40"/>
        <v>0.03</v>
      </c>
      <c r="N82" s="64">
        <f t="shared" si="41"/>
        <v>0.01</v>
      </c>
      <c r="O82" s="64">
        <f t="shared" si="43"/>
        <v>0.01</v>
      </c>
      <c r="P82" s="113">
        <f t="shared" si="42"/>
        <v>7.9999999999999988E-2</v>
      </c>
      <c r="T82" s="6">
        <v>70</v>
      </c>
    </row>
    <row r="83" spans="1:20" ht="15.75" thickBot="1" x14ac:dyDescent="0.3">
      <c r="A83" s="6">
        <v>172</v>
      </c>
      <c r="B83" s="6">
        <v>73</v>
      </c>
      <c r="C83" s="14">
        <v>173</v>
      </c>
      <c r="D83" s="6">
        <v>63</v>
      </c>
      <c r="G83" s="75">
        <f>($H$14+$I$14)/2</f>
        <v>178.5</v>
      </c>
      <c r="H83" s="69">
        <f t="shared" si="35"/>
        <v>0</v>
      </c>
      <c r="I83" s="64">
        <f t="shared" si="36"/>
        <v>0</v>
      </c>
      <c r="J83" s="64">
        <f t="shared" si="37"/>
        <v>0.01</v>
      </c>
      <c r="K83" s="64">
        <f t="shared" si="38"/>
        <v>0</v>
      </c>
      <c r="L83" s="64">
        <f t="shared" si="39"/>
        <v>0</v>
      </c>
      <c r="M83" s="64">
        <f t="shared" si="40"/>
        <v>0.02</v>
      </c>
      <c r="N83" s="64">
        <f t="shared" si="41"/>
        <v>0</v>
      </c>
      <c r="O83" s="64">
        <f t="shared" si="43"/>
        <v>0.02</v>
      </c>
      <c r="P83" s="114">
        <f t="shared" si="42"/>
        <v>0.05</v>
      </c>
      <c r="T83" s="6">
        <v>70</v>
      </c>
    </row>
    <row r="84" spans="1:20" ht="15.75" thickBot="1" x14ac:dyDescent="0.3">
      <c r="A84" s="6">
        <v>171</v>
      </c>
      <c r="B84" s="6">
        <v>65</v>
      </c>
      <c r="C84" s="14">
        <v>173</v>
      </c>
      <c r="D84" s="6">
        <v>72</v>
      </c>
      <c r="G84" s="76"/>
      <c r="H84" s="115">
        <f>SUM(H76:H83)</f>
        <v>6.0000000000000005E-2</v>
      </c>
      <c r="I84" s="116">
        <f t="shared" ref="I84:O84" si="44">SUM(I76:I83)</f>
        <v>0.15000000000000002</v>
      </c>
      <c r="J84" s="116">
        <f t="shared" si="44"/>
        <v>0.17</v>
      </c>
      <c r="K84" s="116">
        <f t="shared" si="44"/>
        <v>0.28000000000000003</v>
      </c>
      <c r="L84" s="116">
        <f t="shared" si="44"/>
        <v>0.1</v>
      </c>
      <c r="M84" s="116">
        <f t="shared" si="44"/>
        <v>0.15</v>
      </c>
      <c r="N84" s="116">
        <f t="shared" si="44"/>
        <v>0.03</v>
      </c>
      <c r="O84" s="116">
        <f t="shared" si="44"/>
        <v>0.06</v>
      </c>
      <c r="P84" s="58">
        <f>SUM(H84:O84)</f>
        <v>1</v>
      </c>
      <c r="T84" s="6">
        <v>70</v>
      </c>
    </row>
    <row r="85" spans="1:20" x14ac:dyDescent="0.25">
      <c r="A85" s="6">
        <v>167</v>
      </c>
      <c r="B85" s="6">
        <v>52</v>
      </c>
      <c r="C85" s="14">
        <v>173</v>
      </c>
      <c r="D85" s="6">
        <v>69</v>
      </c>
      <c r="T85" s="6">
        <v>70</v>
      </c>
    </row>
    <row r="86" spans="1:20" ht="15.75" thickBot="1" x14ac:dyDescent="0.3">
      <c r="A86" s="6">
        <v>170</v>
      </c>
      <c r="B86" s="6">
        <v>61</v>
      </c>
      <c r="C86" s="14">
        <v>174</v>
      </c>
      <c r="D86" s="6">
        <v>70</v>
      </c>
      <c r="T86" s="6">
        <v>70</v>
      </c>
    </row>
    <row r="87" spans="1:20" x14ac:dyDescent="0.25">
      <c r="A87" s="6">
        <v>170</v>
      </c>
      <c r="B87" s="6">
        <v>63</v>
      </c>
      <c r="C87" s="14">
        <v>174</v>
      </c>
      <c r="D87" s="6">
        <v>79</v>
      </c>
      <c r="G87" s="170">
        <f t="shared" ref="G87:G94" si="45">G76*$H$75*H76</f>
        <v>249.83437499999999</v>
      </c>
      <c r="H87" s="139">
        <f t="shared" ref="H87:H94" si="46">G76*$I$75*I76</f>
        <v>0</v>
      </c>
      <c r="I87" s="139">
        <f t="shared" ref="I87:I94" si="47">G76*$J$75*J76</f>
        <v>0</v>
      </c>
      <c r="J87" s="139">
        <f t="shared" ref="J87:J94" si="48">G76*$K$75*K76</f>
        <v>0</v>
      </c>
      <c r="K87" s="139">
        <f t="shared" ref="K87:K94" si="49">G76*$L$75*L76</f>
        <v>106.903125</v>
      </c>
      <c r="L87" s="139">
        <f t="shared" ref="L87:L94" si="50">G76*$M$75*M76</f>
        <v>0</v>
      </c>
      <c r="M87" s="139">
        <f t="shared" ref="M87:M94" si="51">G76*$N$75*N76</f>
        <v>0</v>
      </c>
      <c r="N87" s="171">
        <f t="shared" ref="N87:N94" si="52">G76*$O$75*O76</f>
        <v>0</v>
      </c>
      <c r="O87" s="167">
        <f>SUM(G87:N87)</f>
        <v>356.73750000000001</v>
      </c>
      <c r="T87" s="6">
        <v>71</v>
      </c>
    </row>
    <row r="88" spans="1:20" x14ac:dyDescent="0.25">
      <c r="A88" s="6">
        <v>167</v>
      </c>
      <c r="B88" s="6">
        <v>57</v>
      </c>
      <c r="C88" s="14">
        <v>174</v>
      </c>
      <c r="D88" s="6">
        <v>68</v>
      </c>
      <c r="G88" s="172">
        <f t="shared" si="45"/>
        <v>169.72874999999999</v>
      </c>
      <c r="H88" s="5">
        <f t="shared" si="46"/>
        <v>272.64937499999996</v>
      </c>
      <c r="I88" s="5">
        <f t="shared" si="47"/>
        <v>0</v>
      </c>
      <c r="J88" s="5">
        <f t="shared" si="48"/>
        <v>102.920625</v>
      </c>
      <c r="K88" s="5">
        <f t="shared" si="49"/>
        <v>0</v>
      </c>
      <c r="L88" s="5">
        <f t="shared" si="50"/>
        <v>0</v>
      </c>
      <c r="M88" s="5">
        <f t="shared" si="51"/>
        <v>0</v>
      </c>
      <c r="N88" s="1">
        <f t="shared" si="52"/>
        <v>0</v>
      </c>
      <c r="O88" s="108">
        <f t="shared" ref="O88:O94" si="53">SUM(G88:N88)</f>
        <v>545.29874999999993</v>
      </c>
      <c r="T88" s="6">
        <v>71</v>
      </c>
    </row>
    <row r="89" spans="1:20" x14ac:dyDescent="0.25">
      <c r="A89" s="6">
        <v>171</v>
      </c>
      <c r="B89" s="6">
        <v>63</v>
      </c>
      <c r="C89" s="12">
        <v>175</v>
      </c>
      <c r="D89" s="6">
        <v>64</v>
      </c>
      <c r="G89" s="172">
        <f t="shared" si="45"/>
        <v>0</v>
      </c>
      <c r="H89" s="5">
        <f t="shared" si="46"/>
        <v>462.90937500000001</v>
      </c>
      <c r="I89" s="5">
        <f t="shared" si="47"/>
        <v>493.56562500000001</v>
      </c>
      <c r="J89" s="5">
        <f t="shared" si="48"/>
        <v>0</v>
      </c>
      <c r="K89" s="5">
        <f t="shared" si="49"/>
        <v>443.90250000000003</v>
      </c>
      <c r="L89" s="5">
        <f t="shared" si="50"/>
        <v>0</v>
      </c>
      <c r="M89" s="5">
        <f t="shared" si="51"/>
        <v>0</v>
      </c>
      <c r="N89" s="1">
        <f t="shared" si="52"/>
        <v>0</v>
      </c>
      <c r="O89" s="108">
        <f t="shared" si="53"/>
        <v>1400.3775000000001</v>
      </c>
      <c r="T89" s="6">
        <v>71</v>
      </c>
    </row>
    <row r="90" spans="1:20" x14ac:dyDescent="0.25">
      <c r="A90" s="6">
        <v>168</v>
      </c>
      <c r="B90" s="6">
        <v>58</v>
      </c>
      <c r="C90" s="12">
        <v>175</v>
      </c>
      <c r="D90" s="6">
        <v>66</v>
      </c>
      <c r="G90" s="172">
        <f t="shared" si="45"/>
        <v>88.036874999999995</v>
      </c>
      <c r="H90" s="5">
        <f t="shared" si="46"/>
        <v>565.68375000000003</v>
      </c>
      <c r="I90" s="5">
        <f t="shared" si="47"/>
        <v>502.62187500000005</v>
      </c>
      <c r="J90" s="5">
        <f t="shared" si="48"/>
        <v>854.14499999999998</v>
      </c>
      <c r="K90" s="5">
        <f t="shared" si="49"/>
        <v>0</v>
      </c>
      <c r="L90" s="5">
        <f t="shared" si="50"/>
        <v>477.02250000000004</v>
      </c>
      <c r="M90" s="5">
        <f t="shared" si="51"/>
        <v>0</v>
      </c>
      <c r="N90" s="1">
        <f t="shared" si="52"/>
        <v>0</v>
      </c>
      <c r="O90" s="108">
        <f t="shared" si="53"/>
        <v>2487.5100000000002</v>
      </c>
      <c r="T90" s="6">
        <v>72</v>
      </c>
    </row>
    <row r="91" spans="1:20" x14ac:dyDescent="0.25">
      <c r="A91" s="6">
        <v>173</v>
      </c>
      <c r="B91" s="6">
        <v>63</v>
      </c>
      <c r="C91" s="12">
        <v>176</v>
      </c>
      <c r="D91" s="6">
        <v>81</v>
      </c>
      <c r="G91" s="172">
        <f t="shared" si="45"/>
        <v>0</v>
      </c>
      <c r="H91" s="5">
        <f t="shared" si="46"/>
        <v>95.979375000000005</v>
      </c>
      <c r="I91" s="5">
        <f t="shared" si="47"/>
        <v>409.34250000000003</v>
      </c>
      <c r="J91" s="5">
        <f t="shared" si="48"/>
        <v>1195.610625</v>
      </c>
      <c r="K91" s="5">
        <f t="shared" si="49"/>
        <v>345.14437499999997</v>
      </c>
      <c r="L91" s="5">
        <f t="shared" si="50"/>
        <v>0</v>
      </c>
      <c r="M91" s="5">
        <f t="shared" si="51"/>
        <v>0</v>
      </c>
      <c r="N91" s="1">
        <f t="shared" si="52"/>
        <v>0</v>
      </c>
      <c r="O91" s="108">
        <f t="shared" si="53"/>
        <v>2046.0768750000002</v>
      </c>
      <c r="T91" s="6">
        <v>73</v>
      </c>
    </row>
    <row r="92" spans="1:20" x14ac:dyDescent="0.25">
      <c r="A92" s="6">
        <v>173</v>
      </c>
      <c r="B92" s="6">
        <v>72</v>
      </c>
      <c r="C92" s="12">
        <v>176</v>
      </c>
      <c r="D92" s="6">
        <v>77</v>
      </c>
      <c r="G92" s="172">
        <f t="shared" si="45"/>
        <v>0</v>
      </c>
      <c r="H92" s="5">
        <f t="shared" si="46"/>
        <v>0</v>
      </c>
      <c r="I92" s="5">
        <f t="shared" si="47"/>
        <v>208.29375000000002</v>
      </c>
      <c r="J92" s="5">
        <f t="shared" si="48"/>
        <v>553.078125</v>
      </c>
      <c r="K92" s="5">
        <f t="shared" si="49"/>
        <v>234.16875000000002</v>
      </c>
      <c r="L92" s="5">
        <f t="shared" si="50"/>
        <v>741.31875000000002</v>
      </c>
      <c r="M92" s="5">
        <f t="shared" si="51"/>
        <v>260.04374999999999</v>
      </c>
      <c r="N92" s="1">
        <f t="shared" si="52"/>
        <v>409.47187500000001</v>
      </c>
      <c r="O92" s="108">
        <f t="shared" si="53"/>
        <v>2406.375</v>
      </c>
      <c r="T92" s="6">
        <v>73</v>
      </c>
    </row>
    <row r="93" spans="1:20" x14ac:dyDescent="0.25">
      <c r="A93" s="6">
        <v>170</v>
      </c>
      <c r="B93" s="6">
        <v>65</v>
      </c>
      <c r="C93" s="12">
        <v>176</v>
      </c>
      <c r="D93" s="6">
        <v>65</v>
      </c>
      <c r="G93" s="172">
        <f t="shared" si="45"/>
        <v>0</v>
      </c>
      <c r="H93" s="5">
        <f t="shared" si="46"/>
        <v>0</v>
      </c>
      <c r="I93" s="5">
        <f t="shared" si="47"/>
        <v>0</v>
      </c>
      <c r="J93" s="5">
        <f t="shared" si="48"/>
        <v>337.61812499999996</v>
      </c>
      <c r="K93" s="5">
        <f t="shared" si="49"/>
        <v>0</v>
      </c>
      <c r="L93" s="5">
        <f t="shared" si="50"/>
        <v>377.10562499999997</v>
      </c>
      <c r="M93" s="5">
        <f t="shared" si="51"/>
        <v>132.28312500000001</v>
      </c>
      <c r="N93" s="1">
        <f t="shared" si="52"/>
        <v>138.864375</v>
      </c>
      <c r="O93" s="108">
        <f t="shared" si="53"/>
        <v>985.87124999999992</v>
      </c>
      <c r="T93" s="6">
        <v>74</v>
      </c>
    </row>
    <row r="94" spans="1:20" ht="15.75" thickBot="1" x14ac:dyDescent="0.3">
      <c r="A94" s="6">
        <v>172</v>
      </c>
      <c r="B94" s="6">
        <v>70</v>
      </c>
      <c r="C94" s="12">
        <v>176</v>
      </c>
      <c r="D94" s="6">
        <v>70</v>
      </c>
      <c r="G94" s="173">
        <f t="shared" si="45"/>
        <v>0</v>
      </c>
      <c r="H94" s="162">
        <f t="shared" si="46"/>
        <v>0</v>
      </c>
      <c r="I94" s="162">
        <f t="shared" si="47"/>
        <v>107.769375</v>
      </c>
      <c r="J94" s="162">
        <f t="shared" si="48"/>
        <v>0</v>
      </c>
      <c r="K94" s="162">
        <f t="shared" si="49"/>
        <v>0</v>
      </c>
      <c r="L94" s="162">
        <f t="shared" si="50"/>
        <v>255.70125000000002</v>
      </c>
      <c r="M94" s="162">
        <f t="shared" si="51"/>
        <v>0</v>
      </c>
      <c r="N94" s="165">
        <f t="shared" si="52"/>
        <v>282.47624999999999</v>
      </c>
      <c r="O94" s="168">
        <f t="shared" si="53"/>
        <v>645.94687500000009</v>
      </c>
      <c r="T94" s="6">
        <v>77</v>
      </c>
    </row>
    <row r="95" spans="1:20" ht="15.75" thickBot="1" x14ac:dyDescent="0.3">
      <c r="A95" s="6">
        <v>162</v>
      </c>
      <c r="B95" s="6">
        <v>56</v>
      </c>
      <c r="C95" s="12">
        <v>176</v>
      </c>
      <c r="D95" s="6">
        <v>70</v>
      </c>
      <c r="G95" s="163">
        <f>SUM(G87:G94)</f>
        <v>507.6</v>
      </c>
      <c r="H95" s="164">
        <f t="shared" ref="H95:N95" si="54">SUM(H87:H94)</f>
        <v>1397.2218749999997</v>
      </c>
      <c r="I95" s="164">
        <f>SUM(I87:I94)</f>
        <v>1721.5931250000001</v>
      </c>
      <c r="J95" s="164">
        <f t="shared" si="54"/>
        <v>3043.3724999999999</v>
      </c>
      <c r="K95" s="164">
        <f t="shared" si="54"/>
        <v>1130.1187500000001</v>
      </c>
      <c r="L95" s="164">
        <f t="shared" si="54"/>
        <v>1851.1481249999999</v>
      </c>
      <c r="M95" s="164">
        <f t="shared" si="54"/>
        <v>392.32687499999997</v>
      </c>
      <c r="N95" s="166">
        <f t="shared" si="54"/>
        <v>830.8125</v>
      </c>
      <c r="O95" s="169">
        <f>SUM(G95:N95)</f>
        <v>10874.19375</v>
      </c>
      <c r="P95" s="106" t="s">
        <v>55</v>
      </c>
      <c r="T95" s="6">
        <v>77</v>
      </c>
    </row>
    <row r="96" spans="1:20" ht="15.75" thickBot="1" x14ac:dyDescent="0.3">
      <c r="A96" s="6">
        <v>171</v>
      </c>
      <c r="B96" s="6">
        <v>63</v>
      </c>
      <c r="C96" s="12">
        <v>177</v>
      </c>
      <c r="D96" s="6">
        <v>70</v>
      </c>
      <c r="T96" s="6">
        <v>78</v>
      </c>
    </row>
    <row r="97" spans="1:20" ht="15.75" thickBot="1" x14ac:dyDescent="0.3">
      <c r="A97" s="6">
        <v>173</v>
      </c>
      <c r="B97" s="6">
        <v>69</v>
      </c>
      <c r="C97" s="52">
        <v>178</v>
      </c>
      <c r="D97" s="6">
        <v>80</v>
      </c>
      <c r="H97" s="277" t="s">
        <v>68</v>
      </c>
      <c r="I97" s="278"/>
      <c r="J97" s="278"/>
      <c r="K97" s="279"/>
      <c r="T97" s="6">
        <v>78</v>
      </c>
    </row>
    <row r="98" spans="1:20" x14ac:dyDescent="0.25">
      <c r="A98" s="6">
        <v>156</v>
      </c>
      <c r="B98" s="6">
        <v>54</v>
      </c>
      <c r="C98" s="52">
        <v>178</v>
      </c>
      <c r="D98" s="6">
        <v>60</v>
      </c>
      <c r="G98" s="174" t="s">
        <v>63</v>
      </c>
      <c r="H98" s="139">
        <f>C105</f>
        <v>157.5</v>
      </c>
      <c r="I98" s="139">
        <f>C106</f>
        <v>160.5</v>
      </c>
      <c r="J98" s="139">
        <f>C107</f>
        <v>163.5</v>
      </c>
      <c r="K98" s="139">
        <f>C108</f>
        <v>166.5</v>
      </c>
      <c r="L98" s="139">
        <f>C109</f>
        <v>169.5</v>
      </c>
      <c r="M98" s="139">
        <f>C110</f>
        <v>172.5</v>
      </c>
      <c r="N98" s="139">
        <f>C111</f>
        <v>175.5</v>
      </c>
      <c r="O98" s="175">
        <f>C112</f>
        <v>178.5</v>
      </c>
      <c r="T98" s="6">
        <v>79</v>
      </c>
    </row>
    <row r="99" spans="1:20" ht="15.75" thickBot="1" x14ac:dyDescent="0.3">
      <c r="A99" s="6">
        <v>168</v>
      </c>
      <c r="B99" s="6">
        <v>70</v>
      </c>
      <c r="C99" s="52">
        <v>178</v>
      </c>
      <c r="D99" s="6">
        <v>71</v>
      </c>
      <c r="G99" s="176" t="s">
        <v>57</v>
      </c>
      <c r="H99" s="5">
        <f>B105</f>
        <v>0.04</v>
      </c>
      <c r="I99" s="5">
        <f>B106</f>
        <v>0.06</v>
      </c>
      <c r="J99" s="5">
        <f>B107</f>
        <v>0.14000000000000001</v>
      </c>
      <c r="K99" s="5">
        <f>B108</f>
        <v>0.24</v>
      </c>
      <c r="L99" s="5">
        <f>B109</f>
        <v>0.19</v>
      </c>
      <c r="M99" s="5">
        <f>B110</f>
        <v>0.2</v>
      </c>
      <c r="N99" s="5">
        <f>B111</f>
        <v>0.08</v>
      </c>
      <c r="O99" s="177">
        <f>B112</f>
        <v>0.05</v>
      </c>
      <c r="T99" s="6">
        <v>80</v>
      </c>
    </row>
    <row r="100" spans="1:20" x14ac:dyDescent="0.25">
      <c r="A100" s="6">
        <v>176</v>
      </c>
      <c r="B100" s="6">
        <v>70</v>
      </c>
      <c r="C100" s="52">
        <v>178</v>
      </c>
      <c r="D100" s="6">
        <v>80</v>
      </c>
      <c r="G100" s="172"/>
      <c r="H100" s="5">
        <f>H98*H99</f>
        <v>6.3</v>
      </c>
      <c r="I100" s="5">
        <f t="shared" ref="I100:O100" si="55">I98*I99</f>
        <v>9.629999999999999</v>
      </c>
      <c r="J100" s="5">
        <f t="shared" si="55"/>
        <v>22.89</v>
      </c>
      <c r="K100" s="5">
        <f t="shared" si="55"/>
        <v>39.96</v>
      </c>
      <c r="L100" s="5">
        <f t="shared" si="55"/>
        <v>32.204999999999998</v>
      </c>
      <c r="M100" s="5">
        <f t="shared" si="55"/>
        <v>34.5</v>
      </c>
      <c r="N100" s="5">
        <f t="shared" si="55"/>
        <v>14.040000000000001</v>
      </c>
      <c r="O100" s="1">
        <f t="shared" si="55"/>
        <v>8.9250000000000007</v>
      </c>
      <c r="P100" s="170">
        <f>SUM(H100:O100)</f>
        <v>168.45000000000002</v>
      </c>
      <c r="Q100" s="175" t="s">
        <v>64</v>
      </c>
      <c r="T100" s="6">
        <v>80</v>
      </c>
    </row>
    <row r="101" spans="1:20" ht="15.75" thickBot="1" x14ac:dyDescent="0.3">
      <c r="A101" s="7">
        <v>164</v>
      </c>
      <c r="B101" s="7">
        <v>57</v>
      </c>
      <c r="C101" s="53">
        <v>180</v>
      </c>
      <c r="D101" s="7">
        <v>73</v>
      </c>
      <c r="G101" s="178"/>
      <c r="H101" s="146">
        <f>H98*H100</f>
        <v>992.25</v>
      </c>
      <c r="I101" s="146">
        <f t="shared" ref="I101:N101" si="56">I98*I100</f>
        <v>1545.6149999999998</v>
      </c>
      <c r="J101" s="146">
        <f t="shared" si="56"/>
        <v>3742.5149999999999</v>
      </c>
      <c r="K101" s="146">
        <f t="shared" si="56"/>
        <v>6653.34</v>
      </c>
      <c r="L101" s="146">
        <f t="shared" si="56"/>
        <v>5458.7474999999995</v>
      </c>
      <c r="M101" s="146">
        <f t="shared" si="56"/>
        <v>5951.25</v>
      </c>
      <c r="N101" s="146">
        <f t="shared" si="56"/>
        <v>2464.02</v>
      </c>
      <c r="O101" s="179">
        <f>O98*O100</f>
        <v>1593.1125000000002</v>
      </c>
      <c r="P101" s="172">
        <f>SUM(H101:O101)</f>
        <v>28400.85</v>
      </c>
      <c r="Q101" s="177" t="s">
        <v>65</v>
      </c>
      <c r="T101" s="7">
        <v>81</v>
      </c>
    </row>
    <row r="102" spans="1:20" x14ac:dyDescent="0.25">
      <c r="P102" s="172">
        <f>-P100*P100+P101</f>
        <v>25.447499999991123</v>
      </c>
      <c r="Q102" s="177" t="s">
        <v>66</v>
      </c>
    </row>
    <row r="103" spans="1:20" ht="15.75" thickBot="1" x14ac:dyDescent="0.3">
      <c r="P103" s="178">
        <f>P102^0.5</f>
        <v>5.0445515162391912</v>
      </c>
      <c r="Q103" s="161" t="s">
        <v>67</v>
      </c>
    </row>
    <row r="104" spans="1:20" ht="15.75" thickBot="1" x14ac:dyDescent="0.3"/>
    <row r="105" spans="1:20" ht="15.75" thickBot="1" x14ac:dyDescent="0.3">
      <c r="B105">
        <f>$J$7/100</f>
        <v>0.04</v>
      </c>
      <c r="C105">
        <f>($H7+$I7)/2</f>
        <v>157.5</v>
      </c>
      <c r="H105" s="277" t="s">
        <v>58</v>
      </c>
      <c r="I105" s="278"/>
      <c r="J105" s="278"/>
      <c r="K105" s="279"/>
    </row>
    <row r="106" spans="1:20" x14ac:dyDescent="0.25">
      <c r="B106">
        <f>$J$8/100</f>
        <v>0.06</v>
      </c>
      <c r="C106">
        <f t="shared" ref="C106:C112" si="57">($H8+$I8)/2</f>
        <v>160.5</v>
      </c>
      <c r="G106" s="174" t="s">
        <v>56</v>
      </c>
      <c r="H106" s="139">
        <f t="shared" ref="H106:O106" si="58">H75</f>
        <v>52.875</v>
      </c>
      <c r="I106" s="139">
        <f t="shared" si="58"/>
        <v>56.625</v>
      </c>
      <c r="J106" s="139">
        <f t="shared" si="58"/>
        <v>60.375</v>
      </c>
      <c r="K106" s="139">
        <f t="shared" si="58"/>
        <v>64.125</v>
      </c>
      <c r="L106" s="139">
        <f t="shared" si="58"/>
        <v>67.875</v>
      </c>
      <c r="M106" s="139">
        <f t="shared" si="58"/>
        <v>71.625</v>
      </c>
      <c r="N106" s="139">
        <f t="shared" si="58"/>
        <v>75.375</v>
      </c>
      <c r="O106" s="175">
        <f t="shared" si="58"/>
        <v>79.125</v>
      </c>
    </row>
    <row r="107" spans="1:20" ht="15.75" thickBot="1" x14ac:dyDescent="0.3">
      <c r="B107">
        <f>$J$9/100</f>
        <v>0.14000000000000001</v>
      </c>
      <c r="C107">
        <f t="shared" si="57"/>
        <v>163.5</v>
      </c>
      <c r="G107" s="176" t="s">
        <v>57</v>
      </c>
      <c r="H107" s="5">
        <f t="shared" ref="H107:O107" si="59">H84</f>
        <v>6.0000000000000005E-2</v>
      </c>
      <c r="I107" s="5">
        <f t="shared" si="59"/>
        <v>0.15000000000000002</v>
      </c>
      <c r="J107" s="5">
        <f t="shared" si="59"/>
        <v>0.17</v>
      </c>
      <c r="K107" s="5">
        <f t="shared" si="59"/>
        <v>0.28000000000000003</v>
      </c>
      <c r="L107" s="5">
        <f t="shared" si="59"/>
        <v>0.1</v>
      </c>
      <c r="M107" s="5">
        <f t="shared" si="59"/>
        <v>0.15</v>
      </c>
      <c r="N107" s="5">
        <f t="shared" si="59"/>
        <v>0.03</v>
      </c>
      <c r="O107" s="177">
        <f t="shared" si="59"/>
        <v>0.06</v>
      </c>
    </row>
    <row r="108" spans="1:20" x14ac:dyDescent="0.25">
      <c r="B108">
        <f>$J$10/100</f>
        <v>0.24</v>
      </c>
      <c r="C108">
        <f t="shared" si="57"/>
        <v>166.5</v>
      </c>
      <c r="G108" s="172"/>
      <c r="H108" s="5">
        <f>H106*H107</f>
        <v>3.1725000000000003</v>
      </c>
      <c r="I108" s="5">
        <f t="shared" ref="I108:N108" si="60">I106*I107</f>
        <v>8.4937500000000021</v>
      </c>
      <c r="J108" s="5">
        <f t="shared" si="60"/>
        <v>10.26375</v>
      </c>
      <c r="K108" s="5">
        <f t="shared" si="60"/>
        <v>17.955000000000002</v>
      </c>
      <c r="L108" s="5">
        <f t="shared" si="60"/>
        <v>6.7875000000000005</v>
      </c>
      <c r="M108" s="5">
        <f t="shared" si="60"/>
        <v>10.74375</v>
      </c>
      <c r="N108" s="5">
        <f t="shared" si="60"/>
        <v>2.26125</v>
      </c>
      <c r="O108" s="1">
        <f>O106*O107</f>
        <v>4.7474999999999996</v>
      </c>
      <c r="P108" s="170">
        <f>SUM(H108:O108)</f>
        <v>64.424999999999997</v>
      </c>
      <c r="Q108" s="175" t="s">
        <v>59</v>
      </c>
    </row>
    <row r="109" spans="1:20" ht="15.75" thickBot="1" x14ac:dyDescent="0.3">
      <c r="B109">
        <f>$J$11/100</f>
        <v>0.19</v>
      </c>
      <c r="C109">
        <f t="shared" si="57"/>
        <v>169.5</v>
      </c>
      <c r="G109" s="178"/>
      <c r="H109" s="146">
        <f>H106*H108</f>
        <v>167.74593750000003</v>
      </c>
      <c r="I109" s="146">
        <f t="shared" ref="I109:O109" si="61">I106*I108</f>
        <v>480.95859375000015</v>
      </c>
      <c r="J109" s="146">
        <f t="shared" si="61"/>
        <v>619.67390624999996</v>
      </c>
      <c r="K109" s="146">
        <f t="shared" si="61"/>
        <v>1151.3643750000001</v>
      </c>
      <c r="L109" s="146">
        <f t="shared" si="61"/>
        <v>460.70156250000002</v>
      </c>
      <c r="M109" s="146">
        <f t="shared" si="61"/>
        <v>769.52109374999998</v>
      </c>
      <c r="N109" s="146">
        <f t="shared" si="61"/>
        <v>170.44171875000001</v>
      </c>
      <c r="O109" s="179">
        <f t="shared" si="61"/>
        <v>375.64593749999995</v>
      </c>
      <c r="P109" s="172">
        <f>SUM(H109:O109)</f>
        <v>4196.0531250000004</v>
      </c>
      <c r="Q109" s="177" t="s">
        <v>60</v>
      </c>
    </row>
    <row r="110" spans="1:20" x14ac:dyDescent="0.25">
      <c r="B110">
        <f>$J$12/100</f>
        <v>0.2</v>
      </c>
      <c r="C110">
        <f t="shared" si="57"/>
        <v>172.5</v>
      </c>
      <c r="P110" s="172">
        <f>-P108*P108+P109</f>
        <v>45.472500000000764</v>
      </c>
      <c r="Q110" s="177" t="s">
        <v>61</v>
      </c>
    </row>
    <row r="111" spans="1:20" ht="15.75" thickBot="1" x14ac:dyDescent="0.3">
      <c r="B111">
        <f>$J$13/100</f>
        <v>0.08</v>
      </c>
      <c r="C111">
        <f t="shared" si="57"/>
        <v>175.5</v>
      </c>
      <c r="P111" s="178">
        <f>P110^0.5</f>
        <v>6.7433300378967633</v>
      </c>
      <c r="Q111" s="161" t="s">
        <v>62</v>
      </c>
    </row>
    <row r="112" spans="1:20" ht="15.75" thickBot="1" x14ac:dyDescent="0.3">
      <c r="B112">
        <f>$J$14/100</f>
        <v>0.05</v>
      </c>
      <c r="C112">
        <f t="shared" si="57"/>
        <v>178.5</v>
      </c>
    </row>
    <row r="113" spans="7:17" ht="15.75" thickBot="1" x14ac:dyDescent="0.3">
      <c r="G113" s="280" t="s">
        <v>69</v>
      </c>
      <c r="H113" s="281"/>
      <c r="I113" s="281"/>
      <c r="J113" s="182">
        <f>(O95-P100*P108)/(P103*P111)</f>
        <v>0.64092810767230235</v>
      </c>
    </row>
    <row r="114" spans="7:17" ht="15.75" thickBot="1" x14ac:dyDescent="0.3"/>
    <row r="115" spans="7:17" ht="15.75" thickBot="1" x14ac:dyDescent="0.3">
      <c r="I115" s="191" t="s">
        <v>70</v>
      </c>
      <c r="J115" s="182">
        <f>J113*P111/P103</f>
        <v>0.85676392572973314</v>
      </c>
    </row>
    <row r="117" spans="7:17" ht="15.75" thickBot="1" x14ac:dyDescent="0.3"/>
    <row r="118" spans="7:17" ht="15.75" thickBot="1" x14ac:dyDescent="0.3">
      <c r="G118" s="180"/>
      <c r="H118" s="277" t="s">
        <v>71</v>
      </c>
      <c r="I118" s="278"/>
      <c r="J118" s="278"/>
      <c r="K118" s="279"/>
    </row>
    <row r="119" spans="7:17" ht="15.75" thickBot="1" x14ac:dyDescent="0.3">
      <c r="G119" s="170" t="s">
        <v>73</v>
      </c>
      <c r="H119" s="140">
        <f>H7</f>
        <v>156</v>
      </c>
      <c r="I119" s="140">
        <f>H8</f>
        <v>159</v>
      </c>
      <c r="J119" s="140">
        <f>H9</f>
        <v>162</v>
      </c>
      <c r="K119" s="140">
        <f>H10</f>
        <v>165</v>
      </c>
      <c r="L119" s="140">
        <f>H11</f>
        <v>168</v>
      </c>
      <c r="M119" s="140">
        <f>H12</f>
        <v>171</v>
      </c>
      <c r="N119" s="140">
        <f>H13</f>
        <v>174</v>
      </c>
      <c r="O119" s="185">
        <f>H14</f>
        <v>177</v>
      </c>
    </row>
    <row r="120" spans="7:17" ht="15.75" thickBot="1" x14ac:dyDescent="0.3">
      <c r="G120" s="172" t="s">
        <v>9</v>
      </c>
      <c r="H120" s="5">
        <f>J7</f>
        <v>4</v>
      </c>
      <c r="I120" s="9">
        <f>J8</f>
        <v>6</v>
      </c>
      <c r="J120" s="9">
        <f>J9</f>
        <v>14</v>
      </c>
      <c r="K120" s="9">
        <f>J10</f>
        <v>24</v>
      </c>
      <c r="L120" s="9">
        <f>J11</f>
        <v>19</v>
      </c>
      <c r="M120" s="9">
        <f>J12</f>
        <v>20</v>
      </c>
      <c r="N120" s="9">
        <f>J13</f>
        <v>8</v>
      </c>
      <c r="O120" s="144">
        <f>J14</f>
        <v>5</v>
      </c>
      <c r="P120" s="182">
        <f>SUM(H120:O120)</f>
        <v>100</v>
      </c>
    </row>
    <row r="121" spans="7:17" ht="15.75" thickBot="1" x14ac:dyDescent="0.3">
      <c r="G121" s="172" t="s">
        <v>74</v>
      </c>
      <c r="H121" s="5">
        <f>H120/100</f>
        <v>0.04</v>
      </c>
      <c r="I121" s="5">
        <f>H121+I120/100</f>
        <v>0.1</v>
      </c>
      <c r="J121" s="5">
        <f>I121+J120/100</f>
        <v>0.24000000000000002</v>
      </c>
      <c r="K121" s="5">
        <f t="shared" ref="K121:O121" si="62">J121+K120/100</f>
        <v>0.48</v>
      </c>
      <c r="L121" s="5">
        <f t="shared" si="62"/>
        <v>0.66999999999999993</v>
      </c>
      <c r="M121" s="5">
        <f t="shared" si="62"/>
        <v>0.86999999999999988</v>
      </c>
      <c r="N121" s="5">
        <f t="shared" si="62"/>
        <v>0.94999999999999984</v>
      </c>
      <c r="O121" s="177">
        <f t="shared" si="62"/>
        <v>0.99999999999999989</v>
      </c>
    </row>
    <row r="122" spans="7:17" x14ac:dyDescent="0.25">
      <c r="G122" s="172" t="s">
        <v>75</v>
      </c>
      <c r="H122" s="184">
        <f>NORMDIST(H119,$K$27,$H$30,1)</f>
        <v>6.7933396962969166E-3</v>
      </c>
      <c r="I122" s="184">
        <f>NORMDIST(I119,$K$27,$H$30,1)</f>
        <v>3.0512915279998908E-2</v>
      </c>
      <c r="J122" s="184">
        <f>NORMDIST(J119,$K$27,$H$30,1)</f>
        <v>0.10051770276483209</v>
      </c>
      <c r="K122" s="184">
        <f t="shared" ref="K122:O122" si="63">NORMDIST(K119,$K$27,$H$30,1)</f>
        <v>0.24701720300251562</v>
      </c>
      <c r="L122" s="184">
        <f t="shared" si="63"/>
        <v>0.46445943430096548</v>
      </c>
      <c r="M122" s="184">
        <f t="shared" si="63"/>
        <v>0.69339470371812595</v>
      </c>
      <c r="N122" s="184">
        <f t="shared" si="63"/>
        <v>0.86437683209009741</v>
      </c>
      <c r="O122" s="186">
        <f t="shared" si="63"/>
        <v>0.95495260881342858</v>
      </c>
      <c r="P122" s="183" t="s">
        <v>77</v>
      </c>
      <c r="Q122" s="181">
        <f>MAX(H123:O123)</f>
        <v>0.23298279699748436</v>
      </c>
    </row>
    <row r="123" spans="7:17" ht="15.75" thickBot="1" x14ac:dyDescent="0.3">
      <c r="G123" s="178" t="s">
        <v>76</v>
      </c>
      <c r="H123" s="187">
        <f>ABS(H121-H122)</f>
        <v>3.3206660303703082E-2</v>
      </c>
      <c r="I123" s="187">
        <f t="shared" ref="I123:O123" si="64">ABS(I121-I122)</f>
        <v>6.9487084720001091E-2</v>
      </c>
      <c r="J123" s="187">
        <f t="shared" si="64"/>
        <v>0.13948229723516792</v>
      </c>
      <c r="K123" s="187">
        <f t="shared" si="64"/>
        <v>0.23298279699748436</v>
      </c>
      <c r="L123" s="187">
        <f t="shared" si="64"/>
        <v>0.20554056569903445</v>
      </c>
      <c r="M123" s="187">
        <f t="shared" si="64"/>
        <v>0.17660529628187394</v>
      </c>
      <c r="N123" s="187">
        <f t="shared" si="64"/>
        <v>8.5623167909902431E-2</v>
      </c>
      <c r="O123" s="188">
        <f t="shared" si="64"/>
        <v>4.5047391186571306E-2</v>
      </c>
      <c r="P123" s="189" t="s">
        <v>78</v>
      </c>
      <c r="Q123" s="190">
        <f>Q122*SQRT(P120)</f>
        <v>2.3298279699748434</v>
      </c>
    </row>
    <row r="129" spans="7:15" x14ac:dyDescent="0.25">
      <c r="G129" t="s">
        <v>80</v>
      </c>
    </row>
    <row r="130" spans="7:15" ht="15.75" thickBot="1" x14ac:dyDescent="0.3"/>
    <row r="131" spans="7:15" x14ac:dyDescent="0.25">
      <c r="G131" s="196" t="s">
        <v>81</v>
      </c>
      <c r="H131" s="196"/>
    </row>
    <row r="132" spans="7:15" x14ac:dyDescent="0.25">
      <c r="G132" s="193" t="s">
        <v>82</v>
      </c>
      <c r="H132" s="193">
        <v>0.65076668666427095</v>
      </c>
    </row>
    <row r="133" spans="7:15" x14ac:dyDescent="0.25">
      <c r="G133" s="193" t="s">
        <v>83</v>
      </c>
      <c r="H133" s="193">
        <v>0.42349728047199342</v>
      </c>
    </row>
    <row r="134" spans="7:15" x14ac:dyDescent="0.25">
      <c r="G134" s="193" t="s">
        <v>84</v>
      </c>
      <c r="H134" s="193">
        <v>0.41761459966048314</v>
      </c>
    </row>
    <row r="135" spans="7:15" x14ac:dyDescent="0.25">
      <c r="G135" s="193" t="s">
        <v>85</v>
      </c>
      <c r="H135" s="193">
        <v>5.2412674065327503</v>
      </c>
    </row>
    <row r="136" spans="7:15" ht="15.75" thickBot="1" x14ac:dyDescent="0.3">
      <c r="G136" s="194" t="s">
        <v>86</v>
      </c>
      <c r="H136" s="194">
        <v>100</v>
      </c>
    </row>
    <row r="138" spans="7:15" ht="15.75" thickBot="1" x14ac:dyDescent="0.3">
      <c r="G138" t="s">
        <v>87</v>
      </c>
    </row>
    <row r="139" spans="7:15" x14ac:dyDescent="0.25">
      <c r="G139" s="195"/>
      <c r="H139" s="195" t="s">
        <v>92</v>
      </c>
      <c r="I139" s="195" t="s">
        <v>93</v>
      </c>
      <c r="J139" s="195" t="s">
        <v>94</v>
      </c>
      <c r="K139" s="195" t="s">
        <v>95</v>
      </c>
      <c r="L139" s="195" t="s">
        <v>96</v>
      </c>
    </row>
    <row r="140" spans="7:15" x14ac:dyDescent="0.25">
      <c r="G140" s="193" t="s">
        <v>88</v>
      </c>
      <c r="H140" s="193">
        <v>1</v>
      </c>
      <c r="I140" s="193">
        <v>1977.6433653753093</v>
      </c>
      <c r="J140" s="193">
        <v>1977.6433653753093</v>
      </c>
      <c r="K140" s="193">
        <v>71.990525075466095</v>
      </c>
      <c r="L140" s="193">
        <v>2.3191741026764189E-13</v>
      </c>
    </row>
    <row r="141" spans="7:15" x14ac:dyDescent="0.25">
      <c r="G141" s="193" t="s">
        <v>89</v>
      </c>
      <c r="H141" s="193">
        <v>98</v>
      </c>
      <c r="I141" s="193">
        <v>2692.1466346246889</v>
      </c>
      <c r="J141" s="193">
        <v>27.470884026782539</v>
      </c>
      <c r="K141" s="193"/>
      <c r="L141" s="193"/>
    </row>
    <row r="142" spans="7:15" ht="15.75" thickBot="1" x14ac:dyDescent="0.3">
      <c r="G142" s="194" t="s">
        <v>90</v>
      </c>
      <c r="H142" s="194">
        <v>99</v>
      </c>
      <c r="I142" s="194">
        <v>4669.7899999999981</v>
      </c>
      <c r="J142" s="194"/>
      <c r="K142" s="194"/>
      <c r="L142" s="194"/>
    </row>
    <row r="143" spans="7:15" ht="15.75" thickBot="1" x14ac:dyDescent="0.3"/>
    <row r="144" spans="7:15" x14ac:dyDescent="0.25">
      <c r="G144" s="195"/>
      <c r="H144" s="195" t="s">
        <v>97</v>
      </c>
      <c r="I144" s="195" t="s">
        <v>85</v>
      </c>
      <c r="J144" s="195" t="s">
        <v>98</v>
      </c>
      <c r="K144" s="195" t="s">
        <v>99</v>
      </c>
      <c r="L144" s="195" t="s">
        <v>100</v>
      </c>
      <c r="M144" s="195" t="s">
        <v>101</v>
      </c>
      <c r="N144" s="195" t="s">
        <v>102</v>
      </c>
      <c r="O144" s="195" t="s">
        <v>103</v>
      </c>
    </row>
    <row r="145" spans="5:16" x14ac:dyDescent="0.25">
      <c r="G145" s="193" t="s">
        <v>91</v>
      </c>
      <c r="H145" s="193">
        <v>-83.305788066297239</v>
      </c>
      <c r="I145" s="193">
        <v>17.415149803088777</v>
      </c>
      <c r="J145" s="193">
        <v>-4.7835240585482648</v>
      </c>
      <c r="K145" s="193">
        <v>6.0817272561656868E-6</v>
      </c>
      <c r="L145" s="193">
        <v>-117.86558606591666</v>
      </c>
      <c r="M145" s="193">
        <v>-48.74599006667782</v>
      </c>
      <c r="N145" s="193">
        <v>-117.86558606591666</v>
      </c>
      <c r="O145" s="193">
        <v>-48.74599006667782</v>
      </c>
    </row>
    <row r="146" spans="5:16" ht="15.75" thickBot="1" x14ac:dyDescent="0.3">
      <c r="G146" s="194" t="s">
        <v>104</v>
      </c>
      <c r="H146" s="194">
        <v>0.87481957037432456</v>
      </c>
      <c r="I146" s="194">
        <v>0.10310525943977222</v>
      </c>
      <c r="J146" s="194">
        <v>8.4847230405868928</v>
      </c>
      <c r="K146" s="194">
        <v>2.3191741026764189E-13</v>
      </c>
      <c r="L146" s="194">
        <v>0.67021053862744351</v>
      </c>
      <c r="M146" s="194">
        <v>1.0794286021212056</v>
      </c>
      <c r="N146" s="194">
        <v>0.67021053862744351</v>
      </c>
      <c r="O146" s="194">
        <v>1.0794286021212056</v>
      </c>
    </row>
    <row r="150" spans="5:16" x14ac:dyDescent="0.25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5:16" x14ac:dyDescent="0.25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5:16" x14ac:dyDescent="0.25">
      <c r="E152" s="35"/>
      <c r="F152" s="35"/>
      <c r="G152" s="197"/>
      <c r="H152" s="197"/>
      <c r="I152" s="35"/>
      <c r="J152" s="35"/>
      <c r="K152" s="35"/>
      <c r="L152" s="35"/>
      <c r="M152" s="35"/>
      <c r="N152" s="35"/>
      <c r="O152" s="35"/>
      <c r="P152" s="35"/>
    </row>
    <row r="153" spans="5:16" x14ac:dyDescent="0.25">
      <c r="E153" s="35"/>
      <c r="F153" s="35"/>
      <c r="G153" s="193"/>
      <c r="H153" s="193"/>
      <c r="I153" s="35"/>
      <c r="J153" s="35"/>
      <c r="K153" s="35"/>
      <c r="L153" s="35"/>
      <c r="M153" s="35"/>
      <c r="N153" s="35"/>
      <c r="O153" s="35"/>
      <c r="P153" s="35"/>
    </row>
    <row r="154" spans="5:16" x14ac:dyDescent="0.25">
      <c r="E154" s="35"/>
      <c r="F154" s="35"/>
      <c r="G154" s="193"/>
      <c r="H154" s="193"/>
      <c r="I154" s="35"/>
      <c r="J154" s="35"/>
      <c r="K154" s="35"/>
      <c r="L154" s="35"/>
      <c r="M154" s="35"/>
      <c r="N154" s="35"/>
      <c r="O154" s="35"/>
      <c r="P154" s="35"/>
    </row>
    <row r="155" spans="5:16" x14ac:dyDescent="0.25">
      <c r="E155" s="35"/>
      <c r="F155" s="35"/>
      <c r="G155" s="193"/>
      <c r="H155" s="193"/>
      <c r="I155" s="35"/>
      <c r="J155" s="35"/>
      <c r="K155" s="35"/>
      <c r="L155" s="35"/>
      <c r="M155" s="35"/>
      <c r="N155" s="35"/>
      <c r="O155" s="35"/>
      <c r="P155" s="35"/>
    </row>
    <row r="156" spans="5:16" x14ac:dyDescent="0.25">
      <c r="E156" s="35"/>
      <c r="F156" s="35"/>
      <c r="G156" s="193"/>
      <c r="H156" s="193"/>
      <c r="I156" s="35"/>
      <c r="J156" s="35"/>
      <c r="K156" s="35"/>
      <c r="L156" s="35"/>
      <c r="M156" s="35"/>
      <c r="N156" s="35"/>
      <c r="O156" s="35"/>
      <c r="P156" s="35"/>
    </row>
    <row r="157" spans="5:16" x14ac:dyDescent="0.25">
      <c r="E157" s="35"/>
      <c r="F157" s="35"/>
      <c r="G157" s="193"/>
      <c r="H157" s="193"/>
      <c r="I157" s="35"/>
      <c r="J157" s="35"/>
      <c r="K157" s="35"/>
      <c r="L157" s="35"/>
      <c r="M157" s="35"/>
      <c r="N157" s="35"/>
      <c r="O157" s="35"/>
      <c r="P157" s="35"/>
    </row>
    <row r="158" spans="5:16" x14ac:dyDescent="0.25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5:16" x14ac:dyDescent="0.25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5:16" x14ac:dyDescent="0.25">
      <c r="E160" s="35"/>
      <c r="F160" s="35"/>
      <c r="G160" s="198"/>
      <c r="H160" s="198"/>
      <c r="I160" s="198"/>
      <c r="J160" s="198"/>
      <c r="K160" s="198"/>
      <c r="L160" s="198"/>
      <c r="M160" s="35"/>
      <c r="N160" s="35"/>
      <c r="O160" s="35"/>
      <c r="P160" s="35"/>
    </row>
    <row r="161" spans="5:16" x14ac:dyDescent="0.25">
      <c r="E161" s="35"/>
      <c r="F161" s="35"/>
      <c r="G161" s="193"/>
      <c r="H161" s="193"/>
      <c r="I161" s="193"/>
      <c r="J161" s="193"/>
      <c r="K161" s="193"/>
      <c r="L161" s="193"/>
      <c r="M161" s="35"/>
      <c r="N161" s="35"/>
      <c r="O161" s="35"/>
      <c r="P161" s="35"/>
    </row>
    <row r="162" spans="5:16" x14ac:dyDescent="0.25">
      <c r="E162" s="35"/>
      <c r="F162" s="35"/>
      <c r="G162" s="193"/>
      <c r="H162" s="193"/>
      <c r="I162" s="193"/>
      <c r="J162" s="193"/>
      <c r="K162" s="193"/>
      <c r="L162" s="193"/>
      <c r="M162" s="35"/>
      <c r="N162" s="35"/>
      <c r="O162" s="35"/>
      <c r="P162" s="35"/>
    </row>
    <row r="163" spans="5:16" x14ac:dyDescent="0.25">
      <c r="E163" s="35"/>
      <c r="F163" s="35"/>
      <c r="G163" s="193"/>
      <c r="H163" s="193"/>
      <c r="I163" s="193"/>
      <c r="J163" s="193"/>
      <c r="K163" s="193"/>
      <c r="L163" s="193"/>
      <c r="M163" s="35"/>
      <c r="N163" s="35"/>
      <c r="O163" s="35"/>
      <c r="P163" s="35"/>
    </row>
    <row r="164" spans="5:16" x14ac:dyDescent="0.25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5:16" x14ac:dyDescent="0.25">
      <c r="E165" s="35"/>
      <c r="F165" s="35"/>
      <c r="G165" s="198"/>
      <c r="H165" s="198"/>
      <c r="I165" s="198"/>
      <c r="J165" s="198"/>
      <c r="K165" s="198"/>
      <c r="L165" s="198"/>
      <c r="M165" s="198"/>
      <c r="N165" s="198"/>
      <c r="O165" s="198"/>
      <c r="P165" s="35"/>
    </row>
    <row r="166" spans="5:16" x14ac:dyDescent="0.25">
      <c r="E166" s="35"/>
      <c r="F166" s="35"/>
      <c r="G166" s="193"/>
      <c r="H166" s="193"/>
      <c r="I166" s="193"/>
      <c r="J166" s="193"/>
      <c r="K166" s="193"/>
      <c r="L166" s="193"/>
      <c r="M166" s="193"/>
      <c r="N166" s="193"/>
      <c r="O166" s="193"/>
      <c r="P166" s="35"/>
    </row>
    <row r="167" spans="5:16" x14ac:dyDescent="0.25">
      <c r="E167" s="35"/>
      <c r="F167" s="35"/>
      <c r="G167" s="193"/>
      <c r="H167" s="193"/>
      <c r="I167" s="193"/>
      <c r="J167" s="193"/>
      <c r="K167" s="193"/>
      <c r="L167" s="193"/>
      <c r="M167" s="193"/>
      <c r="N167" s="193"/>
      <c r="O167" s="193"/>
      <c r="P167" s="35"/>
    </row>
    <row r="168" spans="5:16" x14ac:dyDescent="0.25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5:16" x14ac:dyDescent="0.25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</sheetData>
  <sortState ref="T2:T101">
    <sortCondition ref="T2"/>
  </sortState>
  <mergeCells count="7">
    <mergeCell ref="Y52:AA52"/>
    <mergeCell ref="H118:K118"/>
    <mergeCell ref="G113:I113"/>
    <mergeCell ref="L1:M1"/>
    <mergeCell ref="H105:K105"/>
    <mergeCell ref="H97:K97"/>
    <mergeCell ref="G63:I6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zoomScale="80" zoomScaleNormal="80" workbookViewId="0">
      <selection activeCell="K62" sqref="K62"/>
    </sheetView>
  </sheetViews>
  <sheetFormatPr defaultRowHeight="15" x14ac:dyDescent="0.25"/>
  <cols>
    <col min="1" max="1" width="12.42578125" customWidth="1"/>
    <col min="2" max="2" width="11.5703125" customWidth="1"/>
    <col min="4" max="4" width="12" customWidth="1"/>
    <col min="5" max="5" width="17.140625" customWidth="1"/>
    <col min="7" max="7" width="13.28515625" customWidth="1"/>
    <col min="8" max="8" width="13.42578125" customWidth="1"/>
    <col min="9" max="9" width="14.140625" customWidth="1"/>
  </cols>
  <sheetData>
    <row r="1" spans="1:40" ht="15.75" thickBot="1" x14ac:dyDescent="0.3">
      <c r="A1" s="286" t="s">
        <v>116</v>
      </c>
      <c r="B1" s="286"/>
      <c r="C1" s="286"/>
      <c r="E1" s="61"/>
      <c r="F1" s="208">
        <v>60.664900000000003</v>
      </c>
    </row>
    <row r="2" spans="1:40" ht="15.75" thickBot="1" x14ac:dyDescent="0.3">
      <c r="A2" s="163" t="s">
        <v>117</v>
      </c>
      <c r="B2" s="164" t="s">
        <v>118</v>
      </c>
      <c r="C2" s="215" t="s">
        <v>119</v>
      </c>
      <c r="D2" s="215" t="s">
        <v>117</v>
      </c>
      <c r="E2" s="215" t="s">
        <v>120</v>
      </c>
      <c r="F2" s="216">
        <v>1</v>
      </c>
      <c r="G2" s="216">
        <v>2</v>
      </c>
      <c r="H2" s="216">
        <v>3</v>
      </c>
      <c r="I2" s="216">
        <v>4</v>
      </c>
      <c r="J2" s="216">
        <v>5</v>
      </c>
      <c r="K2" s="216">
        <v>6</v>
      </c>
      <c r="L2" s="216">
        <v>7</v>
      </c>
      <c r="M2" s="216">
        <v>8</v>
      </c>
      <c r="N2" s="216">
        <v>9</v>
      </c>
      <c r="O2" s="216">
        <v>10</v>
      </c>
      <c r="P2" s="216">
        <v>11</v>
      </c>
      <c r="Q2" s="216">
        <v>12</v>
      </c>
      <c r="R2" s="216">
        <v>13</v>
      </c>
      <c r="S2" s="216">
        <v>14</v>
      </c>
      <c r="T2" s="216">
        <v>15</v>
      </c>
      <c r="U2" s="216">
        <v>16</v>
      </c>
      <c r="V2" s="216">
        <v>17</v>
      </c>
      <c r="W2" s="216">
        <v>18</v>
      </c>
      <c r="X2" s="216">
        <v>19</v>
      </c>
      <c r="Y2" s="216">
        <v>20</v>
      </c>
      <c r="Z2" s="216">
        <v>21</v>
      </c>
      <c r="AA2" s="216">
        <v>22</v>
      </c>
      <c r="AB2" s="216">
        <v>23</v>
      </c>
      <c r="AC2" s="216">
        <v>24</v>
      </c>
      <c r="AD2" s="216">
        <v>25</v>
      </c>
      <c r="AE2" s="216">
        <v>26</v>
      </c>
      <c r="AF2" s="216">
        <v>27</v>
      </c>
      <c r="AG2" s="216">
        <v>28</v>
      </c>
      <c r="AH2" s="216">
        <v>29</v>
      </c>
      <c r="AI2" s="216">
        <v>30</v>
      </c>
      <c r="AJ2" s="217">
        <v>31</v>
      </c>
      <c r="AK2" s="209"/>
      <c r="AL2" s="209"/>
      <c r="AM2" s="209"/>
      <c r="AN2" s="35"/>
    </row>
    <row r="3" spans="1:40" ht="15.75" x14ac:dyDescent="0.25">
      <c r="A3" s="226">
        <v>43070</v>
      </c>
      <c r="B3" s="225">
        <v>58.716999999999999</v>
      </c>
      <c r="C3" s="211">
        <f ca="1">OFFSET($B$35,(ROW($B$3)-ROW()),)</f>
        <v>52.363</v>
      </c>
      <c r="D3" s="212">
        <f ca="1">OFFSET($A$35,(ROW($A$3)-ROW()),)</f>
        <v>42095</v>
      </c>
      <c r="E3" s="208">
        <f ca="1">C3</f>
        <v>52.363</v>
      </c>
    </row>
    <row r="4" spans="1:40" ht="15.75" x14ac:dyDescent="0.25">
      <c r="A4" s="226">
        <v>43040</v>
      </c>
      <c r="B4" s="225">
        <v>59.006100000000004</v>
      </c>
      <c r="C4" s="211">
        <f t="shared" ref="C4:C35" ca="1" si="0">OFFSET($B$35,(ROW($B$3)-ROW()),)</f>
        <v>50.341900000000003</v>
      </c>
      <c r="D4" s="212">
        <f t="shared" ref="D4:D35" ca="1" si="1">OFFSET($A$35,(ROW($A$3)-ROW()),)</f>
        <v>42125</v>
      </c>
      <c r="E4" s="208">
        <f t="shared" ref="E4:E35" ca="1" si="2">C4</f>
        <v>50.341900000000003</v>
      </c>
      <c r="F4">
        <f ca="1">E3</f>
        <v>52.363</v>
      </c>
    </row>
    <row r="5" spans="1:40" ht="15.75" x14ac:dyDescent="0.25">
      <c r="A5" s="226">
        <v>43009</v>
      </c>
      <c r="B5" s="225">
        <v>57.686900000000001</v>
      </c>
      <c r="C5" s="211">
        <f t="shared" ca="1" si="0"/>
        <v>54.368299999999998</v>
      </c>
      <c r="D5" s="212">
        <f t="shared" ca="1" si="1"/>
        <v>42156</v>
      </c>
      <c r="E5" s="208">
        <f t="shared" ca="1" si="2"/>
        <v>54.368299999999998</v>
      </c>
      <c r="F5">
        <f t="shared" ref="F5:U32" ca="1" si="3">E4</f>
        <v>50.341900000000003</v>
      </c>
      <c r="G5">
        <f ca="1">F4</f>
        <v>52.363</v>
      </c>
    </row>
    <row r="6" spans="1:40" ht="15.75" x14ac:dyDescent="0.25">
      <c r="A6" s="226">
        <v>42979</v>
      </c>
      <c r="B6" s="225">
        <v>57.719200000000001</v>
      </c>
      <c r="C6" s="211">
        <f t="shared" ca="1" si="0"/>
        <v>56.977400000000003</v>
      </c>
      <c r="D6" s="212">
        <f t="shared" ca="1" si="1"/>
        <v>42186</v>
      </c>
      <c r="E6" s="208">
        <f t="shared" ca="1" si="2"/>
        <v>56.977400000000003</v>
      </c>
      <c r="F6">
        <f t="shared" ca="1" si="3"/>
        <v>54.368299999999998</v>
      </c>
      <c r="G6">
        <f t="shared" ca="1" si="3"/>
        <v>50.341900000000003</v>
      </c>
      <c r="H6">
        <f ca="1">G5</f>
        <v>52.363</v>
      </c>
    </row>
    <row r="7" spans="1:40" ht="15.75" x14ac:dyDescent="0.25">
      <c r="A7" s="226">
        <v>42948</v>
      </c>
      <c r="B7" s="225">
        <v>59.798999999999999</v>
      </c>
      <c r="C7" s="211">
        <f t="shared" ca="1" si="0"/>
        <v>65.016900000000007</v>
      </c>
      <c r="D7" s="212">
        <f t="shared" ca="1" si="1"/>
        <v>42217</v>
      </c>
      <c r="E7" s="208">
        <f t="shared" ca="1" si="2"/>
        <v>65.016900000000007</v>
      </c>
      <c r="F7">
        <f t="shared" ca="1" si="3"/>
        <v>56.977400000000003</v>
      </c>
      <c r="G7">
        <f t="shared" ca="1" si="3"/>
        <v>54.368299999999998</v>
      </c>
      <c r="H7">
        <f t="shared" ca="1" si="3"/>
        <v>50.341900000000003</v>
      </c>
      <c r="I7">
        <f ca="1">H6</f>
        <v>52.363</v>
      </c>
    </row>
    <row r="8" spans="1:40" ht="15.75" x14ac:dyDescent="0.25">
      <c r="A8" s="226">
        <v>42917</v>
      </c>
      <c r="B8" s="225">
        <v>59.578699999999998</v>
      </c>
      <c r="C8" s="211">
        <f t="shared" ca="1" si="0"/>
        <v>66.595399999999998</v>
      </c>
      <c r="D8" s="212">
        <f t="shared" ca="1" si="1"/>
        <v>42248</v>
      </c>
      <c r="E8" s="208">
        <f t="shared" ca="1" si="2"/>
        <v>66.595399999999998</v>
      </c>
      <c r="F8">
        <f t="shared" ca="1" si="3"/>
        <v>65.016900000000007</v>
      </c>
      <c r="G8">
        <f t="shared" ca="1" si="3"/>
        <v>56.977400000000003</v>
      </c>
      <c r="H8">
        <f t="shared" ca="1" si="3"/>
        <v>54.368299999999998</v>
      </c>
      <c r="I8">
        <f t="shared" ca="1" si="3"/>
        <v>50.341900000000003</v>
      </c>
      <c r="J8">
        <f ca="1">I7</f>
        <v>52.363</v>
      </c>
    </row>
    <row r="9" spans="1:40" ht="15.75" x14ac:dyDescent="0.25">
      <c r="A9" s="226">
        <v>42887</v>
      </c>
      <c r="B9" s="225">
        <v>57.4437</v>
      </c>
      <c r="C9" s="211">
        <f t="shared" ca="1" si="0"/>
        <v>62.706099999999999</v>
      </c>
      <c r="D9" s="212">
        <f t="shared" ca="1" si="1"/>
        <v>42278</v>
      </c>
      <c r="E9" s="208">
        <f t="shared" ca="1" si="2"/>
        <v>62.706099999999999</v>
      </c>
      <c r="F9">
        <f t="shared" ca="1" si="3"/>
        <v>66.595399999999998</v>
      </c>
      <c r="G9">
        <f t="shared" ca="1" si="3"/>
        <v>65.016900000000007</v>
      </c>
      <c r="H9">
        <f t="shared" ca="1" si="3"/>
        <v>56.977400000000003</v>
      </c>
      <c r="I9">
        <f t="shared" ca="1" si="3"/>
        <v>54.368299999999998</v>
      </c>
      <c r="J9">
        <f t="shared" ca="1" si="3"/>
        <v>50.341900000000003</v>
      </c>
      <c r="K9">
        <f ca="1">J8</f>
        <v>52.363</v>
      </c>
    </row>
    <row r="10" spans="1:40" ht="15.75" x14ac:dyDescent="0.25">
      <c r="A10" s="226">
        <v>42856</v>
      </c>
      <c r="B10" s="225">
        <v>56.756</v>
      </c>
      <c r="C10" s="211">
        <f t="shared" ca="1" si="0"/>
        <v>64.912000000000006</v>
      </c>
      <c r="D10" s="212">
        <f t="shared" ca="1" si="1"/>
        <v>42309</v>
      </c>
      <c r="E10" s="208">
        <f t="shared" ca="1" si="2"/>
        <v>64.912000000000006</v>
      </c>
      <c r="F10">
        <f t="shared" ca="1" si="3"/>
        <v>62.706099999999999</v>
      </c>
      <c r="G10">
        <f t="shared" ca="1" si="3"/>
        <v>66.595399999999998</v>
      </c>
      <c r="H10">
        <f t="shared" ca="1" si="3"/>
        <v>65.016900000000007</v>
      </c>
      <c r="I10">
        <f t="shared" ca="1" si="3"/>
        <v>56.977400000000003</v>
      </c>
      <c r="J10">
        <f t="shared" ca="1" si="3"/>
        <v>54.368299999999998</v>
      </c>
      <c r="K10">
        <f t="shared" ca="1" si="3"/>
        <v>50.341900000000003</v>
      </c>
      <c r="L10">
        <f ca="1">K9</f>
        <v>52.363</v>
      </c>
    </row>
    <row r="11" spans="1:40" ht="15.75" x14ac:dyDescent="0.25">
      <c r="A11" s="226">
        <v>42826</v>
      </c>
      <c r="B11" s="225">
        <v>56.313099999999999</v>
      </c>
      <c r="C11" s="211">
        <f t="shared" ca="1" si="0"/>
        <v>70.224400000000003</v>
      </c>
      <c r="D11" s="212">
        <f t="shared" ca="1" si="1"/>
        <v>42339</v>
      </c>
      <c r="E11" s="208">
        <f t="shared" ca="1" si="2"/>
        <v>70.224400000000003</v>
      </c>
      <c r="F11">
        <f t="shared" ca="1" si="3"/>
        <v>64.912000000000006</v>
      </c>
      <c r="G11">
        <f t="shared" ca="1" si="3"/>
        <v>62.706099999999999</v>
      </c>
      <c r="H11">
        <f t="shared" ca="1" si="3"/>
        <v>66.595399999999998</v>
      </c>
      <c r="I11">
        <f t="shared" ca="1" si="3"/>
        <v>65.016900000000007</v>
      </c>
      <c r="J11">
        <f t="shared" ca="1" si="3"/>
        <v>56.977400000000003</v>
      </c>
      <c r="K11">
        <f t="shared" ca="1" si="3"/>
        <v>54.368299999999998</v>
      </c>
      <c r="L11">
        <f t="shared" ca="1" si="3"/>
        <v>50.341900000000003</v>
      </c>
      <c r="M11">
        <f ca="1">L10</f>
        <v>52.363</v>
      </c>
    </row>
    <row r="12" spans="1:40" ht="15.75" x14ac:dyDescent="0.25">
      <c r="A12" s="226">
        <v>42795</v>
      </c>
      <c r="B12" s="225">
        <v>58.243699999999997</v>
      </c>
      <c r="C12" s="211">
        <f t="shared" ca="1" si="0"/>
        <v>76.584500000000006</v>
      </c>
      <c r="D12" s="212">
        <f t="shared" ca="1" si="1"/>
        <v>42370</v>
      </c>
      <c r="E12" s="208">
        <f t="shared" ca="1" si="2"/>
        <v>76.584500000000006</v>
      </c>
      <c r="F12">
        <f t="shared" ca="1" si="3"/>
        <v>70.224400000000003</v>
      </c>
      <c r="G12">
        <f t="shared" ca="1" si="3"/>
        <v>64.912000000000006</v>
      </c>
      <c r="H12">
        <f t="shared" ca="1" si="3"/>
        <v>62.706099999999999</v>
      </c>
      <c r="I12">
        <f t="shared" ca="1" si="3"/>
        <v>66.595399999999998</v>
      </c>
      <c r="J12">
        <f t="shared" ca="1" si="3"/>
        <v>65.016900000000007</v>
      </c>
      <c r="K12">
        <f t="shared" ca="1" si="3"/>
        <v>56.977400000000003</v>
      </c>
      <c r="L12">
        <f t="shared" ca="1" si="3"/>
        <v>54.368299999999998</v>
      </c>
      <c r="M12">
        <f t="shared" ca="1" si="3"/>
        <v>50.341900000000003</v>
      </c>
      <c r="N12">
        <f ca="1">M11</f>
        <v>52.363</v>
      </c>
    </row>
    <row r="13" spans="1:40" ht="15.75" x14ac:dyDescent="0.25">
      <c r="A13" s="226">
        <v>42767</v>
      </c>
      <c r="B13" s="225">
        <v>58.096699999999998</v>
      </c>
      <c r="C13" s="211">
        <f t="shared" ca="1" si="0"/>
        <v>77.132599999999996</v>
      </c>
      <c r="D13" s="212">
        <f t="shared" ca="1" si="1"/>
        <v>42401</v>
      </c>
      <c r="E13" s="208">
        <f t="shared" ca="1" si="2"/>
        <v>77.132599999999996</v>
      </c>
      <c r="F13">
        <f t="shared" ca="1" si="3"/>
        <v>76.584500000000006</v>
      </c>
      <c r="G13">
        <f t="shared" ca="1" si="3"/>
        <v>70.224400000000003</v>
      </c>
      <c r="H13">
        <f t="shared" ca="1" si="3"/>
        <v>64.912000000000006</v>
      </c>
      <c r="I13">
        <f t="shared" ca="1" si="3"/>
        <v>62.706099999999999</v>
      </c>
      <c r="J13">
        <f t="shared" ca="1" si="3"/>
        <v>66.595399999999998</v>
      </c>
      <c r="K13">
        <f t="shared" ca="1" si="3"/>
        <v>65.016900000000007</v>
      </c>
      <c r="L13">
        <f t="shared" ca="1" si="3"/>
        <v>56.977400000000003</v>
      </c>
      <c r="M13">
        <f t="shared" ca="1" si="3"/>
        <v>54.368299999999998</v>
      </c>
      <c r="N13">
        <f t="shared" ca="1" si="3"/>
        <v>50.341900000000003</v>
      </c>
      <c r="O13">
        <f ca="1">N12</f>
        <v>52.363</v>
      </c>
    </row>
    <row r="14" spans="1:40" ht="15.75" x14ac:dyDescent="0.25">
      <c r="A14" s="226">
        <v>42736</v>
      </c>
      <c r="B14" s="225">
        <v>59.6526</v>
      </c>
      <c r="C14" s="211">
        <f t="shared" ca="1" si="0"/>
        <v>70.230500000000006</v>
      </c>
      <c r="D14" s="212">
        <f t="shared" ca="1" si="1"/>
        <v>42430</v>
      </c>
      <c r="E14" s="208">
        <f t="shared" ca="1" si="2"/>
        <v>70.230500000000006</v>
      </c>
      <c r="F14">
        <f t="shared" ca="1" si="3"/>
        <v>77.132599999999996</v>
      </c>
      <c r="G14">
        <f t="shared" ca="1" si="3"/>
        <v>76.584500000000006</v>
      </c>
      <c r="H14">
        <f t="shared" ca="1" si="3"/>
        <v>70.224400000000003</v>
      </c>
      <c r="I14">
        <f t="shared" ca="1" si="3"/>
        <v>64.912000000000006</v>
      </c>
      <c r="J14">
        <f t="shared" ca="1" si="3"/>
        <v>62.706099999999999</v>
      </c>
      <c r="K14">
        <f t="shared" ca="1" si="3"/>
        <v>66.595399999999998</v>
      </c>
      <c r="L14">
        <f t="shared" ca="1" si="3"/>
        <v>65.016900000000007</v>
      </c>
      <c r="M14">
        <f t="shared" ca="1" si="3"/>
        <v>56.977400000000003</v>
      </c>
      <c r="N14">
        <f t="shared" ca="1" si="3"/>
        <v>54.368299999999998</v>
      </c>
      <c r="O14">
        <f t="shared" ca="1" si="3"/>
        <v>50.341900000000003</v>
      </c>
      <c r="P14">
        <f ca="1">O13</f>
        <v>52.363</v>
      </c>
    </row>
    <row r="15" spans="1:40" ht="15.75" x14ac:dyDescent="0.25">
      <c r="A15" s="226">
        <v>42705</v>
      </c>
      <c r="B15" s="225">
        <v>61.636800000000001</v>
      </c>
      <c r="C15" s="211">
        <f t="shared" ca="1" si="0"/>
        <v>66.4756</v>
      </c>
      <c r="D15" s="212">
        <f t="shared" ca="1" si="1"/>
        <v>42461</v>
      </c>
      <c r="E15" s="208">
        <f t="shared" ca="1" si="2"/>
        <v>66.4756</v>
      </c>
      <c r="F15">
        <f t="shared" ca="1" si="3"/>
        <v>70.230500000000006</v>
      </c>
      <c r="G15">
        <f t="shared" ca="1" si="3"/>
        <v>77.132599999999996</v>
      </c>
      <c r="H15">
        <f t="shared" ca="1" si="3"/>
        <v>76.584500000000006</v>
      </c>
      <c r="I15">
        <f t="shared" ca="1" si="3"/>
        <v>70.224400000000003</v>
      </c>
      <c r="J15">
        <f t="shared" ca="1" si="3"/>
        <v>64.912000000000006</v>
      </c>
      <c r="K15">
        <f t="shared" ca="1" si="3"/>
        <v>62.706099999999999</v>
      </c>
      <c r="L15">
        <f t="shared" ca="1" si="3"/>
        <v>66.595399999999998</v>
      </c>
      <c r="M15">
        <f t="shared" ca="1" si="3"/>
        <v>65.016900000000007</v>
      </c>
      <c r="N15">
        <f t="shared" ca="1" si="3"/>
        <v>56.977400000000003</v>
      </c>
      <c r="O15">
        <f t="shared" ca="1" si="3"/>
        <v>54.368299999999998</v>
      </c>
      <c r="P15">
        <f t="shared" ca="1" si="3"/>
        <v>50.341900000000003</v>
      </c>
      <c r="Q15">
        <f ca="1">P14</f>
        <v>52.363</v>
      </c>
    </row>
    <row r="16" spans="1:40" ht="15.75" x14ac:dyDescent="0.25">
      <c r="A16" s="226">
        <v>42675</v>
      </c>
      <c r="B16" s="225">
        <v>64.183300000000003</v>
      </c>
      <c r="C16" s="211">
        <f t="shared" ca="1" si="0"/>
        <v>65.968100000000007</v>
      </c>
      <c r="D16" s="212">
        <f t="shared" ca="1" si="1"/>
        <v>42491</v>
      </c>
      <c r="E16" s="208">
        <f t="shared" ca="1" si="2"/>
        <v>65.968100000000007</v>
      </c>
      <c r="F16">
        <f t="shared" ca="1" si="3"/>
        <v>66.4756</v>
      </c>
      <c r="G16">
        <f t="shared" ca="1" si="3"/>
        <v>70.230500000000006</v>
      </c>
      <c r="H16">
        <f t="shared" ca="1" si="3"/>
        <v>77.132599999999996</v>
      </c>
      <c r="I16">
        <f t="shared" ca="1" si="3"/>
        <v>76.584500000000006</v>
      </c>
      <c r="J16">
        <f t="shared" ca="1" si="3"/>
        <v>70.224400000000003</v>
      </c>
      <c r="K16">
        <f t="shared" ca="1" si="3"/>
        <v>64.912000000000006</v>
      </c>
      <c r="L16">
        <f t="shared" ca="1" si="3"/>
        <v>62.706099999999999</v>
      </c>
      <c r="M16">
        <f t="shared" ca="1" si="3"/>
        <v>66.595399999999998</v>
      </c>
      <c r="N16">
        <f t="shared" ca="1" si="3"/>
        <v>65.016900000000007</v>
      </c>
      <c r="O16">
        <f t="shared" ca="1" si="3"/>
        <v>56.977400000000003</v>
      </c>
      <c r="P16">
        <f t="shared" ca="1" si="3"/>
        <v>54.368299999999998</v>
      </c>
      <c r="Q16">
        <f t="shared" ca="1" si="3"/>
        <v>50.341900000000003</v>
      </c>
      <c r="R16">
        <f ca="1">Q15</f>
        <v>52.363</v>
      </c>
    </row>
    <row r="17" spans="1:34" ht="15.75" x14ac:dyDescent="0.25">
      <c r="A17" s="226">
        <v>42644</v>
      </c>
      <c r="B17" s="225">
        <v>62.458300000000001</v>
      </c>
      <c r="C17" s="211">
        <f t="shared" ca="1" si="0"/>
        <v>65.133899999999997</v>
      </c>
      <c r="D17" s="212">
        <f t="shared" ca="1" si="1"/>
        <v>42522</v>
      </c>
      <c r="E17" s="208">
        <f t="shared" ca="1" si="2"/>
        <v>65.133899999999997</v>
      </c>
      <c r="F17">
        <f t="shared" ca="1" si="3"/>
        <v>65.968100000000007</v>
      </c>
      <c r="G17">
        <f t="shared" ca="1" si="3"/>
        <v>66.4756</v>
      </c>
      <c r="H17">
        <f t="shared" ca="1" si="3"/>
        <v>70.230500000000006</v>
      </c>
      <c r="I17">
        <f t="shared" ca="1" si="3"/>
        <v>77.132599999999996</v>
      </c>
      <c r="J17">
        <f t="shared" ca="1" si="3"/>
        <v>76.584500000000006</v>
      </c>
      <c r="K17">
        <f t="shared" ca="1" si="3"/>
        <v>70.224400000000003</v>
      </c>
      <c r="L17">
        <f t="shared" ca="1" si="3"/>
        <v>64.912000000000006</v>
      </c>
      <c r="M17">
        <f t="shared" ca="1" si="3"/>
        <v>62.706099999999999</v>
      </c>
      <c r="N17">
        <f t="shared" ca="1" si="3"/>
        <v>66.595399999999998</v>
      </c>
      <c r="O17">
        <f t="shared" ca="1" si="3"/>
        <v>65.016900000000007</v>
      </c>
      <c r="P17">
        <f t="shared" ca="1" si="3"/>
        <v>56.977400000000003</v>
      </c>
      <c r="Q17">
        <f t="shared" ca="1" si="3"/>
        <v>54.368299999999998</v>
      </c>
      <c r="R17">
        <f t="shared" ca="1" si="3"/>
        <v>50.341900000000003</v>
      </c>
      <c r="S17">
        <f ca="1">R16</f>
        <v>52.363</v>
      </c>
    </row>
    <row r="18" spans="1:34" ht="15.75" x14ac:dyDescent="0.25">
      <c r="A18" s="226">
        <v>42614</v>
      </c>
      <c r="B18" s="225">
        <v>64.757900000000006</v>
      </c>
      <c r="C18" s="211">
        <f t="shared" ca="1" si="0"/>
        <v>64.112700000000004</v>
      </c>
      <c r="D18" s="212">
        <f t="shared" ca="1" si="1"/>
        <v>42552</v>
      </c>
      <c r="E18" s="208">
        <f t="shared" ca="1" si="2"/>
        <v>64.112700000000004</v>
      </c>
      <c r="F18">
        <f t="shared" ca="1" si="3"/>
        <v>65.133899999999997</v>
      </c>
      <c r="G18">
        <f t="shared" ca="1" si="3"/>
        <v>65.968100000000007</v>
      </c>
      <c r="H18">
        <f t="shared" ca="1" si="3"/>
        <v>66.4756</v>
      </c>
      <c r="I18">
        <f t="shared" ca="1" si="3"/>
        <v>70.230500000000006</v>
      </c>
      <c r="J18">
        <f t="shared" ca="1" si="3"/>
        <v>77.132599999999996</v>
      </c>
      <c r="K18">
        <f t="shared" ca="1" si="3"/>
        <v>76.584500000000006</v>
      </c>
      <c r="L18">
        <f t="shared" ca="1" si="3"/>
        <v>70.224400000000003</v>
      </c>
      <c r="M18">
        <f t="shared" ca="1" si="3"/>
        <v>64.912000000000006</v>
      </c>
      <c r="N18">
        <f t="shared" ca="1" si="3"/>
        <v>62.706099999999999</v>
      </c>
      <c r="O18">
        <f t="shared" ca="1" si="3"/>
        <v>66.595399999999998</v>
      </c>
      <c r="P18">
        <f t="shared" ca="1" si="3"/>
        <v>65.016900000000007</v>
      </c>
      <c r="Q18">
        <f t="shared" ca="1" si="3"/>
        <v>56.977400000000003</v>
      </c>
      <c r="R18">
        <f t="shared" ca="1" si="3"/>
        <v>54.368299999999998</v>
      </c>
      <c r="S18">
        <f t="shared" ca="1" si="3"/>
        <v>50.341900000000003</v>
      </c>
      <c r="T18">
        <f ca="1">S17</f>
        <v>52.363</v>
      </c>
    </row>
    <row r="19" spans="1:34" ht="15.75" x14ac:dyDescent="0.25">
      <c r="A19" s="226">
        <v>42583</v>
      </c>
      <c r="B19" s="225">
        <v>64.813900000000004</v>
      </c>
      <c r="C19" s="211">
        <f t="shared" ca="1" si="0"/>
        <v>64.813900000000004</v>
      </c>
      <c r="D19" s="212">
        <f t="shared" ca="1" si="1"/>
        <v>42583</v>
      </c>
      <c r="E19" s="208">
        <f t="shared" ca="1" si="2"/>
        <v>64.813900000000004</v>
      </c>
      <c r="F19">
        <f t="shared" ca="1" si="3"/>
        <v>64.112700000000004</v>
      </c>
      <c r="G19">
        <f t="shared" ca="1" si="3"/>
        <v>65.133899999999997</v>
      </c>
      <c r="H19">
        <f t="shared" ca="1" si="3"/>
        <v>65.968100000000007</v>
      </c>
      <c r="I19">
        <f t="shared" ca="1" si="3"/>
        <v>66.4756</v>
      </c>
      <c r="J19">
        <f t="shared" ca="1" si="3"/>
        <v>70.230500000000006</v>
      </c>
      <c r="K19">
        <f t="shared" ca="1" si="3"/>
        <v>77.132599999999996</v>
      </c>
      <c r="L19">
        <f t="shared" ca="1" si="3"/>
        <v>76.584500000000006</v>
      </c>
      <c r="M19">
        <f t="shared" ca="1" si="3"/>
        <v>70.224400000000003</v>
      </c>
      <c r="N19">
        <f t="shared" ca="1" si="3"/>
        <v>64.912000000000006</v>
      </c>
      <c r="O19">
        <f t="shared" ca="1" si="3"/>
        <v>62.706099999999999</v>
      </c>
      <c r="P19">
        <f t="shared" ca="1" si="3"/>
        <v>66.595399999999998</v>
      </c>
      <c r="Q19">
        <f t="shared" ca="1" si="3"/>
        <v>65.016900000000007</v>
      </c>
      <c r="R19">
        <f t="shared" ca="1" si="3"/>
        <v>56.977400000000003</v>
      </c>
      <c r="S19">
        <f t="shared" ca="1" si="3"/>
        <v>54.368299999999998</v>
      </c>
      <c r="T19">
        <f t="shared" ca="1" si="3"/>
        <v>50.341900000000003</v>
      </c>
      <c r="U19">
        <f ca="1">T18</f>
        <v>52.363</v>
      </c>
    </row>
    <row r="20" spans="1:34" ht="15.75" x14ac:dyDescent="0.25">
      <c r="A20" s="226">
        <v>42552</v>
      </c>
      <c r="B20" s="225">
        <v>64.112700000000004</v>
      </c>
      <c r="C20" s="211">
        <f t="shared" ca="1" si="0"/>
        <v>64.757900000000006</v>
      </c>
      <c r="D20" s="212">
        <f t="shared" ca="1" si="1"/>
        <v>42614</v>
      </c>
      <c r="E20" s="208">
        <f t="shared" ca="1" si="2"/>
        <v>64.757900000000006</v>
      </c>
      <c r="F20">
        <f t="shared" ca="1" si="3"/>
        <v>64.813900000000004</v>
      </c>
      <c r="G20">
        <f t="shared" ca="1" si="3"/>
        <v>64.112700000000004</v>
      </c>
      <c r="H20">
        <f t="shared" ca="1" si="3"/>
        <v>65.133899999999997</v>
      </c>
      <c r="I20">
        <f t="shared" ca="1" si="3"/>
        <v>65.968100000000007</v>
      </c>
      <c r="J20">
        <f t="shared" ca="1" si="3"/>
        <v>66.4756</v>
      </c>
      <c r="K20">
        <f t="shared" ca="1" si="3"/>
        <v>70.230500000000006</v>
      </c>
      <c r="L20">
        <f t="shared" ca="1" si="3"/>
        <v>77.132599999999996</v>
      </c>
      <c r="M20">
        <f t="shared" ca="1" si="3"/>
        <v>76.584500000000006</v>
      </c>
      <c r="N20">
        <f t="shared" ca="1" si="3"/>
        <v>70.224400000000003</v>
      </c>
      <c r="O20">
        <f t="shared" ca="1" si="3"/>
        <v>64.912000000000006</v>
      </c>
      <c r="P20">
        <f t="shared" ca="1" si="3"/>
        <v>62.706099999999999</v>
      </c>
      <c r="Q20">
        <f t="shared" ca="1" si="3"/>
        <v>66.595399999999998</v>
      </c>
      <c r="R20">
        <f t="shared" ca="1" si="3"/>
        <v>65.016900000000007</v>
      </c>
      <c r="S20">
        <f t="shared" ca="1" si="3"/>
        <v>56.977400000000003</v>
      </c>
      <c r="T20">
        <f t="shared" ca="1" si="3"/>
        <v>54.368299999999998</v>
      </c>
      <c r="U20">
        <f t="shared" ca="1" si="3"/>
        <v>50.341900000000003</v>
      </c>
      <c r="V20">
        <f ca="1">U19</f>
        <v>52.363</v>
      </c>
    </row>
    <row r="21" spans="1:34" ht="15.75" x14ac:dyDescent="0.25">
      <c r="A21" s="226">
        <v>42522</v>
      </c>
      <c r="B21" s="225">
        <v>65.133899999999997</v>
      </c>
      <c r="C21" s="211">
        <f t="shared" ca="1" si="0"/>
        <v>62.458300000000001</v>
      </c>
      <c r="D21" s="212">
        <f t="shared" ca="1" si="1"/>
        <v>42644</v>
      </c>
      <c r="E21" s="208">
        <f t="shared" ca="1" si="2"/>
        <v>62.458300000000001</v>
      </c>
      <c r="F21">
        <f t="shared" ca="1" si="3"/>
        <v>64.757900000000006</v>
      </c>
      <c r="G21">
        <f t="shared" ca="1" si="3"/>
        <v>64.813900000000004</v>
      </c>
      <c r="H21">
        <f t="shared" ca="1" si="3"/>
        <v>64.112700000000004</v>
      </c>
      <c r="I21">
        <f t="shared" ca="1" si="3"/>
        <v>65.133899999999997</v>
      </c>
      <c r="J21">
        <f t="shared" ca="1" si="3"/>
        <v>65.968100000000007</v>
      </c>
      <c r="K21">
        <f t="shared" ca="1" si="3"/>
        <v>66.4756</v>
      </c>
      <c r="L21">
        <f t="shared" ca="1" si="3"/>
        <v>70.230500000000006</v>
      </c>
      <c r="M21">
        <f t="shared" ca="1" si="3"/>
        <v>77.132599999999996</v>
      </c>
      <c r="N21">
        <f t="shared" ca="1" si="3"/>
        <v>76.584500000000006</v>
      </c>
      <c r="O21">
        <f t="shared" ca="1" si="3"/>
        <v>70.224400000000003</v>
      </c>
      <c r="P21">
        <f t="shared" ca="1" si="3"/>
        <v>64.912000000000006</v>
      </c>
      <c r="Q21">
        <f t="shared" ca="1" si="3"/>
        <v>62.706099999999999</v>
      </c>
      <c r="R21">
        <f t="shared" ca="1" si="3"/>
        <v>66.595399999999998</v>
      </c>
      <c r="S21">
        <f t="shared" ca="1" si="3"/>
        <v>65.016900000000007</v>
      </c>
      <c r="T21">
        <f t="shared" ca="1" si="3"/>
        <v>56.977400000000003</v>
      </c>
      <c r="U21">
        <f t="shared" ca="1" si="3"/>
        <v>54.368299999999998</v>
      </c>
      <c r="V21">
        <f t="shared" ref="P21:AE35" ca="1" si="4">U20</f>
        <v>50.341900000000003</v>
      </c>
      <c r="W21">
        <f ca="1">V20</f>
        <v>52.363</v>
      </c>
    </row>
    <row r="22" spans="1:34" ht="15.75" x14ac:dyDescent="0.25">
      <c r="A22" s="226">
        <v>42491</v>
      </c>
      <c r="B22" s="225">
        <v>65.968100000000007</v>
      </c>
      <c r="C22" s="211">
        <f t="shared" ca="1" si="0"/>
        <v>64.183300000000003</v>
      </c>
      <c r="D22" s="212">
        <f t="shared" ca="1" si="1"/>
        <v>42675</v>
      </c>
      <c r="E22" s="208">
        <f t="shared" ca="1" si="2"/>
        <v>64.183300000000003</v>
      </c>
      <c r="F22">
        <f t="shared" ca="1" si="3"/>
        <v>62.458300000000001</v>
      </c>
      <c r="G22">
        <f t="shared" ca="1" si="3"/>
        <v>64.757900000000006</v>
      </c>
      <c r="H22">
        <f t="shared" ca="1" si="3"/>
        <v>64.813900000000004</v>
      </c>
      <c r="I22">
        <f t="shared" ca="1" si="3"/>
        <v>64.112700000000004</v>
      </c>
      <c r="J22">
        <f t="shared" ca="1" si="3"/>
        <v>65.133899999999997</v>
      </c>
      <c r="K22">
        <f t="shared" ca="1" si="3"/>
        <v>65.968100000000007</v>
      </c>
      <c r="L22">
        <f t="shared" ca="1" si="3"/>
        <v>66.4756</v>
      </c>
      <c r="M22">
        <f t="shared" ca="1" si="3"/>
        <v>70.230500000000006</v>
      </c>
      <c r="N22">
        <f t="shared" ca="1" si="3"/>
        <v>77.132599999999996</v>
      </c>
      <c r="O22">
        <f t="shared" ca="1" si="3"/>
        <v>76.584500000000006</v>
      </c>
      <c r="P22">
        <f t="shared" ca="1" si="4"/>
        <v>70.224400000000003</v>
      </c>
      <c r="Q22">
        <f t="shared" ca="1" si="4"/>
        <v>64.912000000000006</v>
      </c>
      <c r="R22">
        <f t="shared" ca="1" si="4"/>
        <v>62.706099999999999</v>
      </c>
      <c r="S22">
        <f t="shared" ca="1" si="4"/>
        <v>66.595399999999998</v>
      </c>
      <c r="T22">
        <f t="shared" ca="1" si="4"/>
        <v>65.016900000000007</v>
      </c>
      <c r="U22">
        <f t="shared" ca="1" si="4"/>
        <v>56.977400000000003</v>
      </c>
      <c r="V22">
        <f t="shared" ca="1" si="4"/>
        <v>54.368299999999998</v>
      </c>
      <c r="W22">
        <f t="shared" ca="1" si="4"/>
        <v>50.341900000000003</v>
      </c>
      <c r="X22">
        <f ca="1">W21</f>
        <v>52.363</v>
      </c>
    </row>
    <row r="23" spans="1:34" ht="15.75" x14ac:dyDescent="0.25">
      <c r="A23" s="226">
        <v>42461</v>
      </c>
      <c r="B23" s="225">
        <v>66.4756</v>
      </c>
      <c r="C23" s="211">
        <f t="shared" ca="1" si="0"/>
        <v>61.636800000000001</v>
      </c>
      <c r="D23" s="212">
        <f t="shared" ca="1" si="1"/>
        <v>42705</v>
      </c>
      <c r="E23" s="208">
        <f t="shared" ca="1" si="2"/>
        <v>61.636800000000001</v>
      </c>
      <c r="F23">
        <f t="shared" ca="1" si="3"/>
        <v>64.183300000000003</v>
      </c>
      <c r="G23">
        <f t="shared" ca="1" si="3"/>
        <v>62.458300000000001</v>
      </c>
      <c r="H23">
        <f t="shared" ca="1" si="3"/>
        <v>64.757900000000006</v>
      </c>
      <c r="I23">
        <f t="shared" ca="1" si="3"/>
        <v>64.813900000000004</v>
      </c>
      <c r="J23">
        <f t="shared" ca="1" si="3"/>
        <v>64.112700000000004</v>
      </c>
      <c r="K23">
        <f t="shared" ca="1" si="3"/>
        <v>65.133899999999997</v>
      </c>
      <c r="L23">
        <f t="shared" ca="1" si="3"/>
        <v>65.968100000000007</v>
      </c>
      <c r="M23">
        <f t="shared" ca="1" si="3"/>
        <v>66.4756</v>
      </c>
      <c r="N23">
        <f t="shared" ca="1" si="3"/>
        <v>70.230500000000006</v>
      </c>
      <c r="O23">
        <f t="shared" ca="1" si="3"/>
        <v>77.132599999999996</v>
      </c>
      <c r="P23">
        <f t="shared" ca="1" si="4"/>
        <v>76.584500000000006</v>
      </c>
      <c r="Q23">
        <f t="shared" ca="1" si="4"/>
        <v>70.224400000000003</v>
      </c>
      <c r="R23">
        <f t="shared" ca="1" si="4"/>
        <v>64.912000000000006</v>
      </c>
      <c r="S23">
        <f t="shared" ca="1" si="4"/>
        <v>62.706099999999999</v>
      </c>
      <c r="T23">
        <f t="shared" ca="1" si="4"/>
        <v>66.595399999999998</v>
      </c>
      <c r="U23">
        <f t="shared" ca="1" si="4"/>
        <v>65.016900000000007</v>
      </c>
      <c r="V23">
        <f t="shared" ca="1" si="4"/>
        <v>56.977400000000003</v>
      </c>
      <c r="W23">
        <f t="shared" ca="1" si="4"/>
        <v>54.368299999999998</v>
      </c>
      <c r="X23">
        <f t="shared" ca="1" si="4"/>
        <v>50.341900000000003</v>
      </c>
      <c r="Y23">
        <f ca="1">X22</f>
        <v>52.363</v>
      </c>
    </row>
    <row r="24" spans="1:34" ht="15.75" x14ac:dyDescent="0.25">
      <c r="A24" s="226">
        <v>42430</v>
      </c>
      <c r="B24" s="225">
        <v>70.230500000000006</v>
      </c>
      <c r="C24" s="211">
        <f t="shared" ca="1" si="0"/>
        <v>59.6526</v>
      </c>
      <c r="D24" s="212">
        <f t="shared" ca="1" si="1"/>
        <v>42736</v>
      </c>
      <c r="E24" s="208">
        <f t="shared" ca="1" si="2"/>
        <v>59.6526</v>
      </c>
      <c r="F24">
        <f t="shared" ca="1" si="3"/>
        <v>61.636800000000001</v>
      </c>
      <c r="G24">
        <f t="shared" ca="1" si="3"/>
        <v>64.183300000000003</v>
      </c>
      <c r="H24">
        <f t="shared" ca="1" si="3"/>
        <v>62.458300000000001</v>
      </c>
      <c r="I24">
        <f t="shared" ca="1" si="3"/>
        <v>64.757900000000006</v>
      </c>
      <c r="J24">
        <f t="shared" ca="1" si="3"/>
        <v>64.813900000000004</v>
      </c>
      <c r="K24">
        <f t="shared" ca="1" si="3"/>
        <v>64.112700000000004</v>
      </c>
      <c r="L24">
        <f t="shared" ca="1" si="3"/>
        <v>65.133899999999997</v>
      </c>
      <c r="M24">
        <f t="shared" ca="1" si="3"/>
        <v>65.968100000000007</v>
      </c>
      <c r="N24">
        <f t="shared" ca="1" si="3"/>
        <v>66.4756</v>
      </c>
      <c r="O24">
        <f t="shared" ca="1" si="3"/>
        <v>70.230500000000006</v>
      </c>
      <c r="P24">
        <f t="shared" ca="1" si="4"/>
        <v>77.132599999999996</v>
      </c>
      <c r="Q24">
        <f t="shared" ca="1" si="4"/>
        <v>76.584500000000006</v>
      </c>
      <c r="R24">
        <f t="shared" ca="1" si="4"/>
        <v>70.224400000000003</v>
      </c>
      <c r="S24">
        <f t="shared" ca="1" si="4"/>
        <v>64.912000000000006</v>
      </c>
      <c r="T24">
        <f t="shared" ca="1" si="4"/>
        <v>62.706099999999999</v>
      </c>
      <c r="U24">
        <f t="shared" ca="1" si="4"/>
        <v>66.595399999999998</v>
      </c>
      <c r="V24">
        <f t="shared" ca="1" si="4"/>
        <v>65.016900000000007</v>
      </c>
      <c r="W24">
        <f t="shared" ca="1" si="4"/>
        <v>56.977400000000003</v>
      </c>
      <c r="X24">
        <f t="shared" ca="1" si="4"/>
        <v>54.368299999999998</v>
      </c>
      <c r="Y24">
        <f t="shared" ca="1" si="4"/>
        <v>50.341900000000003</v>
      </c>
      <c r="Z24">
        <f ca="1">Y23</f>
        <v>52.363</v>
      </c>
    </row>
    <row r="25" spans="1:34" ht="15.75" x14ac:dyDescent="0.25">
      <c r="A25" s="226">
        <v>42401</v>
      </c>
      <c r="B25" s="225">
        <v>77.132599999999996</v>
      </c>
      <c r="C25" s="211">
        <f t="shared" ca="1" si="0"/>
        <v>58.096699999999998</v>
      </c>
      <c r="D25" s="212">
        <f t="shared" ca="1" si="1"/>
        <v>42767</v>
      </c>
      <c r="E25" s="208">
        <f t="shared" ca="1" si="2"/>
        <v>58.096699999999998</v>
      </c>
      <c r="F25">
        <f t="shared" ca="1" si="3"/>
        <v>59.6526</v>
      </c>
      <c r="G25">
        <f t="shared" ca="1" si="3"/>
        <v>61.636800000000001</v>
      </c>
      <c r="H25">
        <f t="shared" ca="1" si="3"/>
        <v>64.183300000000003</v>
      </c>
      <c r="I25">
        <f t="shared" ca="1" si="3"/>
        <v>62.458300000000001</v>
      </c>
      <c r="J25">
        <f t="shared" ca="1" si="3"/>
        <v>64.757900000000006</v>
      </c>
      <c r="K25">
        <f t="shared" ca="1" si="3"/>
        <v>64.813900000000004</v>
      </c>
      <c r="L25">
        <f t="shared" ca="1" si="3"/>
        <v>64.112700000000004</v>
      </c>
      <c r="M25">
        <f t="shared" ca="1" si="3"/>
        <v>65.133899999999997</v>
      </c>
      <c r="N25">
        <f t="shared" ca="1" si="3"/>
        <v>65.968100000000007</v>
      </c>
      <c r="O25">
        <f t="shared" ca="1" si="3"/>
        <v>66.4756</v>
      </c>
      <c r="P25">
        <f t="shared" ca="1" si="4"/>
        <v>70.230500000000006</v>
      </c>
      <c r="Q25">
        <f t="shared" ca="1" si="4"/>
        <v>77.132599999999996</v>
      </c>
      <c r="R25">
        <f t="shared" ca="1" si="4"/>
        <v>76.584500000000006</v>
      </c>
      <c r="S25">
        <f t="shared" ca="1" si="4"/>
        <v>70.224400000000003</v>
      </c>
      <c r="T25">
        <f t="shared" ca="1" si="4"/>
        <v>64.912000000000006</v>
      </c>
      <c r="U25">
        <f t="shared" ca="1" si="4"/>
        <v>62.706099999999999</v>
      </c>
      <c r="V25">
        <f t="shared" ca="1" si="4"/>
        <v>66.595399999999998</v>
      </c>
      <c r="W25">
        <f t="shared" ca="1" si="4"/>
        <v>65.016900000000007</v>
      </c>
      <c r="X25">
        <f t="shared" ca="1" si="4"/>
        <v>56.977400000000003</v>
      </c>
      <c r="Y25">
        <f t="shared" ca="1" si="4"/>
        <v>54.368299999999998</v>
      </c>
      <c r="Z25">
        <f t="shared" ca="1" si="4"/>
        <v>50.341900000000003</v>
      </c>
      <c r="AA25">
        <f ca="1">Z24</f>
        <v>52.363</v>
      </c>
    </row>
    <row r="26" spans="1:34" ht="15.75" x14ac:dyDescent="0.25">
      <c r="A26" s="226">
        <v>42370</v>
      </c>
      <c r="B26" s="225">
        <v>76.584500000000006</v>
      </c>
      <c r="C26" s="211">
        <f t="shared" ca="1" si="0"/>
        <v>58.243699999999997</v>
      </c>
      <c r="D26" s="212">
        <f t="shared" ca="1" si="1"/>
        <v>42795</v>
      </c>
      <c r="E26" s="208">
        <f t="shared" ca="1" si="2"/>
        <v>58.243699999999997</v>
      </c>
      <c r="F26">
        <f t="shared" ca="1" si="3"/>
        <v>58.096699999999998</v>
      </c>
      <c r="G26">
        <f t="shared" ca="1" si="3"/>
        <v>59.6526</v>
      </c>
      <c r="H26">
        <f t="shared" ca="1" si="3"/>
        <v>61.636800000000001</v>
      </c>
      <c r="I26">
        <f t="shared" ca="1" si="3"/>
        <v>64.183300000000003</v>
      </c>
      <c r="J26">
        <f t="shared" ca="1" si="3"/>
        <v>62.458300000000001</v>
      </c>
      <c r="K26">
        <f t="shared" ca="1" si="3"/>
        <v>64.757900000000006</v>
      </c>
      <c r="L26">
        <f t="shared" ca="1" si="3"/>
        <v>64.813900000000004</v>
      </c>
      <c r="M26">
        <f t="shared" ca="1" si="3"/>
        <v>64.112700000000004</v>
      </c>
      <c r="N26">
        <f t="shared" ca="1" si="3"/>
        <v>65.133899999999997</v>
      </c>
      <c r="O26">
        <f t="shared" ca="1" si="3"/>
        <v>65.968100000000007</v>
      </c>
      <c r="P26">
        <f t="shared" ca="1" si="4"/>
        <v>66.4756</v>
      </c>
      <c r="Q26">
        <f t="shared" ca="1" si="4"/>
        <v>70.230500000000006</v>
      </c>
      <c r="R26">
        <f t="shared" ca="1" si="4"/>
        <v>77.132599999999996</v>
      </c>
      <c r="S26">
        <f t="shared" ca="1" si="4"/>
        <v>76.584500000000006</v>
      </c>
      <c r="T26">
        <f t="shared" ca="1" si="4"/>
        <v>70.224400000000003</v>
      </c>
      <c r="U26">
        <f t="shared" ca="1" si="4"/>
        <v>64.912000000000006</v>
      </c>
      <c r="V26">
        <f t="shared" ca="1" si="4"/>
        <v>62.706099999999999</v>
      </c>
      <c r="W26">
        <f t="shared" ca="1" si="4"/>
        <v>66.595399999999998</v>
      </c>
      <c r="X26">
        <f t="shared" ca="1" si="4"/>
        <v>65.016900000000007</v>
      </c>
      <c r="Y26">
        <f t="shared" ca="1" si="4"/>
        <v>56.977400000000003</v>
      </c>
      <c r="Z26">
        <f t="shared" ca="1" si="4"/>
        <v>54.368299999999998</v>
      </c>
      <c r="AA26">
        <f t="shared" ca="1" si="4"/>
        <v>50.341900000000003</v>
      </c>
      <c r="AB26">
        <f ca="1">AA25</f>
        <v>52.363</v>
      </c>
    </row>
    <row r="27" spans="1:34" ht="15.75" x14ac:dyDescent="0.25">
      <c r="A27" s="226">
        <v>42339</v>
      </c>
      <c r="B27" s="225">
        <v>70.224400000000003</v>
      </c>
      <c r="C27" s="211">
        <f t="shared" ca="1" si="0"/>
        <v>56.313099999999999</v>
      </c>
      <c r="D27" s="212">
        <f t="shared" ca="1" si="1"/>
        <v>42826</v>
      </c>
      <c r="E27" s="208">
        <f t="shared" ca="1" si="2"/>
        <v>56.313099999999999</v>
      </c>
      <c r="F27">
        <f t="shared" ca="1" si="3"/>
        <v>58.243699999999997</v>
      </c>
      <c r="G27">
        <f t="shared" ca="1" si="3"/>
        <v>58.096699999999998</v>
      </c>
      <c r="H27">
        <f t="shared" ca="1" si="3"/>
        <v>59.6526</v>
      </c>
      <c r="I27">
        <f t="shared" ca="1" si="3"/>
        <v>61.636800000000001</v>
      </c>
      <c r="J27">
        <f t="shared" ca="1" si="3"/>
        <v>64.183300000000003</v>
      </c>
      <c r="K27">
        <f t="shared" ca="1" si="3"/>
        <v>62.458300000000001</v>
      </c>
      <c r="L27">
        <f t="shared" ca="1" si="3"/>
        <v>64.757900000000006</v>
      </c>
      <c r="M27">
        <f t="shared" ca="1" si="3"/>
        <v>64.813900000000004</v>
      </c>
      <c r="N27">
        <f t="shared" ca="1" si="3"/>
        <v>64.112700000000004</v>
      </c>
      <c r="O27">
        <f t="shared" ca="1" si="3"/>
        <v>65.133899999999997</v>
      </c>
      <c r="P27">
        <f t="shared" ca="1" si="4"/>
        <v>65.968100000000007</v>
      </c>
      <c r="Q27">
        <f t="shared" ca="1" si="4"/>
        <v>66.4756</v>
      </c>
      <c r="R27">
        <f t="shared" ca="1" si="4"/>
        <v>70.230500000000006</v>
      </c>
      <c r="S27">
        <f t="shared" ca="1" si="4"/>
        <v>77.132599999999996</v>
      </c>
      <c r="T27">
        <f t="shared" ca="1" si="4"/>
        <v>76.584500000000006</v>
      </c>
      <c r="U27">
        <f t="shared" ca="1" si="4"/>
        <v>70.224400000000003</v>
      </c>
      <c r="V27">
        <f t="shared" ca="1" si="4"/>
        <v>64.912000000000006</v>
      </c>
      <c r="W27">
        <f t="shared" ca="1" si="4"/>
        <v>62.706099999999999</v>
      </c>
      <c r="X27">
        <f t="shared" ca="1" si="4"/>
        <v>66.595399999999998</v>
      </c>
      <c r="Y27">
        <f t="shared" ca="1" si="4"/>
        <v>65.016900000000007</v>
      </c>
      <c r="Z27">
        <f t="shared" ca="1" si="4"/>
        <v>56.977400000000003</v>
      </c>
      <c r="AA27">
        <f t="shared" ca="1" si="4"/>
        <v>54.368299999999998</v>
      </c>
      <c r="AB27">
        <f t="shared" ca="1" si="4"/>
        <v>50.341900000000003</v>
      </c>
      <c r="AC27">
        <f ca="1">AB26</f>
        <v>52.363</v>
      </c>
    </row>
    <row r="28" spans="1:34" ht="15.75" x14ac:dyDescent="0.25">
      <c r="A28" s="226">
        <v>42309</v>
      </c>
      <c r="B28" s="225">
        <v>64.912000000000006</v>
      </c>
      <c r="C28" s="211">
        <f t="shared" ca="1" si="0"/>
        <v>56.756</v>
      </c>
      <c r="D28" s="212">
        <f t="shared" ca="1" si="1"/>
        <v>42856</v>
      </c>
      <c r="E28" s="208">
        <f t="shared" ca="1" si="2"/>
        <v>56.756</v>
      </c>
      <c r="F28">
        <f t="shared" ca="1" si="3"/>
        <v>56.313099999999999</v>
      </c>
      <c r="G28">
        <f t="shared" ca="1" si="3"/>
        <v>58.243699999999997</v>
      </c>
      <c r="H28">
        <f t="shared" ca="1" si="3"/>
        <v>58.096699999999998</v>
      </c>
      <c r="I28">
        <f t="shared" ca="1" si="3"/>
        <v>59.6526</v>
      </c>
      <c r="J28">
        <f t="shared" ca="1" si="3"/>
        <v>61.636800000000001</v>
      </c>
      <c r="K28">
        <f t="shared" ca="1" si="3"/>
        <v>64.183300000000003</v>
      </c>
      <c r="L28">
        <f t="shared" ca="1" si="3"/>
        <v>62.458300000000001</v>
      </c>
      <c r="M28">
        <f t="shared" ca="1" si="3"/>
        <v>64.757900000000006</v>
      </c>
      <c r="N28">
        <f t="shared" ca="1" si="3"/>
        <v>64.813900000000004</v>
      </c>
      <c r="O28">
        <f t="shared" ca="1" si="3"/>
        <v>64.112700000000004</v>
      </c>
      <c r="P28">
        <f t="shared" ca="1" si="4"/>
        <v>65.133899999999997</v>
      </c>
      <c r="Q28">
        <f t="shared" ca="1" si="4"/>
        <v>65.968100000000007</v>
      </c>
      <c r="R28">
        <f t="shared" ca="1" si="4"/>
        <v>66.4756</v>
      </c>
      <c r="S28">
        <f t="shared" ca="1" si="4"/>
        <v>70.230500000000006</v>
      </c>
      <c r="T28">
        <f t="shared" ca="1" si="4"/>
        <v>77.132599999999996</v>
      </c>
      <c r="U28">
        <f t="shared" ca="1" si="4"/>
        <v>76.584500000000006</v>
      </c>
      <c r="V28">
        <f t="shared" ca="1" si="4"/>
        <v>70.224400000000003</v>
      </c>
      <c r="W28">
        <f t="shared" ca="1" si="4"/>
        <v>64.912000000000006</v>
      </c>
      <c r="X28">
        <f t="shared" ca="1" si="4"/>
        <v>62.706099999999999</v>
      </c>
      <c r="Y28">
        <f t="shared" ca="1" si="4"/>
        <v>66.595399999999998</v>
      </c>
      <c r="Z28">
        <f t="shared" ca="1" si="4"/>
        <v>65.016900000000007</v>
      </c>
      <c r="AA28">
        <f t="shared" ca="1" si="4"/>
        <v>56.977400000000003</v>
      </c>
      <c r="AB28">
        <f t="shared" ca="1" si="4"/>
        <v>54.368299999999998</v>
      </c>
      <c r="AC28">
        <f t="shared" ca="1" si="4"/>
        <v>50.341900000000003</v>
      </c>
      <c r="AD28">
        <f ca="1">AC27</f>
        <v>52.363</v>
      </c>
    </row>
    <row r="29" spans="1:34" ht="15.75" x14ac:dyDescent="0.25">
      <c r="A29" s="226">
        <v>42278</v>
      </c>
      <c r="B29" s="225">
        <v>62.706099999999999</v>
      </c>
      <c r="C29" s="211">
        <f t="shared" ca="1" si="0"/>
        <v>57.4437</v>
      </c>
      <c r="D29" s="212">
        <f t="shared" ca="1" si="1"/>
        <v>42887</v>
      </c>
      <c r="E29" s="208">
        <f t="shared" ca="1" si="2"/>
        <v>57.4437</v>
      </c>
      <c r="F29">
        <f t="shared" ca="1" si="3"/>
        <v>56.756</v>
      </c>
      <c r="G29">
        <f t="shared" ca="1" si="3"/>
        <v>56.313099999999999</v>
      </c>
      <c r="H29">
        <f t="shared" ca="1" si="3"/>
        <v>58.243699999999997</v>
      </c>
      <c r="I29">
        <f t="shared" ca="1" si="3"/>
        <v>58.096699999999998</v>
      </c>
      <c r="J29">
        <f t="shared" ca="1" si="3"/>
        <v>59.6526</v>
      </c>
      <c r="K29">
        <f t="shared" ca="1" si="3"/>
        <v>61.636800000000001</v>
      </c>
      <c r="L29">
        <f t="shared" ca="1" si="3"/>
        <v>64.183300000000003</v>
      </c>
      <c r="M29">
        <f t="shared" ca="1" si="3"/>
        <v>62.458300000000001</v>
      </c>
      <c r="N29">
        <f t="shared" ca="1" si="3"/>
        <v>64.757900000000006</v>
      </c>
      <c r="O29">
        <f t="shared" ca="1" si="3"/>
        <v>64.813900000000004</v>
      </c>
      <c r="P29">
        <f t="shared" ca="1" si="4"/>
        <v>64.112700000000004</v>
      </c>
      <c r="Q29">
        <f t="shared" ca="1" si="4"/>
        <v>65.133899999999997</v>
      </c>
      <c r="R29">
        <f t="shared" ca="1" si="4"/>
        <v>65.968100000000007</v>
      </c>
      <c r="S29">
        <f t="shared" ca="1" si="4"/>
        <v>66.4756</v>
      </c>
      <c r="T29">
        <f t="shared" ca="1" si="4"/>
        <v>70.230500000000006</v>
      </c>
      <c r="U29">
        <f t="shared" ca="1" si="4"/>
        <v>77.132599999999996</v>
      </c>
      <c r="V29">
        <f t="shared" ca="1" si="4"/>
        <v>76.584500000000006</v>
      </c>
      <c r="W29">
        <f t="shared" ca="1" si="4"/>
        <v>70.224400000000003</v>
      </c>
      <c r="X29">
        <f t="shared" ca="1" si="4"/>
        <v>64.912000000000006</v>
      </c>
      <c r="Y29">
        <f t="shared" ca="1" si="4"/>
        <v>62.706099999999999</v>
      </c>
      <c r="Z29">
        <f t="shared" ca="1" si="4"/>
        <v>66.595399999999998</v>
      </c>
      <c r="AA29">
        <f t="shared" ca="1" si="4"/>
        <v>65.016900000000007</v>
      </c>
      <c r="AB29">
        <f t="shared" ca="1" si="4"/>
        <v>56.977400000000003</v>
      </c>
      <c r="AC29">
        <f t="shared" ca="1" si="4"/>
        <v>54.368299999999998</v>
      </c>
      <c r="AD29">
        <f t="shared" ca="1" si="4"/>
        <v>50.341900000000003</v>
      </c>
      <c r="AE29">
        <f ca="1">AD28</f>
        <v>52.363</v>
      </c>
    </row>
    <row r="30" spans="1:34" ht="15.75" x14ac:dyDescent="0.25">
      <c r="A30" s="226">
        <v>42248</v>
      </c>
      <c r="B30" s="225">
        <v>66.595399999999998</v>
      </c>
      <c r="C30" s="211">
        <f t="shared" ca="1" si="0"/>
        <v>59.578699999999998</v>
      </c>
      <c r="D30" s="212">
        <f t="shared" ca="1" si="1"/>
        <v>42917</v>
      </c>
      <c r="E30" s="208">
        <f t="shared" ca="1" si="2"/>
        <v>59.578699999999998</v>
      </c>
      <c r="F30">
        <f t="shared" ca="1" si="3"/>
        <v>57.4437</v>
      </c>
      <c r="G30">
        <f t="shared" ca="1" si="3"/>
        <v>56.756</v>
      </c>
      <c r="H30">
        <f t="shared" ca="1" si="3"/>
        <v>56.313099999999999</v>
      </c>
      <c r="I30">
        <f t="shared" ca="1" si="3"/>
        <v>58.243699999999997</v>
      </c>
      <c r="J30">
        <f t="shared" ca="1" si="3"/>
        <v>58.096699999999998</v>
      </c>
      <c r="K30">
        <f t="shared" ca="1" si="3"/>
        <v>59.6526</v>
      </c>
      <c r="L30">
        <f t="shared" ca="1" si="3"/>
        <v>61.636800000000001</v>
      </c>
      <c r="M30">
        <f t="shared" ca="1" si="3"/>
        <v>64.183300000000003</v>
      </c>
      <c r="N30">
        <f t="shared" ca="1" si="3"/>
        <v>62.458300000000001</v>
      </c>
      <c r="O30">
        <f t="shared" ca="1" si="3"/>
        <v>64.757900000000006</v>
      </c>
      <c r="P30">
        <f t="shared" ca="1" si="4"/>
        <v>64.813900000000004</v>
      </c>
      <c r="Q30">
        <f t="shared" ca="1" si="4"/>
        <v>64.112700000000004</v>
      </c>
      <c r="R30">
        <f t="shared" ca="1" si="4"/>
        <v>65.133899999999997</v>
      </c>
      <c r="S30">
        <f t="shared" ca="1" si="4"/>
        <v>65.968100000000007</v>
      </c>
      <c r="T30">
        <f t="shared" ca="1" si="4"/>
        <v>66.4756</v>
      </c>
      <c r="U30">
        <f t="shared" ca="1" si="4"/>
        <v>70.230500000000006</v>
      </c>
      <c r="V30">
        <f t="shared" ca="1" si="4"/>
        <v>77.132599999999996</v>
      </c>
      <c r="W30">
        <f t="shared" ca="1" si="4"/>
        <v>76.584500000000006</v>
      </c>
      <c r="X30">
        <f t="shared" ca="1" si="4"/>
        <v>70.224400000000003</v>
      </c>
      <c r="Y30">
        <f t="shared" ca="1" si="4"/>
        <v>64.912000000000006</v>
      </c>
      <c r="Z30">
        <f t="shared" ca="1" si="4"/>
        <v>62.706099999999999</v>
      </c>
      <c r="AA30">
        <f t="shared" ca="1" si="4"/>
        <v>66.595399999999998</v>
      </c>
      <c r="AB30">
        <f t="shared" ca="1" si="4"/>
        <v>65.016900000000007</v>
      </c>
      <c r="AC30">
        <f t="shared" ca="1" si="4"/>
        <v>56.977400000000003</v>
      </c>
      <c r="AD30">
        <f t="shared" ca="1" si="4"/>
        <v>54.368299999999998</v>
      </c>
      <c r="AE30">
        <f t="shared" ca="1" si="4"/>
        <v>50.341900000000003</v>
      </c>
      <c r="AF30">
        <f ca="1">AE29</f>
        <v>52.363</v>
      </c>
    </row>
    <row r="31" spans="1:34" ht="15.75" x14ac:dyDescent="0.25">
      <c r="A31" s="226">
        <v>42217</v>
      </c>
      <c r="B31" s="225">
        <v>65.016900000000007</v>
      </c>
      <c r="C31" s="211">
        <f t="shared" ca="1" si="0"/>
        <v>59.798999999999999</v>
      </c>
      <c r="D31" s="212">
        <f t="shared" ca="1" si="1"/>
        <v>42948</v>
      </c>
      <c r="E31" s="208">
        <f t="shared" ca="1" si="2"/>
        <v>59.798999999999999</v>
      </c>
      <c r="F31">
        <f t="shared" ca="1" si="3"/>
        <v>59.578699999999998</v>
      </c>
      <c r="G31">
        <f t="shared" ca="1" si="3"/>
        <v>57.4437</v>
      </c>
      <c r="H31">
        <f t="shared" ca="1" si="3"/>
        <v>56.756</v>
      </c>
      <c r="I31">
        <f t="shared" ca="1" si="3"/>
        <v>56.313099999999999</v>
      </c>
      <c r="J31">
        <f t="shared" ca="1" si="3"/>
        <v>58.243699999999997</v>
      </c>
      <c r="K31">
        <f t="shared" ca="1" si="3"/>
        <v>58.096699999999998</v>
      </c>
      <c r="L31">
        <f t="shared" ca="1" si="3"/>
        <v>59.6526</v>
      </c>
      <c r="M31">
        <f t="shared" ca="1" si="3"/>
        <v>61.636800000000001</v>
      </c>
      <c r="N31">
        <f t="shared" ca="1" si="3"/>
        <v>64.183300000000003</v>
      </c>
      <c r="O31">
        <f t="shared" ca="1" si="3"/>
        <v>62.458300000000001</v>
      </c>
      <c r="P31">
        <f t="shared" ca="1" si="4"/>
        <v>64.757900000000006</v>
      </c>
      <c r="Q31">
        <f t="shared" ca="1" si="4"/>
        <v>64.813900000000004</v>
      </c>
      <c r="R31">
        <f t="shared" ca="1" si="4"/>
        <v>64.112700000000004</v>
      </c>
      <c r="S31">
        <f t="shared" ca="1" si="4"/>
        <v>65.133899999999997</v>
      </c>
      <c r="T31">
        <f t="shared" ca="1" si="4"/>
        <v>65.968100000000007</v>
      </c>
      <c r="U31">
        <f t="shared" ca="1" si="4"/>
        <v>66.4756</v>
      </c>
      <c r="V31">
        <f t="shared" ca="1" si="4"/>
        <v>70.230500000000006</v>
      </c>
      <c r="W31">
        <f t="shared" ca="1" si="4"/>
        <v>77.132599999999996</v>
      </c>
      <c r="X31">
        <f t="shared" ca="1" si="4"/>
        <v>76.584500000000006</v>
      </c>
      <c r="Y31">
        <f t="shared" ca="1" si="4"/>
        <v>70.224400000000003</v>
      </c>
      <c r="Z31">
        <f t="shared" ca="1" si="4"/>
        <v>64.912000000000006</v>
      </c>
      <c r="AA31">
        <f t="shared" ca="1" si="4"/>
        <v>62.706099999999999</v>
      </c>
      <c r="AB31">
        <f t="shared" ca="1" si="4"/>
        <v>66.595399999999998</v>
      </c>
      <c r="AC31">
        <f t="shared" ca="1" si="4"/>
        <v>65.016900000000007</v>
      </c>
      <c r="AD31">
        <f t="shared" ca="1" si="4"/>
        <v>56.977400000000003</v>
      </c>
      <c r="AE31">
        <f t="shared" ca="1" si="4"/>
        <v>54.368299999999998</v>
      </c>
      <c r="AF31">
        <f t="shared" ref="AF31:AI35" ca="1" si="5">AE30</f>
        <v>50.341900000000003</v>
      </c>
      <c r="AG31">
        <f ca="1">AF30</f>
        <v>52.363</v>
      </c>
    </row>
    <row r="32" spans="1:34" ht="15.75" x14ac:dyDescent="0.25">
      <c r="A32" s="226">
        <v>42186</v>
      </c>
      <c r="B32" s="225">
        <v>56.977400000000003</v>
      </c>
      <c r="C32" s="211">
        <f t="shared" ca="1" si="0"/>
        <v>57.719200000000001</v>
      </c>
      <c r="D32" s="212">
        <f t="shared" ca="1" si="1"/>
        <v>42979</v>
      </c>
      <c r="E32" s="208">
        <f t="shared" ca="1" si="2"/>
        <v>57.719200000000001</v>
      </c>
      <c r="F32">
        <f t="shared" ca="1" si="3"/>
        <v>59.798999999999999</v>
      </c>
      <c r="G32">
        <f t="shared" ca="1" si="3"/>
        <v>59.578699999999998</v>
      </c>
      <c r="H32">
        <f t="shared" ca="1" si="3"/>
        <v>57.4437</v>
      </c>
      <c r="I32">
        <f t="shared" ref="F32:O35" ca="1" si="6">H31</f>
        <v>56.756</v>
      </c>
      <c r="J32">
        <f t="shared" ca="1" si="6"/>
        <v>56.313099999999999</v>
      </c>
      <c r="K32">
        <f t="shared" ca="1" si="6"/>
        <v>58.243699999999997</v>
      </c>
      <c r="L32">
        <f t="shared" ca="1" si="6"/>
        <v>58.096699999999998</v>
      </c>
      <c r="M32">
        <f t="shared" ca="1" si="6"/>
        <v>59.6526</v>
      </c>
      <c r="N32">
        <f t="shared" ca="1" si="6"/>
        <v>61.636800000000001</v>
      </c>
      <c r="O32">
        <f t="shared" ca="1" si="6"/>
        <v>64.183300000000003</v>
      </c>
      <c r="P32">
        <f t="shared" ca="1" si="4"/>
        <v>62.458300000000001</v>
      </c>
      <c r="Q32">
        <f t="shared" ca="1" si="4"/>
        <v>64.757900000000006</v>
      </c>
      <c r="R32">
        <f t="shared" ca="1" si="4"/>
        <v>64.813900000000004</v>
      </c>
      <c r="S32">
        <f t="shared" ca="1" si="4"/>
        <v>64.112700000000004</v>
      </c>
      <c r="T32">
        <f t="shared" ca="1" si="4"/>
        <v>65.133899999999997</v>
      </c>
      <c r="U32">
        <f t="shared" ca="1" si="4"/>
        <v>65.968100000000007</v>
      </c>
      <c r="V32">
        <f t="shared" ca="1" si="4"/>
        <v>66.4756</v>
      </c>
      <c r="W32">
        <f t="shared" ca="1" si="4"/>
        <v>70.230500000000006</v>
      </c>
      <c r="X32">
        <f t="shared" ca="1" si="4"/>
        <v>77.132599999999996</v>
      </c>
      <c r="Y32">
        <f t="shared" ca="1" si="4"/>
        <v>76.584500000000006</v>
      </c>
      <c r="Z32">
        <f t="shared" ca="1" si="4"/>
        <v>70.224400000000003</v>
      </c>
      <c r="AA32">
        <f t="shared" ca="1" si="4"/>
        <v>64.912000000000006</v>
      </c>
      <c r="AB32">
        <f t="shared" ca="1" si="4"/>
        <v>62.706099999999999</v>
      </c>
      <c r="AC32">
        <f t="shared" ca="1" si="4"/>
        <v>66.595399999999998</v>
      </c>
      <c r="AD32">
        <f t="shared" ca="1" si="4"/>
        <v>65.016900000000007</v>
      </c>
      <c r="AE32">
        <f t="shared" ca="1" si="4"/>
        <v>56.977400000000003</v>
      </c>
      <c r="AF32">
        <f t="shared" ca="1" si="5"/>
        <v>54.368299999999998</v>
      </c>
      <c r="AG32">
        <f t="shared" ca="1" si="5"/>
        <v>50.341900000000003</v>
      </c>
      <c r="AH32">
        <f ca="1">AG31</f>
        <v>52.363</v>
      </c>
    </row>
    <row r="33" spans="1:36" ht="15.75" x14ac:dyDescent="0.25">
      <c r="A33" s="226">
        <v>42156</v>
      </c>
      <c r="B33" s="225">
        <v>54.368299999999998</v>
      </c>
      <c r="C33" s="211">
        <f t="shared" ca="1" si="0"/>
        <v>57.686900000000001</v>
      </c>
      <c r="D33" s="212">
        <f t="shared" ca="1" si="1"/>
        <v>43009</v>
      </c>
      <c r="E33" s="208">
        <f t="shared" ca="1" si="2"/>
        <v>57.686900000000001</v>
      </c>
      <c r="F33">
        <f t="shared" ca="1" si="6"/>
        <v>57.719200000000001</v>
      </c>
      <c r="G33">
        <f t="shared" ca="1" si="6"/>
        <v>59.798999999999999</v>
      </c>
      <c r="H33">
        <f t="shared" ca="1" si="6"/>
        <v>59.578699999999998</v>
      </c>
      <c r="I33">
        <f t="shared" ca="1" si="6"/>
        <v>57.4437</v>
      </c>
      <c r="J33">
        <f t="shared" ca="1" si="6"/>
        <v>56.756</v>
      </c>
      <c r="K33">
        <f t="shared" ca="1" si="6"/>
        <v>56.313099999999999</v>
      </c>
      <c r="L33">
        <f t="shared" ca="1" si="6"/>
        <v>58.243699999999997</v>
      </c>
      <c r="M33">
        <f t="shared" ca="1" si="6"/>
        <v>58.096699999999998</v>
      </c>
      <c r="N33">
        <f t="shared" ca="1" si="6"/>
        <v>59.6526</v>
      </c>
      <c r="O33">
        <f t="shared" ca="1" si="6"/>
        <v>61.636800000000001</v>
      </c>
      <c r="P33">
        <f t="shared" ca="1" si="4"/>
        <v>64.183300000000003</v>
      </c>
      <c r="Q33">
        <f t="shared" ca="1" si="4"/>
        <v>62.458300000000001</v>
      </c>
      <c r="R33">
        <f t="shared" ca="1" si="4"/>
        <v>64.757900000000006</v>
      </c>
      <c r="S33">
        <f t="shared" ca="1" si="4"/>
        <v>64.813900000000004</v>
      </c>
      <c r="T33">
        <f t="shared" ca="1" si="4"/>
        <v>64.112700000000004</v>
      </c>
      <c r="U33">
        <f t="shared" ca="1" si="4"/>
        <v>65.133899999999997</v>
      </c>
      <c r="V33">
        <f t="shared" ca="1" si="4"/>
        <v>65.968100000000007</v>
      </c>
      <c r="W33">
        <f t="shared" ca="1" si="4"/>
        <v>66.4756</v>
      </c>
      <c r="X33">
        <f t="shared" ca="1" si="4"/>
        <v>70.230500000000006</v>
      </c>
      <c r="Y33">
        <f t="shared" ca="1" si="4"/>
        <v>77.132599999999996</v>
      </c>
      <c r="Z33">
        <f t="shared" ca="1" si="4"/>
        <v>76.584500000000006</v>
      </c>
      <c r="AA33">
        <f t="shared" ca="1" si="4"/>
        <v>70.224400000000003</v>
      </c>
      <c r="AB33">
        <f t="shared" ca="1" si="4"/>
        <v>64.912000000000006</v>
      </c>
      <c r="AC33">
        <f t="shared" ca="1" si="4"/>
        <v>62.706099999999999</v>
      </c>
      <c r="AD33">
        <f t="shared" ca="1" si="4"/>
        <v>66.595399999999998</v>
      </c>
      <c r="AE33">
        <f t="shared" ca="1" si="4"/>
        <v>65.016900000000007</v>
      </c>
      <c r="AF33">
        <f t="shared" ca="1" si="5"/>
        <v>56.977400000000003</v>
      </c>
      <c r="AG33">
        <f t="shared" ca="1" si="5"/>
        <v>54.368299999999998</v>
      </c>
      <c r="AH33">
        <f t="shared" ca="1" si="5"/>
        <v>50.341900000000003</v>
      </c>
      <c r="AI33">
        <f ca="1">AH32</f>
        <v>52.363</v>
      </c>
    </row>
    <row r="34" spans="1:36" ht="15.75" x14ac:dyDescent="0.25">
      <c r="A34" s="226">
        <v>42125</v>
      </c>
      <c r="B34" s="225">
        <v>50.341900000000003</v>
      </c>
      <c r="C34" s="211">
        <f t="shared" ca="1" si="0"/>
        <v>59.006100000000004</v>
      </c>
      <c r="D34" s="212">
        <f t="shared" ca="1" si="1"/>
        <v>43040</v>
      </c>
      <c r="E34" s="208">
        <f t="shared" ca="1" si="2"/>
        <v>59.006100000000004</v>
      </c>
      <c r="F34">
        <f t="shared" ca="1" si="6"/>
        <v>57.686900000000001</v>
      </c>
      <c r="G34">
        <f t="shared" ca="1" si="6"/>
        <v>57.719200000000001</v>
      </c>
      <c r="H34">
        <f t="shared" ca="1" si="6"/>
        <v>59.798999999999999</v>
      </c>
      <c r="I34">
        <f t="shared" ca="1" si="6"/>
        <v>59.578699999999998</v>
      </c>
      <c r="J34">
        <f t="shared" ca="1" si="6"/>
        <v>57.4437</v>
      </c>
      <c r="K34">
        <f t="shared" ca="1" si="6"/>
        <v>56.756</v>
      </c>
      <c r="L34">
        <f t="shared" ca="1" si="6"/>
        <v>56.313099999999999</v>
      </c>
      <c r="M34">
        <f t="shared" ca="1" si="6"/>
        <v>58.243699999999997</v>
      </c>
      <c r="N34">
        <f t="shared" ca="1" si="6"/>
        <v>58.096699999999998</v>
      </c>
      <c r="O34">
        <f t="shared" ca="1" si="6"/>
        <v>59.6526</v>
      </c>
      <c r="P34">
        <f t="shared" ca="1" si="4"/>
        <v>61.636800000000001</v>
      </c>
      <c r="Q34">
        <f t="shared" ca="1" si="4"/>
        <v>64.183300000000003</v>
      </c>
      <c r="R34">
        <f t="shared" ca="1" si="4"/>
        <v>62.458300000000001</v>
      </c>
      <c r="S34">
        <f t="shared" ca="1" si="4"/>
        <v>64.757900000000006</v>
      </c>
      <c r="T34">
        <f t="shared" ca="1" si="4"/>
        <v>64.813900000000004</v>
      </c>
      <c r="U34">
        <f t="shared" ca="1" si="4"/>
        <v>64.112700000000004</v>
      </c>
      <c r="V34">
        <f t="shared" ca="1" si="4"/>
        <v>65.133899999999997</v>
      </c>
      <c r="W34">
        <f t="shared" ca="1" si="4"/>
        <v>65.968100000000007</v>
      </c>
      <c r="X34">
        <f t="shared" ca="1" si="4"/>
        <v>66.4756</v>
      </c>
      <c r="Y34">
        <f t="shared" ca="1" si="4"/>
        <v>70.230500000000006</v>
      </c>
      <c r="Z34">
        <f t="shared" ca="1" si="4"/>
        <v>77.132599999999996</v>
      </c>
      <c r="AA34">
        <f t="shared" ca="1" si="4"/>
        <v>76.584500000000006</v>
      </c>
      <c r="AB34">
        <f t="shared" ca="1" si="4"/>
        <v>70.224400000000003</v>
      </c>
      <c r="AC34">
        <f t="shared" ca="1" si="4"/>
        <v>64.912000000000006</v>
      </c>
      <c r="AD34">
        <f t="shared" ca="1" si="4"/>
        <v>62.706099999999999</v>
      </c>
      <c r="AE34">
        <f t="shared" ca="1" si="4"/>
        <v>66.595399999999998</v>
      </c>
      <c r="AF34">
        <f t="shared" ca="1" si="5"/>
        <v>65.016900000000007</v>
      </c>
      <c r="AG34">
        <f t="shared" ca="1" si="5"/>
        <v>56.977400000000003</v>
      </c>
      <c r="AH34">
        <f t="shared" ca="1" si="5"/>
        <v>54.368299999999998</v>
      </c>
      <c r="AI34">
        <f t="shared" ca="1" si="5"/>
        <v>50.341900000000003</v>
      </c>
      <c r="AJ34">
        <f ca="1">AI33</f>
        <v>52.363</v>
      </c>
    </row>
    <row r="35" spans="1:36" ht="16.5" thickBot="1" x14ac:dyDescent="0.3">
      <c r="A35" s="226">
        <v>42095</v>
      </c>
      <c r="B35" s="225">
        <v>52.363</v>
      </c>
      <c r="C35" s="213">
        <f t="shared" ca="1" si="0"/>
        <v>58.716999999999999</v>
      </c>
      <c r="D35" s="214">
        <f t="shared" ca="1" si="1"/>
        <v>43070</v>
      </c>
      <c r="E35" s="208">
        <f t="shared" ca="1" si="2"/>
        <v>58.716999999999999</v>
      </c>
      <c r="F35">
        <f t="shared" ca="1" si="6"/>
        <v>59.006100000000004</v>
      </c>
      <c r="G35">
        <f t="shared" ca="1" si="6"/>
        <v>57.686900000000001</v>
      </c>
      <c r="H35">
        <f t="shared" ca="1" si="6"/>
        <v>57.719200000000001</v>
      </c>
      <c r="I35">
        <f t="shared" ca="1" si="6"/>
        <v>59.798999999999999</v>
      </c>
      <c r="J35">
        <f t="shared" ca="1" si="6"/>
        <v>59.578699999999998</v>
      </c>
      <c r="K35">
        <f t="shared" ca="1" si="6"/>
        <v>57.4437</v>
      </c>
      <c r="L35">
        <f t="shared" ca="1" si="6"/>
        <v>56.756</v>
      </c>
      <c r="M35">
        <f t="shared" ca="1" si="6"/>
        <v>56.313099999999999</v>
      </c>
      <c r="N35">
        <f t="shared" ca="1" si="6"/>
        <v>58.243699999999997</v>
      </c>
      <c r="O35">
        <f t="shared" ca="1" si="6"/>
        <v>58.096699999999998</v>
      </c>
      <c r="P35">
        <f t="shared" ca="1" si="4"/>
        <v>59.6526</v>
      </c>
      <c r="Q35">
        <f t="shared" ca="1" si="4"/>
        <v>61.636800000000001</v>
      </c>
      <c r="R35">
        <f t="shared" ca="1" si="4"/>
        <v>64.183300000000003</v>
      </c>
      <c r="S35">
        <f t="shared" ca="1" si="4"/>
        <v>62.458300000000001</v>
      </c>
      <c r="T35">
        <f t="shared" ca="1" si="4"/>
        <v>64.757900000000006</v>
      </c>
      <c r="U35">
        <f t="shared" ca="1" si="4"/>
        <v>64.813900000000004</v>
      </c>
      <c r="V35">
        <f t="shared" ca="1" si="4"/>
        <v>64.112700000000004</v>
      </c>
      <c r="W35">
        <f t="shared" ca="1" si="4"/>
        <v>65.133899999999997</v>
      </c>
      <c r="X35">
        <f t="shared" ca="1" si="4"/>
        <v>65.968100000000007</v>
      </c>
      <c r="Y35">
        <f t="shared" ca="1" si="4"/>
        <v>66.4756</v>
      </c>
      <c r="Z35">
        <f t="shared" ca="1" si="4"/>
        <v>70.230500000000006</v>
      </c>
      <c r="AA35">
        <f t="shared" ca="1" si="4"/>
        <v>77.132599999999996</v>
      </c>
      <c r="AB35">
        <f t="shared" ca="1" si="4"/>
        <v>76.584500000000006</v>
      </c>
      <c r="AC35">
        <f t="shared" ca="1" si="4"/>
        <v>70.224400000000003</v>
      </c>
      <c r="AD35">
        <f t="shared" ca="1" si="4"/>
        <v>64.912000000000006</v>
      </c>
      <c r="AE35">
        <f t="shared" ca="1" si="4"/>
        <v>62.706099999999999</v>
      </c>
      <c r="AF35">
        <f t="shared" ca="1" si="5"/>
        <v>66.595399999999998</v>
      </c>
      <c r="AG35">
        <f t="shared" ca="1" si="5"/>
        <v>65.016900000000007</v>
      </c>
      <c r="AH35">
        <f t="shared" ca="1" si="5"/>
        <v>56.977400000000003</v>
      </c>
      <c r="AI35" s="218">
        <f t="shared" ca="1" si="5"/>
        <v>54.368299999999998</v>
      </c>
      <c r="AJ35">
        <f ca="1">AI34</f>
        <v>50.341900000000003</v>
      </c>
    </row>
    <row r="36" spans="1:36" ht="15.75" thickBot="1" x14ac:dyDescent="0.3">
      <c r="F36" s="229">
        <f ca="1">CORREL(E4:E35,F4:F35)</f>
        <v>0.87548745084643786</v>
      </c>
      <c r="G36" s="90">
        <f ca="1">CORREL(E5:E35,G5:G35)</f>
        <v>0.64852953072529718</v>
      </c>
      <c r="H36" s="230">
        <f ca="1">CORREL(E6:E35,H6:H35)</f>
        <v>0.44066158175036563</v>
      </c>
      <c r="I36" s="219">
        <f ca="1">CORREL(E7:E35,I7:I35)</f>
        <v>0.29935631148233144</v>
      </c>
      <c r="J36" s="219">
        <f ca="1">CORREL(E8:E35,J8:J35)</f>
        <v>0.22814527436808985</v>
      </c>
      <c r="K36" s="164">
        <f ca="1">CORREL(E9:E35,K9:K35)</f>
        <v>8.5242139516010978E-2</v>
      </c>
      <c r="L36" s="164">
        <f ca="1">CORREL(E10:E35,L10:L35)</f>
        <v>-0.15677047619486803</v>
      </c>
      <c r="M36" s="164">
        <f ca="1">CORREL($E11:$E$35,M11:M$35)</f>
        <v>-0.34531507945742568</v>
      </c>
      <c r="N36" s="164">
        <f ca="1">CORREL($E12:$E$35,N12:N$35)</f>
        <v>-0.43578660987560069</v>
      </c>
      <c r="O36" s="164">
        <f ca="1">CORREL($E13:$E$35,O13:O$35)</f>
        <v>-0.44905071978802091</v>
      </c>
      <c r="P36" s="219">
        <f ca="1">CORREL($E14:$E$35,P14:P$35)</f>
        <v>-0.48820972353266517</v>
      </c>
      <c r="Q36" s="219">
        <f ca="1">CORREL($E15:$E$35,Q15:Q$35)</f>
        <v>-0.58276159651968151</v>
      </c>
      <c r="R36" s="219">
        <f ca="1">CORREL($E16:$E$35,R16:R$35)</f>
        <v>-0.71120891376357176</v>
      </c>
      <c r="S36" s="219">
        <f ca="1">CORREL($E17:$E$35,S17:S$35)</f>
        <v>-0.774976585489487</v>
      </c>
      <c r="T36" s="224">
        <f ca="1">CORREL($E18:$E$35,T18:T$35)</f>
        <v>-0.82595714616073057</v>
      </c>
      <c r="U36" s="224">
        <f ca="1">CORREL($E19:$E$35,U19:U$35)</f>
        <v>-0.84753308154098528</v>
      </c>
      <c r="V36" s="224">
        <f ca="1">CORREL($E20:$E$35,V20:V$35)</f>
        <v>-0.73595784287641075</v>
      </c>
      <c r="W36" s="219">
        <f ca="1">CORREL($E21:$E$35,W21:W$35)</f>
        <v>-0.60291255828013202</v>
      </c>
      <c r="X36" s="219">
        <f ca="1">CORREL($E22:$E$35,X22:X$35)</f>
        <v>-0.51694893396331387</v>
      </c>
      <c r="Y36" s="219">
        <f ca="1">CORREL($E23:$E$35,Y23:Y$35)</f>
        <v>-0.40256735995356968</v>
      </c>
      <c r="Z36" s="219">
        <f ca="1">CORREL($E24:$E$35,Z24:Z$35)</f>
        <v>-1.8185522773289799E-2</v>
      </c>
      <c r="AA36" s="227">
        <f ca="1">CORREL($E25:$E$35,AA25:AA$35)</f>
        <v>0.42220736450705115</v>
      </c>
      <c r="AB36" s="90">
        <f ca="1">CORREL($E26:$E$35,AB26:AB$35)</f>
        <v>0.69091674063036324</v>
      </c>
      <c r="AC36" s="228">
        <f ca="1">CORREL($E27:$E$35,AC27:AC$35)</f>
        <v>0.6011617369736495</v>
      </c>
      <c r="AD36" s="219">
        <f ca="1">CORREL($E28:$E$35,AD28:AD$35)</f>
        <v>0.11401997978831345</v>
      </c>
      <c r="AE36" s="219">
        <f ca="1">CORREL($E29:$E$35,AE29:AE$35)</f>
        <v>-0.18113859969334603</v>
      </c>
      <c r="AF36" s="219">
        <f ca="1">CORREL($E30:$E$35,AF30:AF$35)</f>
        <v>-0.20984254952629755</v>
      </c>
      <c r="AG36" s="164">
        <f ca="1">CORREL($E31:$E$35,AG31:AG$35)</f>
        <v>0.17345452141684556</v>
      </c>
      <c r="AH36" s="224">
        <f ca="1">CORREL($E32:$E$35,AH32:AH$35)</f>
        <v>0.80667149847809216</v>
      </c>
      <c r="AI36" s="219">
        <f ca="1">CORREL($E33:$E$35,AI33:AI$35)</f>
        <v>-0.21067530403057172</v>
      </c>
      <c r="AJ36" s="210">
        <f ca="1">CORREL($E34:$E$35,AJ34:AJ$35)</f>
        <v>1</v>
      </c>
    </row>
    <row r="37" spans="1:36" x14ac:dyDescent="0.25">
      <c r="A37" s="207"/>
      <c r="D37" s="207"/>
    </row>
    <row r="38" spans="1:36" x14ac:dyDescent="0.25">
      <c r="A38" s="207"/>
    </row>
    <row r="39" spans="1:36" ht="19.5" customHeight="1" x14ac:dyDescent="0.25">
      <c r="A39" s="207"/>
    </row>
    <row r="40" spans="1:36" ht="65.25" customHeight="1" x14ac:dyDescent="0.35">
      <c r="A40" s="207"/>
      <c r="E40" s="4" t="s">
        <v>159</v>
      </c>
      <c r="F40" s="4" t="s">
        <v>160</v>
      </c>
      <c r="G40" s="231" t="s">
        <v>178</v>
      </c>
      <c r="H40" s="231" t="s">
        <v>161</v>
      </c>
      <c r="I40" s="231" t="s">
        <v>162</v>
      </c>
    </row>
    <row r="41" spans="1:36" ht="15.75" x14ac:dyDescent="0.25">
      <c r="A41" s="220">
        <v>43070</v>
      </c>
      <c r="B41" s="221" t="s">
        <v>121</v>
      </c>
      <c r="E41" s="4">
        <v>1</v>
      </c>
      <c r="F41" s="4">
        <f ca="1">AVERAGE(C3:C5)</f>
        <v>52.357733333333336</v>
      </c>
      <c r="G41" s="4" t="s">
        <v>13</v>
      </c>
      <c r="H41" s="4" t="s">
        <v>13</v>
      </c>
      <c r="I41" s="4" t="s">
        <v>13</v>
      </c>
      <c r="J41" s="180"/>
      <c r="K41" s="180"/>
      <c r="L41" s="180"/>
      <c r="M41" s="180"/>
    </row>
    <row r="42" spans="1:36" ht="15.75" x14ac:dyDescent="0.25">
      <c r="A42" s="222">
        <v>43040</v>
      </c>
      <c r="B42" s="223" t="s">
        <v>122</v>
      </c>
      <c r="E42" s="4">
        <v>2</v>
      </c>
      <c r="F42" s="4">
        <f ca="1">AVERAGE(C6:C8)</f>
        <v>62.863233333333334</v>
      </c>
      <c r="G42" s="4" t="s">
        <v>13</v>
      </c>
      <c r="H42" s="4" t="s">
        <v>13</v>
      </c>
      <c r="I42" s="4" t="s">
        <v>13</v>
      </c>
    </row>
    <row r="43" spans="1:36" ht="15.75" x14ac:dyDescent="0.25">
      <c r="A43" s="220">
        <v>43009</v>
      </c>
      <c r="B43" s="221" t="s">
        <v>123</v>
      </c>
      <c r="E43" s="4">
        <v>3</v>
      </c>
      <c r="F43" s="4">
        <f ca="1">AVERAGE(C9:C11)</f>
        <v>65.947500000000005</v>
      </c>
      <c r="G43" s="4">
        <f t="shared" ref="G43:G50" ca="1" si="7">SUM(F41:F44)/4</f>
        <v>63.954416666666674</v>
      </c>
      <c r="H43" s="4">
        <f ca="1">(G43+G44)/2</f>
        <v>65.642099999999999</v>
      </c>
      <c r="I43" s="4">
        <f ca="1">F43-H43</f>
        <v>0.30540000000000589</v>
      </c>
    </row>
    <row r="44" spans="1:36" ht="15.75" x14ac:dyDescent="0.25">
      <c r="A44" s="222">
        <v>42979</v>
      </c>
      <c r="B44" s="223" t="s">
        <v>124</v>
      </c>
      <c r="E44" s="4">
        <v>4</v>
      </c>
      <c r="F44" s="4">
        <f ca="1">AVERAGE(C12:C14)</f>
        <v>74.649200000000008</v>
      </c>
      <c r="G44" s="4">
        <f t="shared" ca="1" si="7"/>
        <v>67.329783333333339</v>
      </c>
      <c r="H44" s="4">
        <f t="shared" ref="H44:H48" ca="1" si="8">(G44+G45)/2</f>
        <v>67.54206666666667</v>
      </c>
      <c r="I44" s="4">
        <f t="shared" ref="I44:I49" ca="1" si="9">F44-H44</f>
        <v>7.1071333333333371</v>
      </c>
    </row>
    <row r="45" spans="1:36" ht="15.75" x14ac:dyDescent="0.25">
      <c r="A45" s="220">
        <v>42948</v>
      </c>
      <c r="B45" s="221" t="s">
        <v>125</v>
      </c>
      <c r="E45" s="4">
        <v>5</v>
      </c>
      <c r="F45" s="4">
        <f ca="1">AVERAGE(C15:C17)</f>
        <v>65.859200000000001</v>
      </c>
      <c r="G45" s="4">
        <f t="shared" ca="1" si="7"/>
        <v>67.754350000000002</v>
      </c>
      <c r="H45" s="4">
        <f t="shared" ca="1" si="8"/>
        <v>67.355845833333348</v>
      </c>
      <c r="I45" s="4">
        <f t="shared" ca="1" si="9"/>
        <v>-1.4966458333333463</v>
      </c>
    </row>
    <row r="46" spans="1:36" ht="15.75" x14ac:dyDescent="0.25">
      <c r="A46" s="222">
        <v>42917</v>
      </c>
      <c r="B46" s="223" t="s">
        <v>126</v>
      </c>
      <c r="E46" s="4">
        <v>6</v>
      </c>
      <c r="F46" s="4">
        <f ca="1">AVERAGE(C18:C20)</f>
        <v>64.561500000000009</v>
      </c>
      <c r="G46" s="4">
        <f t="shared" ca="1" si="7"/>
        <v>66.957341666666679</v>
      </c>
      <c r="H46" s="4">
        <f ca="1">(G46+G47)/2</f>
        <v>64.959233333333344</v>
      </c>
      <c r="I46" s="4">
        <f t="shared" ca="1" si="9"/>
        <v>-0.39773333333333483</v>
      </c>
    </row>
    <row r="47" spans="1:36" ht="15.75" x14ac:dyDescent="0.25">
      <c r="A47" s="220">
        <v>42887</v>
      </c>
      <c r="B47" s="221" t="s">
        <v>127</v>
      </c>
      <c r="E47" s="4">
        <v>7</v>
      </c>
      <c r="F47" s="4">
        <f ca="1">AVERAGE(C21:C23)</f>
        <v>62.759466666666668</v>
      </c>
      <c r="G47" s="4">
        <f t="shared" ca="1" si="7"/>
        <v>62.961125000000003</v>
      </c>
      <c r="H47" s="4">
        <f t="shared" ca="1" si="8"/>
        <v>61.833425000000005</v>
      </c>
      <c r="I47" s="4">
        <f t="shared" ca="1" si="9"/>
        <v>0.92604166666666288</v>
      </c>
    </row>
    <row r="48" spans="1:36" ht="15.75" x14ac:dyDescent="0.25">
      <c r="A48" s="222">
        <v>42856</v>
      </c>
      <c r="B48" s="223" t="s">
        <v>128</v>
      </c>
      <c r="E48" s="4">
        <v>8</v>
      </c>
      <c r="F48" s="4">
        <f ca="1">AVERAGE(C24:C26)</f>
        <v>58.664333333333332</v>
      </c>
      <c r="G48" s="4">
        <f t="shared" ca="1" si="7"/>
        <v>60.705725000000001</v>
      </c>
      <c r="H48" s="4">
        <f t="shared" ca="1" si="8"/>
        <v>60.014575000000001</v>
      </c>
      <c r="I48" s="4">
        <f t="shared" ca="1" si="9"/>
        <v>-1.350241666666669</v>
      </c>
    </row>
    <row r="49" spans="1:12" ht="15.75" x14ac:dyDescent="0.25">
      <c r="A49" s="220">
        <v>42826</v>
      </c>
      <c r="B49" s="221" t="s">
        <v>129</v>
      </c>
      <c r="E49" s="4">
        <v>9</v>
      </c>
      <c r="F49" s="4">
        <f ca="1">AVERAGE(C27:C29)</f>
        <v>56.837600000000002</v>
      </c>
      <c r="G49" s="4">
        <f t="shared" ca="1" si="7"/>
        <v>59.323425</v>
      </c>
      <c r="H49" s="4">
        <f ca="1">(G49+G50)/2</f>
        <v>58.787241666666667</v>
      </c>
      <c r="I49" s="4">
        <f t="shared" ca="1" si="9"/>
        <v>-1.9496416666666647</v>
      </c>
    </row>
    <row r="50" spans="1:12" ht="15.75" x14ac:dyDescent="0.25">
      <c r="A50" s="222">
        <v>42795</v>
      </c>
      <c r="B50" s="223" t="s">
        <v>130</v>
      </c>
      <c r="E50" s="4">
        <v>10</v>
      </c>
      <c r="F50" s="4">
        <f ca="1">AVERAGE(C30:C32)</f>
        <v>59.032299999999999</v>
      </c>
      <c r="G50" s="4">
        <f t="shared" ca="1" si="7"/>
        <v>58.251058333333333</v>
      </c>
      <c r="H50" s="4" t="s">
        <v>13</v>
      </c>
      <c r="I50" s="4" t="s">
        <v>13</v>
      </c>
    </row>
    <row r="51" spans="1:12" ht="15.75" x14ac:dyDescent="0.25">
      <c r="A51" s="220">
        <v>42767</v>
      </c>
      <c r="B51" s="221" t="s">
        <v>131</v>
      </c>
      <c r="E51" s="4">
        <v>11</v>
      </c>
      <c r="F51" s="4">
        <f ca="1">AVERAGE(C33:C35)</f>
        <v>58.470000000000006</v>
      </c>
      <c r="G51" s="4" t="s">
        <v>13</v>
      </c>
      <c r="H51" s="4" t="s">
        <v>13</v>
      </c>
      <c r="I51" s="4" t="s">
        <v>13</v>
      </c>
    </row>
    <row r="52" spans="1:12" ht="15.75" x14ac:dyDescent="0.25">
      <c r="A52" s="222">
        <v>42736</v>
      </c>
      <c r="B52" s="223" t="s">
        <v>132</v>
      </c>
      <c r="E52" s="25"/>
      <c r="F52" s="25"/>
      <c r="G52" s="25"/>
      <c r="H52" s="25"/>
      <c r="I52" s="25"/>
      <c r="J52" s="35"/>
    </row>
    <row r="53" spans="1:12" ht="15.75" x14ac:dyDescent="0.25">
      <c r="A53" s="220">
        <v>42705</v>
      </c>
      <c r="B53" s="221" t="s">
        <v>133</v>
      </c>
      <c r="E53" s="25"/>
      <c r="F53" s="25"/>
      <c r="G53" s="25"/>
      <c r="H53" s="25"/>
      <c r="I53" s="25"/>
      <c r="J53" s="35"/>
    </row>
    <row r="54" spans="1:12" ht="15.75" x14ac:dyDescent="0.25">
      <c r="A54" s="222">
        <v>42675</v>
      </c>
      <c r="B54" s="223" t="s">
        <v>134</v>
      </c>
      <c r="E54" s="287" t="s">
        <v>158</v>
      </c>
      <c r="F54" s="288"/>
      <c r="G54" s="288"/>
      <c r="H54" s="288"/>
      <c r="I54" s="288"/>
      <c r="J54" s="288"/>
    </row>
    <row r="55" spans="1:12" ht="15.75" x14ac:dyDescent="0.25">
      <c r="A55" s="220">
        <v>42644</v>
      </c>
      <c r="B55" s="221" t="s">
        <v>135</v>
      </c>
      <c r="E55" s="5" t="s">
        <v>163</v>
      </c>
      <c r="F55" s="5" t="s">
        <v>164</v>
      </c>
      <c r="G55" s="288" t="s">
        <v>165</v>
      </c>
      <c r="H55" s="288"/>
      <c r="I55" s="288"/>
      <c r="J55" s="288"/>
    </row>
    <row r="56" spans="1:12" ht="15.75" x14ac:dyDescent="0.25">
      <c r="A56" s="222">
        <v>42614</v>
      </c>
      <c r="B56" s="223" t="s">
        <v>136</v>
      </c>
      <c r="E56" s="5"/>
      <c r="F56" s="5"/>
      <c r="G56" s="4">
        <v>1</v>
      </c>
      <c r="H56" s="4">
        <v>2</v>
      </c>
      <c r="I56" s="4">
        <v>3</v>
      </c>
      <c r="J56" s="4">
        <v>4</v>
      </c>
    </row>
    <row r="57" spans="1:12" ht="15.75" x14ac:dyDescent="0.25">
      <c r="A57" s="220">
        <v>42583</v>
      </c>
      <c r="B57" s="221" t="s">
        <v>137</v>
      </c>
      <c r="E57" s="5"/>
      <c r="F57" s="5">
        <v>1</v>
      </c>
      <c r="G57" s="4" t="s">
        <v>13</v>
      </c>
      <c r="H57" s="4" t="s">
        <v>13</v>
      </c>
      <c r="I57" s="4">
        <f ca="1">I43</f>
        <v>0.30540000000000589</v>
      </c>
      <c r="J57" s="4">
        <f ca="1">I44</f>
        <v>7.1071333333333371</v>
      </c>
    </row>
    <row r="58" spans="1:12" ht="15.75" x14ac:dyDescent="0.25">
      <c r="A58" s="222">
        <v>42552</v>
      </c>
      <c r="B58" s="223" t="s">
        <v>138</v>
      </c>
      <c r="E58" s="5"/>
      <c r="F58" s="5">
        <v>2</v>
      </c>
      <c r="G58" s="4">
        <f ca="1">I45</f>
        <v>-1.4966458333333463</v>
      </c>
      <c r="H58" s="4">
        <f ca="1">I46</f>
        <v>-0.39773333333333483</v>
      </c>
      <c r="I58" s="4">
        <f ca="1">I47</f>
        <v>0.92604166666666288</v>
      </c>
      <c r="J58" s="4">
        <f ca="1">I48</f>
        <v>-1.350241666666669</v>
      </c>
    </row>
    <row r="59" spans="1:12" ht="15.75" x14ac:dyDescent="0.25">
      <c r="A59" s="220">
        <v>42522</v>
      </c>
      <c r="B59" s="221" t="s">
        <v>139</v>
      </c>
      <c r="E59" s="5"/>
      <c r="F59" s="5">
        <v>3</v>
      </c>
      <c r="G59" s="4">
        <f ca="1">I49</f>
        <v>-1.9496416666666647</v>
      </c>
      <c r="H59" s="4" t="s">
        <v>13</v>
      </c>
      <c r="I59" s="4" t="s">
        <v>13</v>
      </c>
      <c r="J59" s="4" t="s">
        <v>13</v>
      </c>
    </row>
    <row r="60" spans="1:12" ht="45" x14ac:dyDescent="0.25">
      <c r="A60" s="222">
        <v>42491</v>
      </c>
      <c r="B60" s="223" t="s">
        <v>140</v>
      </c>
      <c r="E60" s="231" t="s">
        <v>166</v>
      </c>
      <c r="F60" s="5"/>
      <c r="G60" s="5">
        <f ca="1">G58+G59</f>
        <v>-3.4462875000000111</v>
      </c>
      <c r="H60" s="5">
        <f ca="1">H58</f>
        <v>-0.39773333333333483</v>
      </c>
      <c r="I60" s="5">
        <f ca="1">I57+I58</f>
        <v>1.2314416666666688</v>
      </c>
      <c r="J60" s="5">
        <f ca="1">J57+J58</f>
        <v>5.7568916666666681</v>
      </c>
    </row>
    <row r="61" spans="1:12" ht="60" x14ac:dyDescent="0.25">
      <c r="A61" s="220">
        <v>42461</v>
      </c>
      <c r="B61" s="221" t="s">
        <v>141</v>
      </c>
      <c r="E61" s="231" t="s">
        <v>167</v>
      </c>
      <c r="F61" s="5"/>
      <c r="G61" s="232">
        <f ca="1">G60/3</f>
        <v>-1.1487625000000037</v>
      </c>
      <c r="H61" s="232">
        <f ca="1">H60/3</f>
        <v>-0.13257777777777827</v>
      </c>
      <c r="I61" s="232">
        <f ca="1">I60/3</f>
        <v>0.41048055555555624</v>
      </c>
      <c r="J61" s="232">
        <f ca="1">J60/3</f>
        <v>1.9189638888888894</v>
      </c>
      <c r="K61" s="236">
        <f ca="1">SUM(G61:J61)</f>
        <v>1.0481041666666635</v>
      </c>
      <c r="L61" t="s">
        <v>90</v>
      </c>
    </row>
    <row r="62" spans="1:12" ht="45.75" x14ac:dyDescent="0.25">
      <c r="A62" s="222">
        <v>42430</v>
      </c>
      <c r="B62" s="223" t="s">
        <v>142</v>
      </c>
      <c r="E62" s="231" t="s">
        <v>168</v>
      </c>
      <c r="F62" s="5"/>
      <c r="G62" s="233">
        <f ca="1">G61-$K$62</f>
        <v>-1.4107885416666694</v>
      </c>
      <c r="H62" s="233">
        <f t="shared" ref="H62:J62" ca="1" si="10">H61-$K$62</f>
        <v>-0.39460381944444411</v>
      </c>
      <c r="I62" s="233">
        <f t="shared" ca="1" si="10"/>
        <v>0.14845451388889036</v>
      </c>
      <c r="J62" s="233">
        <f t="shared" ca="1" si="10"/>
        <v>1.6569378472222236</v>
      </c>
      <c r="K62" s="234">
        <f ca="1">K61/4</f>
        <v>0.26202604166666588</v>
      </c>
      <c r="L62" s="235" t="s">
        <v>169</v>
      </c>
    </row>
    <row r="63" spans="1:12" ht="15.75" x14ac:dyDescent="0.25">
      <c r="A63" s="220">
        <v>42401</v>
      </c>
      <c r="B63" s="221" t="s">
        <v>143</v>
      </c>
    </row>
    <row r="64" spans="1:12" ht="15.75" x14ac:dyDescent="0.25">
      <c r="A64" s="222">
        <v>42370</v>
      </c>
      <c r="B64" s="223" t="s">
        <v>144</v>
      </c>
    </row>
    <row r="65" spans="1:12" ht="15.75" x14ac:dyDescent="0.25">
      <c r="A65" s="220">
        <v>42339</v>
      </c>
      <c r="B65" s="221" t="s">
        <v>145</v>
      </c>
      <c r="E65" s="289" t="s">
        <v>170</v>
      </c>
      <c r="F65" s="289"/>
      <c r="G65" s="289"/>
      <c r="H65" s="289"/>
      <c r="I65" s="289"/>
      <c r="J65" s="289"/>
      <c r="K65" s="289"/>
      <c r="L65" s="289"/>
    </row>
    <row r="66" spans="1:12" ht="18" x14ac:dyDescent="0.35">
      <c r="A66" s="222">
        <v>42309</v>
      </c>
      <c r="B66" s="223" t="s">
        <v>146</v>
      </c>
      <c r="E66" s="4" t="s">
        <v>171</v>
      </c>
      <c r="F66" s="4" t="s">
        <v>160</v>
      </c>
      <c r="G66" s="4" t="s">
        <v>172</v>
      </c>
      <c r="H66" s="11" t="s">
        <v>173</v>
      </c>
      <c r="I66" s="11" t="s">
        <v>174</v>
      </c>
      <c r="J66" s="11" t="s">
        <v>175</v>
      </c>
      <c r="K66" s="11" t="s">
        <v>176</v>
      </c>
      <c r="L66" s="11" t="s">
        <v>177</v>
      </c>
    </row>
    <row r="67" spans="1:12" ht="15.75" x14ac:dyDescent="0.25">
      <c r="A67" s="220">
        <v>42278</v>
      </c>
      <c r="B67" s="221" t="s">
        <v>147</v>
      </c>
      <c r="E67" s="4">
        <v>1</v>
      </c>
      <c r="F67" s="4">
        <v>2</v>
      </c>
      <c r="G67" s="4">
        <v>3</v>
      </c>
      <c r="H67" s="4">
        <v>4</v>
      </c>
      <c r="I67" s="4">
        <v>5</v>
      </c>
      <c r="J67" s="4">
        <v>6</v>
      </c>
      <c r="K67" s="4">
        <v>7</v>
      </c>
      <c r="L67" s="4">
        <v>8</v>
      </c>
    </row>
    <row r="68" spans="1:12" ht="15.75" x14ac:dyDescent="0.25">
      <c r="A68" s="222">
        <v>42248</v>
      </c>
      <c r="B68" s="223" t="s">
        <v>148</v>
      </c>
      <c r="E68" s="4">
        <v>1</v>
      </c>
      <c r="F68" s="4">
        <f ca="1">F41</f>
        <v>52.357733333333336</v>
      </c>
      <c r="G68" s="232">
        <f ca="1">G62</f>
        <v>-1.4107885416666694</v>
      </c>
      <c r="H68" s="232">
        <f ca="1">F68-G68</f>
        <v>53.768521875000005</v>
      </c>
      <c r="I68" s="232">
        <f xml:space="preserve"> -0.0045*E68+ 254.76</f>
        <v>254.75549999999998</v>
      </c>
      <c r="J68" s="232">
        <f ca="1">I68+G68</f>
        <v>253.34471145833331</v>
      </c>
      <c r="K68" s="232">
        <f ca="1">F68-J68</f>
        <v>-200.98697812499998</v>
      </c>
      <c r="L68" s="5">
        <f ca="1">K68*K68</f>
        <v>40395.765375819217</v>
      </c>
    </row>
    <row r="69" spans="1:12" ht="15.75" x14ac:dyDescent="0.25">
      <c r="A69" s="220">
        <v>42217</v>
      </c>
      <c r="B69" s="221" t="s">
        <v>149</v>
      </c>
      <c r="E69" s="4">
        <v>2</v>
      </c>
      <c r="F69" s="4">
        <f t="shared" ref="F69:F78" ca="1" si="11">F42</f>
        <v>62.863233333333334</v>
      </c>
      <c r="G69" s="232">
        <f ca="1">H62</f>
        <v>-0.39460381944444411</v>
      </c>
      <c r="H69" s="232">
        <f t="shared" ref="H69:H78" ca="1" si="12">F69-G69</f>
        <v>63.257837152777775</v>
      </c>
      <c r="I69" s="232">
        <f t="shared" ref="I69:I78" si="13" xml:space="preserve"> -0.0045*E69+ 254.76</f>
        <v>254.751</v>
      </c>
      <c r="J69" s="232">
        <f t="shared" ref="J69:J78" ca="1" si="14">I69+G69</f>
        <v>254.35639618055555</v>
      </c>
      <c r="K69" s="232">
        <f t="shared" ref="K69:K78" ca="1" si="15">F69-J69</f>
        <v>-191.49316284722221</v>
      </c>
      <c r="L69" s="5">
        <f t="shared" ref="L69:L78" ca="1" si="16">K69*K69</f>
        <v>36669.631417232762</v>
      </c>
    </row>
    <row r="70" spans="1:12" ht="15.75" x14ac:dyDescent="0.25">
      <c r="A70" s="222">
        <v>42186</v>
      </c>
      <c r="B70" s="223" t="s">
        <v>150</v>
      </c>
      <c r="E70" s="4">
        <v>3</v>
      </c>
      <c r="F70" s="4">
        <f t="shared" ca="1" si="11"/>
        <v>65.947500000000005</v>
      </c>
      <c r="G70" s="232">
        <f ca="1">I62</f>
        <v>0.14845451388889036</v>
      </c>
      <c r="H70" s="232">
        <f t="shared" ca="1" si="12"/>
        <v>65.799045486111112</v>
      </c>
      <c r="I70" s="232">
        <f t="shared" si="13"/>
        <v>254.7465</v>
      </c>
      <c r="J70" s="232">
        <f ca="1">I70+G70</f>
        <v>254.89495451388888</v>
      </c>
      <c r="K70" s="232">
        <f t="shared" ca="1" si="15"/>
        <v>-188.94745451388889</v>
      </c>
      <c r="L70" s="5">
        <f t="shared" ca="1" si="16"/>
        <v>35701.140567278111</v>
      </c>
    </row>
    <row r="71" spans="1:12" ht="15.75" x14ac:dyDescent="0.25">
      <c r="A71" s="220">
        <v>42156</v>
      </c>
      <c r="B71" s="221" t="s">
        <v>151</v>
      </c>
      <c r="E71" s="4">
        <v>4</v>
      </c>
      <c r="F71" s="4">
        <f t="shared" ca="1" si="11"/>
        <v>74.649200000000008</v>
      </c>
      <c r="G71" s="232">
        <f ca="1">J62</f>
        <v>1.6569378472222236</v>
      </c>
      <c r="H71" s="232">
        <f t="shared" ca="1" si="12"/>
        <v>72.992262152777784</v>
      </c>
      <c r="I71" s="232">
        <f t="shared" si="13"/>
        <v>254.74199999999999</v>
      </c>
      <c r="J71" s="232">
        <f ca="1">I71+G71</f>
        <v>256.39893784722221</v>
      </c>
      <c r="K71" s="232">
        <f t="shared" ca="1" si="15"/>
        <v>-181.74973784722221</v>
      </c>
      <c r="L71" s="5">
        <f t="shared" ca="1" si="16"/>
        <v>33032.967207533999</v>
      </c>
    </row>
    <row r="72" spans="1:12" ht="15.75" x14ac:dyDescent="0.25">
      <c r="A72" s="222">
        <v>42125</v>
      </c>
      <c r="B72" s="223" t="s">
        <v>152</v>
      </c>
      <c r="E72" s="4">
        <v>5</v>
      </c>
      <c r="F72" s="4">
        <f t="shared" ca="1" si="11"/>
        <v>65.859200000000001</v>
      </c>
      <c r="G72" s="232">
        <f ca="1">G68</f>
        <v>-1.4107885416666694</v>
      </c>
      <c r="H72" s="232">
        <f t="shared" ca="1" si="12"/>
        <v>67.269988541666677</v>
      </c>
      <c r="I72" s="232">
        <f xml:space="preserve"> -0.0045*E72+ 254.76</f>
        <v>254.73749999999998</v>
      </c>
      <c r="J72" s="232">
        <f t="shared" ca="1" si="14"/>
        <v>253.32671145833331</v>
      </c>
      <c r="K72" s="232">
        <f t="shared" ca="1" si="15"/>
        <v>-187.46751145833332</v>
      </c>
      <c r="L72" s="5">
        <f t="shared" ca="1" si="16"/>
        <v>35144.067852380336</v>
      </c>
    </row>
    <row r="73" spans="1:12" ht="15.75" x14ac:dyDescent="0.25">
      <c r="A73" s="220">
        <v>42095</v>
      </c>
      <c r="B73" s="221" t="s">
        <v>153</v>
      </c>
      <c r="E73" s="4">
        <v>6</v>
      </c>
      <c r="F73" s="4">
        <f t="shared" ca="1" si="11"/>
        <v>64.561500000000009</v>
      </c>
      <c r="G73" s="232">
        <f t="shared" ref="G73:G78" ca="1" si="17">G69</f>
        <v>-0.39460381944444411</v>
      </c>
      <c r="H73" s="232">
        <f t="shared" ca="1" si="12"/>
        <v>64.956103819444451</v>
      </c>
      <c r="I73" s="232">
        <f t="shared" si="13"/>
        <v>254.733</v>
      </c>
      <c r="J73" s="232">
        <f t="shared" ca="1" si="14"/>
        <v>254.33839618055555</v>
      </c>
      <c r="K73" s="232">
        <f t="shared" ca="1" si="15"/>
        <v>-189.77689618055553</v>
      </c>
      <c r="L73" s="5">
        <f t="shared" ca="1" si="16"/>
        <v>36015.270323925353</v>
      </c>
    </row>
    <row r="74" spans="1:12" ht="15.75" x14ac:dyDescent="0.25">
      <c r="A74" s="222">
        <v>42064</v>
      </c>
      <c r="B74" s="223" t="s">
        <v>154</v>
      </c>
      <c r="E74" s="4">
        <v>7</v>
      </c>
      <c r="F74" s="4">
        <f t="shared" ca="1" si="11"/>
        <v>62.759466666666668</v>
      </c>
      <c r="G74" s="232">
        <f t="shared" ca="1" si="17"/>
        <v>0.14845451388889036</v>
      </c>
      <c r="H74" s="232">
        <f t="shared" ca="1" si="12"/>
        <v>62.611012152777775</v>
      </c>
      <c r="I74" s="232">
        <f t="shared" si="13"/>
        <v>254.7285</v>
      </c>
      <c r="J74" s="232">
        <f t="shared" ca="1" si="14"/>
        <v>254.87695451388888</v>
      </c>
      <c r="K74" s="232">
        <f t="shared" ca="1" si="15"/>
        <v>-192.11748784722221</v>
      </c>
      <c r="L74" s="5">
        <f t="shared" ca="1" si="16"/>
        <v>36909.12913672757</v>
      </c>
    </row>
    <row r="75" spans="1:12" ht="15.75" x14ac:dyDescent="0.25">
      <c r="A75" s="220">
        <v>42036</v>
      </c>
      <c r="B75" s="221" t="s">
        <v>155</v>
      </c>
      <c r="E75" s="4">
        <v>8</v>
      </c>
      <c r="F75" s="4">
        <f t="shared" ca="1" si="11"/>
        <v>58.664333333333332</v>
      </c>
      <c r="G75" s="232">
        <f t="shared" ca="1" si="17"/>
        <v>1.6569378472222236</v>
      </c>
      <c r="H75" s="232">
        <f t="shared" ca="1" si="12"/>
        <v>57.007395486111108</v>
      </c>
      <c r="I75" s="232">
        <f t="shared" si="13"/>
        <v>254.72399999999999</v>
      </c>
      <c r="J75" s="232">
        <f t="shared" ca="1" si="14"/>
        <v>256.38093784722219</v>
      </c>
      <c r="K75" s="232">
        <f t="shared" ca="1" si="15"/>
        <v>-197.71660451388885</v>
      </c>
      <c r="L75" s="5">
        <f t="shared" ca="1" si="16"/>
        <v>39091.855700501532</v>
      </c>
    </row>
    <row r="76" spans="1:12" ht="15.75" x14ac:dyDescent="0.25">
      <c r="A76" s="222">
        <v>42005</v>
      </c>
      <c r="B76" s="223" t="s">
        <v>156</v>
      </c>
      <c r="E76" s="4">
        <v>9</v>
      </c>
      <c r="F76" s="4">
        <f t="shared" ca="1" si="11"/>
        <v>56.837600000000002</v>
      </c>
      <c r="G76" s="232">
        <f t="shared" ca="1" si="17"/>
        <v>-1.4107885416666694</v>
      </c>
      <c r="H76" s="232">
        <f t="shared" ca="1" si="12"/>
        <v>58.248388541666671</v>
      </c>
      <c r="I76" s="232">
        <f xml:space="preserve"> -0.0045*E76+ 254.76</f>
        <v>254.71949999999998</v>
      </c>
      <c r="J76" s="232">
        <f t="shared" ca="1" si="14"/>
        <v>253.30871145833331</v>
      </c>
      <c r="K76" s="232">
        <f t="shared" ca="1" si="15"/>
        <v>-196.4711114583333</v>
      </c>
      <c r="L76" s="5">
        <f t="shared" ca="1" si="16"/>
        <v>38600.897637672824</v>
      </c>
    </row>
    <row r="77" spans="1:12" ht="15.75" x14ac:dyDescent="0.25">
      <c r="A77" s="220">
        <v>41974</v>
      </c>
      <c r="B77" s="221" t="s">
        <v>157</v>
      </c>
      <c r="E77" s="4">
        <v>10</v>
      </c>
      <c r="F77" s="4">
        <f t="shared" ca="1" si="11"/>
        <v>59.032299999999999</v>
      </c>
      <c r="G77" s="232">
        <f t="shared" ca="1" si="17"/>
        <v>-0.39460381944444411</v>
      </c>
      <c r="H77" s="232">
        <f t="shared" ca="1" si="12"/>
        <v>59.426903819444441</v>
      </c>
      <c r="I77" s="232">
        <f t="shared" si="13"/>
        <v>254.715</v>
      </c>
      <c r="J77" s="232">
        <f t="shared" ca="1" si="14"/>
        <v>254.32039618055555</v>
      </c>
      <c r="K77" s="232">
        <f t="shared" ca="1" si="15"/>
        <v>-195.28809618055556</v>
      </c>
      <c r="L77" s="5">
        <f ca="1">K77*K77</f>
        <v>38137.440509825916</v>
      </c>
    </row>
    <row r="78" spans="1:12" x14ac:dyDescent="0.25">
      <c r="E78" s="4">
        <v>11</v>
      </c>
      <c r="F78" s="4">
        <f t="shared" ca="1" si="11"/>
        <v>58.470000000000006</v>
      </c>
      <c r="G78" s="232">
        <f t="shared" ca="1" si="17"/>
        <v>0.14845451388889036</v>
      </c>
      <c r="H78" s="232">
        <f t="shared" ca="1" si="12"/>
        <v>58.321545486111113</v>
      </c>
      <c r="I78" s="232">
        <f t="shared" si="13"/>
        <v>254.7105</v>
      </c>
      <c r="J78" s="232">
        <f t="shared" ca="1" si="14"/>
        <v>254.85895451388888</v>
      </c>
      <c r="K78" s="232">
        <f t="shared" ca="1" si="15"/>
        <v>-196.38895451388888</v>
      </c>
      <c r="L78" s="5">
        <f t="shared" ca="1" si="16"/>
        <v>38568.621455058317</v>
      </c>
    </row>
    <row r="79" spans="1:12" x14ac:dyDescent="0.25">
      <c r="E79" s="5" t="s">
        <v>90</v>
      </c>
      <c r="F79" s="5"/>
      <c r="G79" s="5"/>
      <c r="H79" s="5"/>
      <c r="I79" s="5"/>
      <c r="J79" s="5">
        <f ca="1">VAR(J68:J78)*11</f>
        <v>12.876219340150492</v>
      </c>
      <c r="K79" s="5"/>
      <c r="L79" s="5">
        <f ca="1">SUM(L68:L78)</f>
        <v>408266.78718395601</v>
      </c>
    </row>
    <row r="80" spans="1:12" x14ac:dyDescent="0.25">
      <c r="E80" s="25"/>
      <c r="F80" s="25"/>
      <c r="G80" s="237"/>
      <c r="H80" s="236"/>
      <c r="I80" s="236"/>
      <c r="J80" s="236"/>
      <c r="K80" s="236"/>
    </row>
    <row r="81" spans="5:11" x14ac:dyDescent="0.25">
      <c r="E81" s="25"/>
      <c r="F81" s="25"/>
      <c r="G81" s="237"/>
      <c r="H81" s="236"/>
      <c r="I81" s="236"/>
      <c r="J81" s="236"/>
      <c r="K81" s="236"/>
    </row>
    <row r="82" spans="5:11" x14ac:dyDescent="0.25">
      <c r="E82" s="25"/>
      <c r="F82" s="25"/>
      <c r="G82" s="237"/>
      <c r="H82" s="236"/>
      <c r="I82" s="236"/>
      <c r="J82" s="236"/>
      <c r="K82" s="236"/>
    </row>
    <row r="83" spans="5:11" x14ac:dyDescent="0.25">
      <c r="E83" s="25"/>
      <c r="F83" s="25"/>
      <c r="G83" s="237"/>
      <c r="H83" s="236"/>
      <c r="I83" s="236"/>
      <c r="J83" s="236"/>
      <c r="K83" s="236"/>
    </row>
  </sheetData>
  <mergeCells count="4">
    <mergeCell ref="A1:C1"/>
    <mergeCell ref="E54:J54"/>
    <mergeCell ref="G55:J55"/>
    <mergeCell ref="E65:L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zoomScale="80" zoomScaleNormal="80" workbookViewId="0">
      <selection activeCell="L26" sqref="L26"/>
    </sheetView>
  </sheetViews>
  <sheetFormatPr defaultRowHeight="15" x14ac:dyDescent="0.25"/>
  <cols>
    <col min="1" max="1" width="12.42578125" customWidth="1"/>
    <col min="2" max="2" width="11.5703125" customWidth="1"/>
    <col min="4" max="4" width="12" customWidth="1"/>
    <col min="5" max="5" width="17.140625" customWidth="1"/>
    <col min="6" max="6" width="9.140625" customWidth="1"/>
  </cols>
  <sheetData>
    <row r="1" spans="1:40" ht="15.75" thickBot="1" x14ac:dyDescent="0.3">
      <c r="A1" s="286" t="s">
        <v>179</v>
      </c>
      <c r="B1" s="286"/>
      <c r="C1" s="286"/>
      <c r="E1" s="61"/>
      <c r="F1" s="208">
        <v>35650</v>
      </c>
    </row>
    <row r="2" spans="1:40" ht="15.75" thickBot="1" x14ac:dyDescent="0.3">
      <c r="A2" s="163" t="s">
        <v>117</v>
      </c>
      <c r="B2" s="164" t="s">
        <v>118</v>
      </c>
      <c r="C2" s="215" t="s">
        <v>119</v>
      </c>
      <c r="D2" s="215" t="s">
        <v>117</v>
      </c>
      <c r="E2" s="215" t="s">
        <v>120</v>
      </c>
      <c r="F2" s="216">
        <v>1</v>
      </c>
      <c r="G2" s="216">
        <v>2</v>
      </c>
      <c r="H2" s="216">
        <v>3</v>
      </c>
      <c r="I2" s="216">
        <v>4</v>
      </c>
      <c r="J2" s="216">
        <v>5</v>
      </c>
      <c r="K2" s="216">
        <v>6</v>
      </c>
      <c r="L2" s="216">
        <v>7</v>
      </c>
      <c r="M2" s="216">
        <v>8</v>
      </c>
      <c r="N2" s="216">
        <v>9</v>
      </c>
      <c r="O2" s="216">
        <v>10</v>
      </c>
      <c r="P2" s="216">
        <v>11</v>
      </c>
      <c r="Q2" s="216">
        <v>12</v>
      </c>
      <c r="R2" s="216">
        <v>13</v>
      </c>
      <c r="S2" s="216">
        <v>14</v>
      </c>
      <c r="T2" s="216">
        <v>15</v>
      </c>
      <c r="U2" s="216">
        <v>16</v>
      </c>
      <c r="V2" s="216">
        <v>17</v>
      </c>
      <c r="W2" s="216">
        <v>18</v>
      </c>
      <c r="X2" s="216">
        <v>19</v>
      </c>
      <c r="Y2" s="216">
        <v>20</v>
      </c>
      <c r="Z2" s="216">
        <v>21</v>
      </c>
      <c r="AA2" s="216">
        <v>22</v>
      </c>
      <c r="AB2" s="216">
        <v>23</v>
      </c>
      <c r="AC2" s="216">
        <v>24</v>
      </c>
      <c r="AD2" s="216">
        <v>25</v>
      </c>
      <c r="AE2" s="216">
        <v>26</v>
      </c>
      <c r="AF2" s="216">
        <v>27</v>
      </c>
      <c r="AG2" s="216">
        <v>28</v>
      </c>
      <c r="AH2" s="216">
        <v>29</v>
      </c>
      <c r="AI2" s="216">
        <v>30</v>
      </c>
      <c r="AJ2" s="217">
        <v>31</v>
      </c>
      <c r="AK2" s="209"/>
      <c r="AL2" s="209"/>
      <c r="AM2" s="209"/>
      <c r="AN2" s="35"/>
    </row>
    <row r="3" spans="1:40" ht="15.75" x14ac:dyDescent="0.25">
      <c r="A3" s="226">
        <v>43009</v>
      </c>
      <c r="B3" s="225">
        <v>38275</v>
      </c>
      <c r="C3" s="211">
        <f ca="1">OFFSET($B$35,(ROW($B$3)-ROW()),)</f>
        <v>31180</v>
      </c>
      <c r="D3" s="212">
        <f ca="1">OFFSET($A$35,(ROW($A$3)-ROW()),)</f>
        <v>42036</v>
      </c>
      <c r="E3" s="208">
        <f ca="1">C3-F1</f>
        <v>-4470</v>
      </c>
    </row>
    <row r="4" spans="1:40" ht="15.75" x14ac:dyDescent="0.25">
      <c r="A4" s="226">
        <v>42979</v>
      </c>
      <c r="B4" s="225">
        <v>37520</v>
      </c>
      <c r="C4" s="211">
        <f t="shared" ref="C4:C35" ca="1" si="0">OFFSET($B$35,(ROW($B$3)-ROW()),)</f>
        <v>30620</v>
      </c>
      <c r="D4" s="212">
        <f t="shared" ref="D4:D35" ca="1" si="1">OFFSET($A$35,(ROW($A$3)-ROW()),)</f>
        <v>42064</v>
      </c>
      <c r="E4">
        <f ca="1">C4-C3</f>
        <v>-560</v>
      </c>
      <c r="F4">
        <f ca="1">E3</f>
        <v>-4470</v>
      </c>
    </row>
    <row r="5" spans="1:40" ht="15.75" x14ac:dyDescent="0.25">
      <c r="A5" s="226">
        <v>42948</v>
      </c>
      <c r="B5" s="225">
        <v>38040</v>
      </c>
      <c r="C5" s="211">
        <f t="shared" ca="1" si="0"/>
        <v>32805</v>
      </c>
      <c r="D5" s="212">
        <f t="shared" ca="1" si="1"/>
        <v>42095</v>
      </c>
      <c r="E5">
        <f ca="1">C5-C4</f>
        <v>2185</v>
      </c>
      <c r="F5">
        <f t="shared" ref="F5:O35" ca="1" si="2">E4</f>
        <v>-560</v>
      </c>
      <c r="G5">
        <f ca="1">F4</f>
        <v>-4470</v>
      </c>
    </row>
    <row r="6" spans="1:40" ht="15.75" x14ac:dyDescent="0.25">
      <c r="A6" s="226">
        <v>42917</v>
      </c>
      <c r="B6" s="225">
        <v>39355</v>
      </c>
      <c r="C6" s="211">
        <f t="shared" ca="1" si="0"/>
        <v>34400</v>
      </c>
      <c r="D6" s="212">
        <f t="shared" ca="1" si="1"/>
        <v>42125</v>
      </c>
      <c r="E6">
        <f t="shared" ref="E6:E35" ca="1" si="3">C6-C5</f>
        <v>1595</v>
      </c>
      <c r="F6">
        <f t="shared" ca="1" si="2"/>
        <v>2185</v>
      </c>
      <c r="G6">
        <f t="shared" ca="1" si="2"/>
        <v>-560</v>
      </c>
      <c r="H6">
        <f ca="1">G5</f>
        <v>-4470</v>
      </c>
    </row>
    <row r="7" spans="1:40" ht="15.75" x14ac:dyDescent="0.25">
      <c r="A7" s="226">
        <v>42887</v>
      </c>
      <c r="B7" s="225">
        <v>41640</v>
      </c>
      <c r="C7" s="211">
        <f t="shared" ca="1" si="0"/>
        <v>35930</v>
      </c>
      <c r="D7" s="212">
        <f t="shared" ca="1" si="1"/>
        <v>42156</v>
      </c>
      <c r="E7">
        <f t="shared" ca="1" si="3"/>
        <v>1530</v>
      </c>
      <c r="F7">
        <f t="shared" ca="1" si="2"/>
        <v>1595</v>
      </c>
      <c r="G7">
        <f t="shared" ca="1" si="2"/>
        <v>2185</v>
      </c>
      <c r="H7">
        <f t="shared" ca="1" si="2"/>
        <v>-560</v>
      </c>
      <c r="I7">
        <f ca="1">H6</f>
        <v>-4470</v>
      </c>
    </row>
    <row r="8" spans="1:40" ht="15.75" x14ac:dyDescent="0.25">
      <c r="A8" s="226">
        <v>42856</v>
      </c>
      <c r="B8" s="225">
        <v>40640</v>
      </c>
      <c r="C8" s="211">
        <f t="shared" ca="1" si="0"/>
        <v>33980</v>
      </c>
      <c r="D8" s="212">
        <f t="shared" ca="1" si="1"/>
        <v>42186</v>
      </c>
      <c r="E8">
        <f t="shared" ca="1" si="3"/>
        <v>-1950</v>
      </c>
      <c r="F8">
        <f t="shared" ca="1" si="2"/>
        <v>1530</v>
      </c>
      <c r="G8">
        <f t="shared" ca="1" si="2"/>
        <v>1595</v>
      </c>
      <c r="H8">
        <f t="shared" ca="1" si="2"/>
        <v>2185</v>
      </c>
      <c r="I8">
        <f t="shared" ca="1" si="2"/>
        <v>-560</v>
      </c>
      <c r="J8">
        <f ca="1">I7</f>
        <v>-4470</v>
      </c>
    </row>
    <row r="9" spans="1:40" ht="15.75" x14ac:dyDescent="0.25">
      <c r="A9" s="226">
        <v>42826</v>
      </c>
      <c r="B9" s="225">
        <v>39253</v>
      </c>
      <c r="C9" s="211">
        <f t="shared" ca="1" si="0"/>
        <v>31870</v>
      </c>
      <c r="D9" s="212">
        <f t="shared" ca="1" si="1"/>
        <v>42217</v>
      </c>
      <c r="E9">
        <f t="shared" ca="1" si="3"/>
        <v>-2110</v>
      </c>
      <c r="F9">
        <f t="shared" ca="1" si="2"/>
        <v>-1950</v>
      </c>
      <c r="G9">
        <f t="shared" ca="1" si="2"/>
        <v>1530</v>
      </c>
      <c r="H9">
        <f t="shared" ca="1" si="2"/>
        <v>1595</v>
      </c>
      <c r="I9">
        <f t="shared" ca="1" si="2"/>
        <v>2185</v>
      </c>
      <c r="J9">
        <f t="shared" ca="1" si="2"/>
        <v>-560</v>
      </c>
      <c r="K9">
        <f ca="1">J8</f>
        <v>-4470</v>
      </c>
    </row>
    <row r="10" spans="1:40" ht="15.75" x14ac:dyDescent="0.25">
      <c r="A10" s="226">
        <v>42795</v>
      </c>
      <c r="B10" s="225">
        <v>37640</v>
      </c>
      <c r="C10" s="211">
        <f t="shared" ca="1" si="0"/>
        <v>33140</v>
      </c>
      <c r="D10" s="212">
        <f t="shared" ca="1" si="1"/>
        <v>42248</v>
      </c>
      <c r="E10">
        <f t="shared" ca="1" si="3"/>
        <v>1270</v>
      </c>
      <c r="F10">
        <f t="shared" ca="1" si="2"/>
        <v>-2110</v>
      </c>
      <c r="G10">
        <f t="shared" ca="1" si="2"/>
        <v>-1950</v>
      </c>
      <c r="H10">
        <f t="shared" ca="1" si="2"/>
        <v>1530</v>
      </c>
      <c r="I10">
        <f t="shared" ca="1" si="2"/>
        <v>1595</v>
      </c>
      <c r="J10">
        <f t="shared" ca="1" si="2"/>
        <v>2185</v>
      </c>
      <c r="K10">
        <f t="shared" ca="1" si="2"/>
        <v>-560</v>
      </c>
      <c r="L10">
        <f ca="1">K9</f>
        <v>-4470</v>
      </c>
    </row>
    <row r="11" spans="1:40" ht="15.75" x14ac:dyDescent="0.25">
      <c r="A11" s="226">
        <v>42767</v>
      </c>
      <c r="B11" s="225">
        <v>35900</v>
      </c>
      <c r="C11" s="211">
        <f t="shared" ca="1" si="0"/>
        <v>33240</v>
      </c>
      <c r="D11" s="212">
        <f t="shared" ca="1" si="1"/>
        <v>42278</v>
      </c>
      <c r="E11">
        <f t="shared" ca="1" si="3"/>
        <v>100</v>
      </c>
      <c r="F11">
        <f t="shared" ca="1" si="2"/>
        <v>1270</v>
      </c>
      <c r="G11">
        <f t="shared" ca="1" si="2"/>
        <v>-2110</v>
      </c>
      <c r="H11">
        <f t="shared" ca="1" si="2"/>
        <v>-1950</v>
      </c>
      <c r="I11">
        <f t="shared" ca="1" si="2"/>
        <v>1530</v>
      </c>
      <c r="J11">
        <f t="shared" ca="1" si="2"/>
        <v>1595</v>
      </c>
      <c r="K11">
        <f t="shared" ca="1" si="2"/>
        <v>2185</v>
      </c>
      <c r="L11">
        <f t="shared" ca="1" si="2"/>
        <v>-560</v>
      </c>
      <c r="M11">
        <f ca="1">L10</f>
        <v>-4470</v>
      </c>
    </row>
    <row r="12" spans="1:40" ht="15.75" x14ac:dyDescent="0.25">
      <c r="A12" s="226">
        <v>42736</v>
      </c>
      <c r="B12" s="225">
        <v>35650</v>
      </c>
      <c r="C12" s="211">
        <f t="shared" ca="1" si="0"/>
        <v>33857</v>
      </c>
      <c r="D12" s="212">
        <f t="shared" ca="1" si="1"/>
        <v>42309</v>
      </c>
      <c r="E12">
        <f t="shared" ca="1" si="3"/>
        <v>617</v>
      </c>
      <c r="F12">
        <f t="shared" ca="1" si="2"/>
        <v>100</v>
      </c>
      <c r="G12">
        <f t="shared" ca="1" si="2"/>
        <v>1270</v>
      </c>
      <c r="H12">
        <f t="shared" ca="1" si="2"/>
        <v>-2110</v>
      </c>
      <c r="I12">
        <f t="shared" ca="1" si="2"/>
        <v>-1950</v>
      </c>
      <c r="J12">
        <f t="shared" ca="1" si="2"/>
        <v>1530</v>
      </c>
      <c r="K12">
        <f t="shared" ca="1" si="2"/>
        <v>1595</v>
      </c>
      <c r="L12">
        <f t="shared" ca="1" si="2"/>
        <v>2185</v>
      </c>
      <c r="M12">
        <f t="shared" ca="1" si="2"/>
        <v>-560</v>
      </c>
      <c r="N12">
        <f ca="1">M11</f>
        <v>-4470</v>
      </c>
    </row>
    <row r="13" spans="1:40" ht="15.75" x14ac:dyDescent="0.25">
      <c r="A13" s="226">
        <v>42705</v>
      </c>
      <c r="B13" s="225">
        <v>47054</v>
      </c>
      <c r="C13" s="211">
        <f t="shared" ca="1" si="0"/>
        <v>42684</v>
      </c>
      <c r="D13" s="212">
        <f t="shared" ca="1" si="1"/>
        <v>42339</v>
      </c>
      <c r="E13">
        <f t="shared" ca="1" si="3"/>
        <v>8827</v>
      </c>
      <c r="F13">
        <f t="shared" ca="1" si="2"/>
        <v>617</v>
      </c>
      <c r="G13">
        <f t="shared" ca="1" si="2"/>
        <v>100</v>
      </c>
      <c r="H13">
        <f t="shared" ca="1" si="2"/>
        <v>1270</v>
      </c>
      <c r="I13">
        <f t="shared" ca="1" si="2"/>
        <v>-2110</v>
      </c>
      <c r="J13">
        <f t="shared" ca="1" si="2"/>
        <v>-1950</v>
      </c>
      <c r="K13">
        <f t="shared" ca="1" si="2"/>
        <v>1530</v>
      </c>
      <c r="L13">
        <f t="shared" ca="1" si="2"/>
        <v>1595</v>
      </c>
      <c r="M13">
        <f t="shared" ca="1" si="2"/>
        <v>2185</v>
      </c>
      <c r="N13">
        <f t="shared" ca="1" si="2"/>
        <v>-560</v>
      </c>
      <c r="O13">
        <f ca="1">N12</f>
        <v>-4470</v>
      </c>
    </row>
    <row r="14" spans="1:40" ht="15.75" x14ac:dyDescent="0.25">
      <c r="A14" s="226">
        <v>42675</v>
      </c>
      <c r="B14" s="225">
        <v>36105</v>
      </c>
      <c r="C14" s="211">
        <f t="shared" ca="1" si="0"/>
        <v>32122</v>
      </c>
      <c r="D14" s="212">
        <f t="shared" ca="1" si="1"/>
        <v>42370</v>
      </c>
      <c r="E14">
        <f ca="1">C14-C13</f>
        <v>-10562</v>
      </c>
      <c r="F14">
        <f t="shared" ca="1" si="2"/>
        <v>8827</v>
      </c>
      <c r="G14">
        <f t="shared" ca="1" si="2"/>
        <v>617</v>
      </c>
      <c r="H14">
        <f t="shared" ca="1" si="2"/>
        <v>100</v>
      </c>
      <c r="I14">
        <f t="shared" ca="1" si="2"/>
        <v>1270</v>
      </c>
      <c r="J14">
        <f t="shared" ca="1" si="2"/>
        <v>-2110</v>
      </c>
      <c r="K14">
        <f t="shared" ca="1" si="2"/>
        <v>-1950</v>
      </c>
      <c r="L14">
        <f t="shared" ca="1" si="2"/>
        <v>1530</v>
      </c>
      <c r="M14">
        <f t="shared" ca="1" si="2"/>
        <v>1595</v>
      </c>
      <c r="N14">
        <f t="shared" ca="1" si="2"/>
        <v>2185</v>
      </c>
      <c r="O14">
        <f t="shared" ca="1" si="2"/>
        <v>-560</v>
      </c>
      <c r="P14">
        <f ca="1">O13</f>
        <v>-4470</v>
      </c>
    </row>
    <row r="15" spans="1:40" ht="15.75" x14ac:dyDescent="0.25">
      <c r="A15" s="226">
        <v>42644</v>
      </c>
      <c r="B15" s="225">
        <v>36200</v>
      </c>
      <c r="C15" s="211">
        <f t="shared" ca="1" si="0"/>
        <v>32990</v>
      </c>
      <c r="D15" s="212">
        <f t="shared" ca="1" si="1"/>
        <v>42401</v>
      </c>
      <c r="E15">
        <f t="shared" ca="1" si="3"/>
        <v>868</v>
      </c>
      <c r="F15">
        <f t="shared" ca="1" si="2"/>
        <v>-10562</v>
      </c>
      <c r="G15">
        <f t="shared" ca="1" si="2"/>
        <v>8827</v>
      </c>
      <c r="H15">
        <f t="shared" ca="1" si="2"/>
        <v>617</v>
      </c>
      <c r="I15">
        <f t="shared" ca="1" si="2"/>
        <v>100</v>
      </c>
      <c r="J15">
        <f t="shared" ca="1" si="2"/>
        <v>1270</v>
      </c>
      <c r="K15">
        <f t="shared" ca="1" si="2"/>
        <v>-2110</v>
      </c>
      <c r="L15">
        <f t="shared" ca="1" si="2"/>
        <v>-1950</v>
      </c>
      <c r="M15">
        <f t="shared" ca="1" si="2"/>
        <v>1530</v>
      </c>
      <c r="N15">
        <f t="shared" ca="1" si="2"/>
        <v>1595</v>
      </c>
      <c r="O15">
        <f t="shared" ca="1" si="2"/>
        <v>2185</v>
      </c>
      <c r="P15">
        <f t="shared" ref="P15:AE35" ca="1" si="4">O14</f>
        <v>-560</v>
      </c>
      <c r="Q15">
        <f ca="1">P14</f>
        <v>-4470</v>
      </c>
    </row>
    <row r="16" spans="1:40" ht="15.75" x14ac:dyDescent="0.25">
      <c r="A16" s="226">
        <v>42614</v>
      </c>
      <c r="B16" s="225">
        <v>36155</v>
      </c>
      <c r="C16" s="211">
        <f t="shared" ca="1" si="0"/>
        <v>35570</v>
      </c>
      <c r="D16" s="212">
        <f t="shared" ca="1" si="1"/>
        <v>42430</v>
      </c>
      <c r="E16">
        <f t="shared" ca="1" si="3"/>
        <v>2580</v>
      </c>
      <c r="F16">
        <f t="shared" ca="1" si="2"/>
        <v>868</v>
      </c>
      <c r="G16">
        <f t="shared" ca="1" si="2"/>
        <v>-10562</v>
      </c>
      <c r="H16">
        <f t="shared" ca="1" si="2"/>
        <v>8827</v>
      </c>
      <c r="I16">
        <f t="shared" ca="1" si="2"/>
        <v>617</v>
      </c>
      <c r="J16">
        <f t="shared" ca="1" si="2"/>
        <v>100</v>
      </c>
      <c r="K16">
        <f t="shared" ca="1" si="2"/>
        <v>1270</v>
      </c>
      <c r="L16">
        <f t="shared" ca="1" si="2"/>
        <v>-2110</v>
      </c>
      <c r="M16">
        <f t="shared" ca="1" si="2"/>
        <v>-1950</v>
      </c>
      <c r="N16">
        <f t="shared" ca="1" si="2"/>
        <v>1530</v>
      </c>
      <c r="O16">
        <f t="shared" ca="1" si="2"/>
        <v>1595</v>
      </c>
      <c r="P16">
        <f t="shared" ca="1" si="4"/>
        <v>2185</v>
      </c>
      <c r="Q16">
        <f t="shared" ca="1" si="4"/>
        <v>-560</v>
      </c>
      <c r="R16">
        <f ca="1">Q15</f>
        <v>-4470</v>
      </c>
    </row>
    <row r="17" spans="1:34" ht="15.75" x14ac:dyDescent="0.25">
      <c r="A17" s="226">
        <v>42583</v>
      </c>
      <c r="B17" s="225">
        <v>34095</v>
      </c>
      <c r="C17" s="211">
        <f t="shared" ca="1" si="0"/>
        <v>36210</v>
      </c>
      <c r="D17" s="212">
        <f t="shared" ca="1" si="1"/>
        <v>42461</v>
      </c>
      <c r="E17">
        <f t="shared" ca="1" si="3"/>
        <v>640</v>
      </c>
      <c r="F17">
        <f t="shared" ca="1" si="2"/>
        <v>2580</v>
      </c>
      <c r="G17">
        <f t="shared" ca="1" si="2"/>
        <v>868</v>
      </c>
      <c r="H17">
        <f t="shared" ca="1" si="2"/>
        <v>-10562</v>
      </c>
      <c r="I17">
        <f t="shared" ca="1" si="2"/>
        <v>8827</v>
      </c>
      <c r="J17">
        <f t="shared" ca="1" si="2"/>
        <v>617</v>
      </c>
      <c r="K17">
        <f t="shared" ca="1" si="2"/>
        <v>100</v>
      </c>
      <c r="L17">
        <f t="shared" ca="1" si="2"/>
        <v>1270</v>
      </c>
      <c r="M17">
        <f t="shared" ca="1" si="2"/>
        <v>-2110</v>
      </c>
      <c r="N17">
        <f t="shared" ca="1" si="2"/>
        <v>-1950</v>
      </c>
      <c r="O17">
        <f t="shared" ca="1" si="2"/>
        <v>1530</v>
      </c>
      <c r="P17">
        <f t="shared" ca="1" si="4"/>
        <v>1595</v>
      </c>
      <c r="Q17">
        <f t="shared" ca="1" si="4"/>
        <v>2185</v>
      </c>
      <c r="R17">
        <f t="shared" ca="1" si="4"/>
        <v>-560</v>
      </c>
      <c r="S17">
        <f ca="1">R16</f>
        <v>-4470</v>
      </c>
    </row>
    <row r="18" spans="1:34" ht="15.75" x14ac:dyDescent="0.25">
      <c r="A18" s="226">
        <v>42552</v>
      </c>
      <c r="B18" s="225">
        <v>36525</v>
      </c>
      <c r="C18" s="211">
        <f t="shared" ca="1" si="0"/>
        <v>36570</v>
      </c>
      <c r="D18" s="212">
        <f t="shared" ca="1" si="1"/>
        <v>42491</v>
      </c>
      <c r="E18">
        <f t="shared" ca="1" si="3"/>
        <v>360</v>
      </c>
      <c r="F18">
        <f t="shared" ca="1" si="2"/>
        <v>640</v>
      </c>
      <c r="G18">
        <f t="shared" ca="1" si="2"/>
        <v>2580</v>
      </c>
      <c r="H18">
        <f t="shared" ca="1" si="2"/>
        <v>868</v>
      </c>
      <c r="I18">
        <f t="shared" ca="1" si="2"/>
        <v>-10562</v>
      </c>
      <c r="J18">
        <f t="shared" ca="1" si="2"/>
        <v>8827</v>
      </c>
      <c r="K18">
        <f t="shared" ca="1" si="2"/>
        <v>617</v>
      </c>
      <c r="L18">
        <f t="shared" ca="1" si="2"/>
        <v>100</v>
      </c>
      <c r="M18">
        <f t="shared" ca="1" si="2"/>
        <v>1270</v>
      </c>
      <c r="N18">
        <f t="shared" ca="1" si="2"/>
        <v>-2110</v>
      </c>
      <c r="O18">
        <f t="shared" ca="1" si="2"/>
        <v>-1950</v>
      </c>
      <c r="P18">
        <f t="shared" ca="1" si="4"/>
        <v>1530</v>
      </c>
      <c r="Q18">
        <f t="shared" ca="1" si="4"/>
        <v>1595</v>
      </c>
      <c r="R18">
        <f t="shared" ca="1" si="4"/>
        <v>2185</v>
      </c>
      <c r="S18">
        <f t="shared" ca="1" si="4"/>
        <v>-560</v>
      </c>
      <c r="T18">
        <f ca="1">S17</f>
        <v>-4470</v>
      </c>
    </row>
    <row r="19" spans="1:34" ht="15.75" x14ac:dyDescent="0.25">
      <c r="A19" s="226">
        <v>42522</v>
      </c>
      <c r="B19" s="225">
        <v>38590</v>
      </c>
      <c r="C19" s="211">
        <f t="shared" ca="1" si="0"/>
        <v>38590</v>
      </c>
      <c r="D19" s="212">
        <f t="shared" ca="1" si="1"/>
        <v>42522</v>
      </c>
      <c r="E19">
        <f t="shared" ca="1" si="3"/>
        <v>2020</v>
      </c>
      <c r="F19">
        <f t="shared" ca="1" si="2"/>
        <v>360</v>
      </c>
      <c r="G19">
        <f t="shared" ca="1" si="2"/>
        <v>640</v>
      </c>
      <c r="H19">
        <f t="shared" ca="1" si="2"/>
        <v>2580</v>
      </c>
      <c r="I19">
        <f t="shared" ca="1" si="2"/>
        <v>868</v>
      </c>
      <c r="J19">
        <f t="shared" ca="1" si="2"/>
        <v>-10562</v>
      </c>
      <c r="K19">
        <f t="shared" ca="1" si="2"/>
        <v>8827</v>
      </c>
      <c r="L19">
        <f t="shared" ca="1" si="2"/>
        <v>617</v>
      </c>
      <c r="M19">
        <f t="shared" ca="1" si="2"/>
        <v>100</v>
      </c>
      <c r="N19">
        <f t="shared" ca="1" si="2"/>
        <v>1270</v>
      </c>
      <c r="O19">
        <f t="shared" ca="1" si="2"/>
        <v>-2110</v>
      </c>
      <c r="P19">
        <f t="shared" ca="1" si="4"/>
        <v>-1950</v>
      </c>
      <c r="Q19">
        <f t="shared" ca="1" si="4"/>
        <v>1530</v>
      </c>
      <c r="R19">
        <f t="shared" ca="1" si="4"/>
        <v>1595</v>
      </c>
      <c r="S19">
        <f t="shared" ca="1" si="4"/>
        <v>2185</v>
      </c>
      <c r="T19">
        <f t="shared" ca="1" si="4"/>
        <v>-560</v>
      </c>
      <c r="U19">
        <f ca="1">T18</f>
        <v>-4470</v>
      </c>
    </row>
    <row r="20" spans="1:34" ht="15.75" x14ac:dyDescent="0.25">
      <c r="A20" s="226">
        <v>42491</v>
      </c>
      <c r="B20" s="225">
        <v>36570</v>
      </c>
      <c r="C20" s="211">
        <f t="shared" ca="1" si="0"/>
        <v>36525</v>
      </c>
      <c r="D20" s="212">
        <f t="shared" ca="1" si="1"/>
        <v>42552</v>
      </c>
      <c r="E20">
        <f t="shared" ca="1" si="3"/>
        <v>-2065</v>
      </c>
      <c r="F20">
        <f t="shared" ca="1" si="2"/>
        <v>2020</v>
      </c>
      <c r="G20">
        <f t="shared" ca="1" si="2"/>
        <v>360</v>
      </c>
      <c r="H20">
        <f t="shared" ca="1" si="2"/>
        <v>640</v>
      </c>
      <c r="I20">
        <f t="shared" ca="1" si="2"/>
        <v>2580</v>
      </c>
      <c r="J20">
        <f t="shared" ca="1" si="2"/>
        <v>868</v>
      </c>
      <c r="K20">
        <f t="shared" ca="1" si="2"/>
        <v>-10562</v>
      </c>
      <c r="L20">
        <f t="shared" ca="1" si="2"/>
        <v>8827</v>
      </c>
      <c r="M20">
        <f t="shared" ca="1" si="2"/>
        <v>617</v>
      </c>
      <c r="N20">
        <f t="shared" ca="1" si="2"/>
        <v>100</v>
      </c>
      <c r="O20">
        <f t="shared" ca="1" si="2"/>
        <v>1270</v>
      </c>
      <c r="P20">
        <f t="shared" ca="1" si="4"/>
        <v>-2110</v>
      </c>
      <c r="Q20">
        <f t="shared" ca="1" si="4"/>
        <v>-1950</v>
      </c>
      <c r="R20">
        <f t="shared" ca="1" si="4"/>
        <v>1530</v>
      </c>
      <c r="S20">
        <f t="shared" ca="1" si="4"/>
        <v>1595</v>
      </c>
      <c r="T20">
        <f t="shared" ca="1" si="4"/>
        <v>2185</v>
      </c>
      <c r="U20">
        <f t="shared" ca="1" si="4"/>
        <v>-560</v>
      </c>
      <c r="V20">
        <f ca="1">U19</f>
        <v>-4470</v>
      </c>
    </row>
    <row r="21" spans="1:34" ht="15.75" x14ac:dyDescent="0.25">
      <c r="A21" s="226">
        <v>42461</v>
      </c>
      <c r="B21" s="225">
        <v>36210</v>
      </c>
      <c r="C21" s="211">
        <f t="shared" ca="1" si="0"/>
        <v>34095</v>
      </c>
      <c r="D21" s="212">
        <f t="shared" ca="1" si="1"/>
        <v>42583</v>
      </c>
      <c r="E21">
        <f t="shared" ca="1" si="3"/>
        <v>-2430</v>
      </c>
      <c r="F21">
        <f t="shared" ca="1" si="2"/>
        <v>-2065</v>
      </c>
      <c r="G21">
        <f t="shared" ca="1" si="2"/>
        <v>2020</v>
      </c>
      <c r="H21">
        <f t="shared" ca="1" si="2"/>
        <v>360</v>
      </c>
      <c r="I21">
        <f t="shared" ca="1" si="2"/>
        <v>640</v>
      </c>
      <c r="J21">
        <f t="shared" ca="1" si="2"/>
        <v>2580</v>
      </c>
      <c r="K21">
        <f t="shared" ca="1" si="2"/>
        <v>868</v>
      </c>
      <c r="L21">
        <f t="shared" ca="1" si="2"/>
        <v>-10562</v>
      </c>
      <c r="M21">
        <f t="shared" ca="1" si="2"/>
        <v>8827</v>
      </c>
      <c r="N21">
        <f t="shared" ca="1" si="2"/>
        <v>617</v>
      </c>
      <c r="O21">
        <f t="shared" ca="1" si="2"/>
        <v>100</v>
      </c>
      <c r="P21">
        <f t="shared" ca="1" si="4"/>
        <v>1270</v>
      </c>
      <c r="Q21">
        <f t="shared" ca="1" si="4"/>
        <v>-2110</v>
      </c>
      <c r="R21">
        <f t="shared" ca="1" si="4"/>
        <v>-1950</v>
      </c>
      <c r="S21">
        <f t="shared" ca="1" si="4"/>
        <v>1530</v>
      </c>
      <c r="T21">
        <f t="shared" ca="1" si="4"/>
        <v>1595</v>
      </c>
      <c r="U21">
        <f t="shared" ca="1" si="4"/>
        <v>2185</v>
      </c>
      <c r="V21">
        <f t="shared" ca="1" si="4"/>
        <v>-560</v>
      </c>
      <c r="W21">
        <f ca="1">V20</f>
        <v>-4470</v>
      </c>
    </row>
    <row r="22" spans="1:34" ht="15.75" x14ac:dyDescent="0.25">
      <c r="A22" s="226">
        <v>42430</v>
      </c>
      <c r="B22" s="225">
        <v>35570</v>
      </c>
      <c r="C22" s="211">
        <f t="shared" ca="1" si="0"/>
        <v>36155</v>
      </c>
      <c r="D22" s="212">
        <f t="shared" ca="1" si="1"/>
        <v>42614</v>
      </c>
      <c r="E22">
        <f t="shared" ca="1" si="3"/>
        <v>2060</v>
      </c>
      <c r="F22">
        <f t="shared" ca="1" si="2"/>
        <v>-2430</v>
      </c>
      <c r="G22">
        <f t="shared" ca="1" si="2"/>
        <v>-2065</v>
      </c>
      <c r="H22">
        <f t="shared" ca="1" si="2"/>
        <v>2020</v>
      </c>
      <c r="I22">
        <f t="shared" ca="1" si="2"/>
        <v>360</v>
      </c>
      <c r="J22">
        <f t="shared" ca="1" si="2"/>
        <v>640</v>
      </c>
      <c r="K22">
        <f t="shared" ca="1" si="2"/>
        <v>2580</v>
      </c>
      <c r="L22">
        <f t="shared" ca="1" si="2"/>
        <v>868</v>
      </c>
      <c r="M22">
        <f t="shared" ca="1" si="2"/>
        <v>-10562</v>
      </c>
      <c r="N22">
        <f t="shared" ca="1" si="2"/>
        <v>8827</v>
      </c>
      <c r="O22">
        <f t="shared" ca="1" si="2"/>
        <v>617</v>
      </c>
      <c r="P22">
        <f t="shared" ca="1" si="4"/>
        <v>100</v>
      </c>
      <c r="Q22">
        <f t="shared" ca="1" si="4"/>
        <v>1270</v>
      </c>
      <c r="R22">
        <f t="shared" ca="1" si="4"/>
        <v>-2110</v>
      </c>
      <c r="S22">
        <f t="shared" ca="1" si="4"/>
        <v>-1950</v>
      </c>
      <c r="T22">
        <f t="shared" ca="1" si="4"/>
        <v>1530</v>
      </c>
      <c r="U22">
        <f t="shared" ca="1" si="4"/>
        <v>1595</v>
      </c>
      <c r="V22">
        <f t="shared" ca="1" si="4"/>
        <v>2185</v>
      </c>
      <c r="W22">
        <f t="shared" ca="1" si="4"/>
        <v>-560</v>
      </c>
      <c r="X22">
        <f ca="1">W21</f>
        <v>-4470</v>
      </c>
    </row>
    <row r="23" spans="1:34" ht="15.75" x14ac:dyDescent="0.25">
      <c r="A23" s="226">
        <v>42401</v>
      </c>
      <c r="B23" s="225">
        <v>32990</v>
      </c>
      <c r="C23" s="211">
        <f t="shared" ca="1" si="0"/>
        <v>36200</v>
      </c>
      <c r="D23" s="212">
        <f t="shared" ca="1" si="1"/>
        <v>42644</v>
      </c>
      <c r="E23">
        <f t="shared" ca="1" si="3"/>
        <v>45</v>
      </c>
      <c r="F23">
        <f t="shared" ca="1" si="2"/>
        <v>2060</v>
      </c>
      <c r="G23">
        <f t="shared" ca="1" si="2"/>
        <v>-2430</v>
      </c>
      <c r="H23">
        <f t="shared" ca="1" si="2"/>
        <v>-2065</v>
      </c>
      <c r="I23">
        <f t="shared" ca="1" si="2"/>
        <v>2020</v>
      </c>
      <c r="J23">
        <f t="shared" ca="1" si="2"/>
        <v>360</v>
      </c>
      <c r="K23">
        <f t="shared" ca="1" si="2"/>
        <v>640</v>
      </c>
      <c r="L23">
        <f t="shared" ca="1" si="2"/>
        <v>2580</v>
      </c>
      <c r="M23">
        <f t="shared" ca="1" si="2"/>
        <v>868</v>
      </c>
      <c r="N23">
        <f t="shared" ca="1" si="2"/>
        <v>-10562</v>
      </c>
      <c r="O23">
        <f t="shared" ca="1" si="2"/>
        <v>8827</v>
      </c>
      <c r="P23">
        <f t="shared" ca="1" si="4"/>
        <v>617</v>
      </c>
      <c r="Q23">
        <f t="shared" ca="1" si="4"/>
        <v>100</v>
      </c>
      <c r="R23">
        <f t="shared" ca="1" si="4"/>
        <v>1270</v>
      </c>
      <c r="S23">
        <f t="shared" ca="1" si="4"/>
        <v>-2110</v>
      </c>
      <c r="T23">
        <f t="shared" ca="1" si="4"/>
        <v>-1950</v>
      </c>
      <c r="U23">
        <f t="shared" ca="1" si="4"/>
        <v>1530</v>
      </c>
      <c r="V23">
        <f t="shared" ca="1" si="4"/>
        <v>1595</v>
      </c>
      <c r="W23">
        <f t="shared" ca="1" si="4"/>
        <v>2185</v>
      </c>
      <c r="X23">
        <f t="shared" ca="1" si="4"/>
        <v>-560</v>
      </c>
      <c r="Y23">
        <f ca="1">X22</f>
        <v>-4470</v>
      </c>
    </row>
    <row r="24" spans="1:34" ht="15.75" x14ac:dyDescent="0.25">
      <c r="A24" s="226">
        <v>42370</v>
      </c>
      <c r="B24" s="225">
        <v>32122</v>
      </c>
      <c r="C24" s="211">
        <f t="shared" ca="1" si="0"/>
        <v>36105</v>
      </c>
      <c r="D24" s="212">
        <f t="shared" ca="1" si="1"/>
        <v>42675</v>
      </c>
      <c r="E24">
        <f t="shared" ca="1" si="3"/>
        <v>-95</v>
      </c>
      <c r="F24">
        <f t="shared" ca="1" si="2"/>
        <v>45</v>
      </c>
      <c r="G24">
        <f t="shared" ca="1" si="2"/>
        <v>2060</v>
      </c>
      <c r="H24">
        <f t="shared" ca="1" si="2"/>
        <v>-2430</v>
      </c>
      <c r="I24">
        <f t="shared" ca="1" si="2"/>
        <v>-2065</v>
      </c>
      <c r="J24">
        <f t="shared" ca="1" si="2"/>
        <v>2020</v>
      </c>
      <c r="K24">
        <f t="shared" ca="1" si="2"/>
        <v>360</v>
      </c>
      <c r="L24">
        <f t="shared" ca="1" si="2"/>
        <v>640</v>
      </c>
      <c r="M24">
        <f t="shared" ca="1" si="2"/>
        <v>2580</v>
      </c>
      <c r="N24">
        <f t="shared" ca="1" si="2"/>
        <v>868</v>
      </c>
      <c r="O24">
        <f t="shared" ca="1" si="2"/>
        <v>-10562</v>
      </c>
      <c r="P24">
        <f t="shared" ca="1" si="4"/>
        <v>8827</v>
      </c>
      <c r="Q24">
        <f t="shared" ca="1" si="4"/>
        <v>617</v>
      </c>
      <c r="R24">
        <f t="shared" ca="1" si="4"/>
        <v>100</v>
      </c>
      <c r="S24">
        <f t="shared" ca="1" si="4"/>
        <v>1270</v>
      </c>
      <c r="T24">
        <f t="shared" ca="1" si="4"/>
        <v>-2110</v>
      </c>
      <c r="U24">
        <f t="shared" ca="1" si="4"/>
        <v>-1950</v>
      </c>
      <c r="V24">
        <f t="shared" ca="1" si="4"/>
        <v>1530</v>
      </c>
      <c r="W24">
        <f t="shared" ca="1" si="4"/>
        <v>1595</v>
      </c>
      <c r="X24">
        <f t="shared" ca="1" si="4"/>
        <v>2185</v>
      </c>
      <c r="Y24">
        <f t="shared" ca="1" si="4"/>
        <v>-560</v>
      </c>
      <c r="Z24">
        <f ca="1">Y23</f>
        <v>-4470</v>
      </c>
    </row>
    <row r="25" spans="1:34" ht="15.75" x14ac:dyDescent="0.25">
      <c r="A25" s="226">
        <v>42339</v>
      </c>
      <c r="B25" s="225">
        <v>42684</v>
      </c>
      <c r="C25" s="211">
        <f t="shared" ca="1" si="0"/>
        <v>47054</v>
      </c>
      <c r="D25" s="212">
        <f t="shared" ca="1" si="1"/>
        <v>42705</v>
      </c>
      <c r="E25">
        <f t="shared" ca="1" si="3"/>
        <v>10949</v>
      </c>
      <c r="F25">
        <f t="shared" ca="1" si="2"/>
        <v>-95</v>
      </c>
      <c r="G25">
        <f t="shared" ca="1" si="2"/>
        <v>45</v>
      </c>
      <c r="H25">
        <f t="shared" ca="1" si="2"/>
        <v>2060</v>
      </c>
      <c r="I25">
        <f t="shared" ca="1" si="2"/>
        <v>-2430</v>
      </c>
      <c r="J25">
        <f t="shared" ca="1" si="2"/>
        <v>-2065</v>
      </c>
      <c r="K25">
        <f t="shared" ca="1" si="2"/>
        <v>2020</v>
      </c>
      <c r="L25">
        <f ca="1">K24</f>
        <v>360</v>
      </c>
      <c r="M25">
        <f t="shared" ca="1" si="2"/>
        <v>640</v>
      </c>
      <c r="N25">
        <f t="shared" ca="1" si="2"/>
        <v>2580</v>
      </c>
      <c r="O25">
        <f t="shared" ca="1" si="2"/>
        <v>868</v>
      </c>
      <c r="P25">
        <f t="shared" ca="1" si="4"/>
        <v>-10562</v>
      </c>
      <c r="Q25">
        <f t="shared" ca="1" si="4"/>
        <v>8827</v>
      </c>
      <c r="R25">
        <f t="shared" ca="1" si="4"/>
        <v>617</v>
      </c>
      <c r="S25">
        <f t="shared" ca="1" si="4"/>
        <v>100</v>
      </c>
      <c r="T25">
        <f t="shared" ca="1" si="4"/>
        <v>1270</v>
      </c>
      <c r="U25">
        <f t="shared" ca="1" si="4"/>
        <v>-2110</v>
      </c>
      <c r="V25">
        <f t="shared" ca="1" si="4"/>
        <v>-1950</v>
      </c>
      <c r="W25">
        <f t="shared" ca="1" si="4"/>
        <v>1530</v>
      </c>
      <c r="X25">
        <f t="shared" ca="1" si="4"/>
        <v>1595</v>
      </c>
      <c r="Y25">
        <f t="shared" ca="1" si="4"/>
        <v>2185</v>
      </c>
      <c r="Z25">
        <f t="shared" ca="1" si="4"/>
        <v>-560</v>
      </c>
      <c r="AA25">
        <f ca="1">Z24</f>
        <v>-4470</v>
      </c>
    </row>
    <row r="26" spans="1:34" ht="15.75" x14ac:dyDescent="0.25">
      <c r="A26" s="226">
        <v>42309</v>
      </c>
      <c r="B26" s="225">
        <v>33857</v>
      </c>
      <c r="C26" s="211">
        <f t="shared" ca="1" si="0"/>
        <v>35650</v>
      </c>
      <c r="D26" s="212">
        <f t="shared" ca="1" si="1"/>
        <v>42736</v>
      </c>
      <c r="E26">
        <f t="shared" ca="1" si="3"/>
        <v>-11404</v>
      </c>
      <c r="F26">
        <f t="shared" ca="1" si="2"/>
        <v>10949</v>
      </c>
      <c r="G26">
        <f t="shared" ca="1" si="2"/>
        <v>-95</v>
      </c>
      <c r="H26">
        <f t="shared" ca="1" si="2"/>
        <v>45</v>
      </c>
      <c r="I26">
        <f t="shared" ca="1" si="2"/>
        <v>2060</v>
      </c>
      <c r="J26">
        <f t="shared" ca="1" si="2"/>
        <v>-2430</v>
      </c>
      <c r="K26">
        <f t="shared" ca="1" si="2"/>
        <v>-2065</v>
      </c>
      <c r="L26">
        <f t="shared" ca="1" si="2"/>
        <v>2020</v>
      </c>
      <c r="M26">
        <f t="shared" ca="1" si="2"/>
        <v>360</v>
      </c>
      <c r="N26">
        <f t="shared" ca="1" si="2"/>
        <v>640</v>
      </c>
      <c r="O26">
        <f t="shared" ref="O26:O35" ca="1" si="5">N25</f>
        <v>2580</v>
      </c>
      <c r="P26">
        <f t="shared" ca="1" si="4"/>
        <v>868</v>
      </c>
      <c r="Q26">
        <f t="shared" ca="1" si="4"/>
        <v>-10562</v>
      </c>
      <c r="R26">
        <f t="shared" ca="1" si="4"/>
        <v>8827</v>
      </c>
      <c r="S26">
        <f t="shared" ca="1" si="4"/>
        <v>617</v>
      </c>
      <c r="T26">
        <f t="shared" ca="1" si="4"/>
        <v>100</v>
      </c>
      <c r="U26">
        <f t="shared" ca="1" si="4"/>
        <v>1270</v>
      </c>
      <c r="V26">
        <f t="shared" ca="1" si="4"/>
        <v>-2110</v>
      </c>
      <c r="W26">
        <f t="shared" ca="1" si="4"/>
        <v>-1950</v>
      </c>
      <c r="X26">
        <f t="shared" ca="1" si="4"/>
        <v>1530</v>
      </c>
      <c r="Y26">
        <f t="shared" ca="1" si="4"/>
        <v>1595</v>
      </c>
      <c r="Z26">
        <f t="shared" ca="1" si="4"/>
        <v>2185</v>
      </c>
      <c r="AA26">
        <f t="shared" ca="1" si="4"/>
        <v>-560</v>
      </c>
      <c r="AB26">
        <f ca="1">AA25</f>
        <v>-4470</v>
      </c>
    </row>
    <row r="27" spans="1:34" ht="15.75" x14ac:dyDescent="0.25">
      <c r="A27" s="226">
        <v>42278</v>
      </c>
      <c r="B27" s="225">
        <v>33240</v>
      </c>
      <c r="C27" s="211">
        <f t="shared" ca="1" si="0"/>
        <v>35900</v>
      </c>
      <c r="D27" s="212">
        <f t="shared" ca="1" si="1"/>
        <v>42767</v>
      </c>
      <c r="E27">
        <f t="shared" ca="1" si="3"/>
        <v>250</v>
      </c>
      <c r="F27">
        <f t="shared" ca="1" si="2"/>
        <v>-11404</v>
      </c>
      <c r="G27">
        <f t="shared" ca="1" si="2"/>
        <v>10949</v>
      </c>
      <c r="H27">
        <f t="shared" ca="1" si="2"/>
        <v>-95</v>
      </c>
      <c r="I27">
        <f t="shared" ca="1" si="2"/>
        <v>45</v>
      </c>
      <c r="J27">
        <f t="shared" ca="1" si="2"/>
        <v>2060</v>
      </c>
      <c r="K27">
        <f t="shared" ca="1" si="2"/>
        <v>-2430</v>
      </c>
      <c r="L27">
        <f t="shared" ca="1" si="2"/>
        <v>-2065</v>
      </c>
      <c r="M27">
        <f t="shared" ca="1" si="2"/>
        <v>2020</v>
      </c>
      <c r="N27">
        <f t="shared" ca="1" si="2"/>
        <v>360</v>
      </c>
      <c r="O27">
        <f t="shared" ca="1" si="5"/>
        <v>640</v>
      </c>
      <c r="P27">
        <f t="shared" ca="1" si="4"/>
        <v>2580</v>
      </c>
      <c r="Q27">
        <f t="shared" ca="1" si="4"/>
        <v>868</v>
      </c>
      <c r="R27">
        <f t="shared" ca="1" si="4"/>
        <v>-10562</v>
      </c>
      <c r="S27">
        <f t="shared" ca="1" si="4"/>
        <v>8827</v>
      </c>
      <c r="T27">
        <f t="shared" ca="1" si="4"/>
        <v>617</v>
      </c>
      <c r="U27">
        <f t="shared" ca="1" si="4"/>
        <v>100</v>
      </c>
      <c r="V27">
        <f t="shared" ca="1" si="4"/>
        <v>1270</v>
      </c>
      <c r="W27">
        <f t="shared" ca="1" si="4"/>
        <v>-2110</v>
      </c>
      <c r="X27">
        <f t="shared" ca="1" si="4"/>
        <v>-1950</v>
      </c>
      <c r="Y27">
        <f t="shared" ca="1" si="4"/>
        <v>1530</v>
      </c>
      <c r="Z27">
        <f t="shared" ca="1" si="4"/>
        <v>1595</v>
      </c>
      <c r="AA27">
        <f t="shared" ca="1" si="4"/>
        <v>2185</v>
      </c>
      <c r="AB27">
        <f t="shared" ca="1" si="4"/>
        <v>-560</v>
      </c>
      <c r="AC27">
        <f ca="1">AB26</f>
        <v>-4470</v>
      </c>
    </row>
    <row r="28" spans="1:34" ht="15.75" x14ac:dyDescent="0.25">
      <c r="A28" s="226">
        <v>42248</v>
      </c>
      <c r="B28" s="225">
        <v>33140</v>
      </c>
      <c r="C28" s="211">
        <f t="shared" ca="1" si="0"/>
        <v>37640</v>
      </c>
      <c r="D28" s="212">
        <f t="shared" ca="1" si="1"/>
        <v>42795</v>
      </c>
      <c r="E28">
        <f t="shared" ca="1" si="3"/>
        <v>1740</v>
      </c>
      <c r="F28">
        <f t="shared" ca="1" si="2"/>
        <v>250</v>
      </c>
      <c r="G28">
        <f t="shared" ca="1" si="2"/>
        <v>-11404</v>
      </c>
      <c r="H28">
        <f t="shared" ca="1" si="2"/>
        <v>10949</v>
      </c>
      <c r="I28">
        <f t="shared" ca="1" si="2"/>
        <v>-95</v>
      </c>
      <c r="J28">
        <f t="shared" ca="1" si="2"/>
        <v>45</v>
      </c>
      <c r="K28">
        <f t="shared" ca="1" si="2"/>
        <v>2060</v>
      </c>
      <c r="L28">
        <f t="shared" ca="1" si="2"/>
        <v>-2430</v>
      </c>
      <c r="M28">
        <f t="shared" ca="1" si="2"/>
        <v>-2065</v>
      </c>
      <c r="N28">
        <f t="shared" ca="1" si="2"/>
        <v>2020</v>
      </c>
      <c r="O28">
        <f t="shared" ca="1" si="5"/>
        <v>360</v>
      </c>
      <c r="P28">
        <f t="shared" ca="1" si="4"/>
        <v>640</v>
      </c>
      <c r="Q28">
        <f t="shared" ca="1" si="4"/>
        <v>2580</v>
      </c>
      <c r="R28">
        <f t="shared" ca="1" si="4"/>
        <v>868</v>
      </c>
      <c r="S28">
        <f t="shared" ca="1" si="4"/>
        <v>-10562</v>
      </c>
      <c r="T28">
        <f t="shared" ca="1" si="4"/>
        <v>8827</v>
      </c>
      <c r="U28">
        <f t="shared" ca="1" si="4"/>
        <v>617</v>
      </c>
      <c r="V28">
        <f t="shared" ca="1" si="4"/>
        <v>100</v>
      </c>
      <c r="W28">
        <f t="shared" ca="1" si="4"/>
        <v>1270</v>
      </c>
      <c r="X28">
        <f t="shared" ca="1" si="4"/>
        <v>-2110</v>
      </c>
      <c r="Y28">
        <f t="shared" ca="1" si="4"/>
        <v>-1950</v>
      </c>
      <c r="Z28">
        <f t="shared" ca="1" si="4"/>
        <v>1530</v>
      </c>
      <c r="AA28">
        <f t="shared" ca="1" si="4"/>
        <v>1595</v>
      </c>
      <c r="AB28">
        <f t="shared" ca="1" si="4"/>
        <v>2185</v>
      </c>
      <c r="AC28">
        <f t="shared" ca="1" si="4"/>
        <v>-560</v>
      </c>
      <c r="AD28">
        <f ca="1">AC27</f>
        <v>-4470</v>
      </c>
    </row>
    <row r="29" spans="1:34" ht="15.75" x14ac:dyDescent="0.25">
      <c r="A29" s="226">
        <v>42217</v>
      </c>
      <c r="B29" s="225">
        <v>31870</v>
      </c>
      <c r="C29" s="211">
        <f t="shared" ca="1" si="0"/>
        <v>39253</v>
      </c>
      <c r="D29" s="212">
        <f t="shared" ca="1" si="1"/>
        <v>42826</v>
      </c>
      <c r="E29">
        <f t="shared" ca="1" si="3"/>
        <v>1613</v>
      </c>
      <c r="F29">
        <f t="shared" ca="1" si="2"/>
        <v>1740</v>
      </c>
      <c r="G29">
        <f t="shared" ca="1" si="2"/>
        <v>250</v>
      </c>
      <c r="H29">
        <f t="shared" ca="1" si="2"/>
        <v>-11404</v>
      </c>
      <c r="I29">
        <f t="shared" ca="1" si="2"/>
        <v>10949</v>
      </c>
      <c r="J29">
        <f t="shared" ca="1" si="2"/>
        <v>-95</v>
      </c>
      <c r="K29">
        <f t="shared" ca="1" si="2"/>
        <v>45</v>
      </c>
      <c r="L29">
        <f t="shared" ca="1" si="2"/>
        <v>2060</v>
      </c>
      <c r="M29">
        <f t="shared" ca="1" si="2"/>
        <v>-2430</v>
      </c>
      <c r="N29">
        <f t="shared" ca="1" si="2"/>
        <v>-2065</v>
      </c>
      <c r="O29">
        <f t="shared" ca="1" si="5"/>
        <v>2020</v>
      </c>
      <c r="P29">
        <f t="shared" ca="1" si="4"/>
        <v>360</v>
      </c>
      <c r="Q29">
        <f t="shared" ca="1" si="4"/>
        <v>640</v>
      </c>
      <c r="R29">
        <f t="shared" ca="1" si="4"/>
        <v>2580</v>
      </c>
      <c r="S29">
        <f t="shared" ca="1" si="4"/>
        <v>868</v>
      </c>
      <c r="T29">
        <f t="shared" ca="1" si="4"/>
        <v>-10562</v>
      </c>
      <c r="U29">
        <f t="shared" ca="1" si="4"/>
        <v>8827</v>
      </c>
      <c r="V29">
        <f t="shared" ca="1" si="4"/>
        <v>617</v>
      </c>
      <c r="W29">
        <f t="shared" ca="1" si="4"/>
        <v>100</v>
      </c>
      <c r="X29">
        <f t="shared" ca="1" si="4"/>
        <v>1270</v>
      </c>
      <c r="Y29">
        <f t="shared" ca="1" si="4"/>
        <v>-2110</v>
      </c>
      <c r="Z29">
        <f t="shared" ca="1" si="4"/>
        <v>-1950</v>
      </c>
      <c r="AA29">
        <f t="shared" ca="1" si="4"/>
        <v>1530</v>
      </c>
      <c r="AB29">
        <f t="shared" ca="1" si="4"/>
        <v>1595</v>
      </c>
      <c r="AC29">
        <f t="shared" ca="1" si="4"/>
        <v>2185</v>
      </c>
      <c r="AD29">
        <f t="shared" ca="1" si="4"/>
        <v>-560</v>
      </c>
      <c r="AE29">
        <f ca="1">AD28</f>
        <v>-4470</v>
      </c>
    </row>
    <row r="30" spans="1:34" ht="15.75" x14ac:dyDescent="0.25">
      <c r="A30" s="226">
        <v>42186</v>
      </c>
      <c r="B30" s="225">
        <v>33980</v>
      </c>
      <c r="C30" s="211">
        <f t="shared" ca="1" si="0"/>
        <v>40640</v>
      </c>
      <c r="D30" s="212">
        <f t="shared" ca="1" si="1"/>
        <v>42856</v>
      </c>
      <c r="E30">
        <f t="shared" ca="1" si="3"/>
        <v>1387</v>
      </c>
      <c r="F30">
        <f t="shared" ca="1" si="2"/>
        <v>1613</v>
      </c>
      <c r="G30">
        <f t="shared" ca="1" si="2"/>
        <v>1740</v>
      </c>
      <c r="H30">
        <f t="shared" ca="1" si="2"/>
        <v>250</v>
      </c>
      <c r="I30">
        <f t="shared" ca="1" si="2"/>
        <v>-11404</v>
      </c>
      <c r="J30">
        <f t="shared" ca="1" si="2"/>
        <v>10949</v>
      </c>
      <c r="K30">
        <f t="shared" ca="1" si="2"/>
        <v>-95</v>
      </c>
      <c r="L30">
        <f t="shared" ca="1" si="2"/>
        <v>45</v>
      </c>
      <c r="M30">
        <f t="shared" ca="1" si="2"/>
        <v>2060</v>
      </c>
      <c r="N30">
        <f t="shared" ca="1" si="2"/>
        <v>-2430</v>
      </c>
      <c r="O30">
        <f t="shared" ca="1" si="5"/>
        <v>-2065</v>
      </c>
      <c r="P30">
        <f t="shared" ca="1" si="4"/>
        <v>2020</v>
      </c>
      <c r="Q30">
        <f t="shared" ca="1" si="4"/>
        <v>360</v>
      </c>
      <c r="R30">
        <f t="shared" ca="1" si="4"/>
        <v>640</v>
      </c>
      <c r="S30">
        <f t="shared" ca="1" si="4"/>
        <v>2580</v>
      </c>
      <c r="T30">
        <f t="shared" ca="1" si="4"/>
        <v>868</v>
      </c>
      <c r="U30">
        <f t="shared" ca="1" si="4"/>
        <v>-10562</v>
      </c>
      <c r="V30">
        <f t="shared" ca="1" si="4"/>
        <v>8827</v>
      </c>
      <c r="W30">
        <f t="shared" ca="1" si="4"/>
        <v>617</v>
      </c>
      <c r="X30">
        <f t="shared" ca="1" si="4"/>
        <v>100</v>
      </c>
      <c r="Y30">
        <f t="shared" ca="1" si="4"/>
        <v>1270</v>
      </c>
      <c r="Z30">
        <f t="shared" ca="1" si="4"/>
        <v>-2110</v>
      </c>
      <c r="AA30">
        <f t="shared" ca="1" si="4"/>
        <v>-1950</v>
      </c>
      <c r="AB30">
        <f t="shared" ca="1" si="4"/>
        <v>1530</v>
      </c>
      <c r="AC30">
        <f t="shared" ca="1" si="4"/>
        <v>1595</v>
      </c>
      <c r="AD30">
        <f t="shared" ca="1" si="4"/>
        <v>2185</v>
      </c>
      <c r="AE30">
        <f t="shared" ca="1" si="4"/>
        <v>-560</v>
      </c>
      <c r="AF30">
        <f ca="1">AE29</f>
        <v>-4470</v>
      </c>
    </row>
    <row r="31" spans="1:34" ht="15.75" x14ac:dyDescent="0.25">
      <c r="A31" s="226">
        <v>42156</v>
      </c>
      <c r="B31" s="225">
        <v>35930</v>
      </c>
      <c r="C31" s="211">
        <f t="shared" ca="1" si="0"/>
        <v>41640</v>
      </c>
      <c r="D31" s="212">
        <f t="shared" ca="1" si="1"/>
        <v>42887</v>
      </c>
      <c r="E31">
        <f t="shared" ca="1" si="3"/>
        <v>1000</v>
      </c>
      <c r="F31">
        <f t="shared" ca="1" si="2"/>
        <v>1387</v>
      </c>
      <c r="G31">
        <f t="shared" ca="1" si="2"/>
        <v>1613</v>
      </c>
      <c r="H31">
        <f t="shared" ca="1" si="2"/>
        <v>1740</v>
      </c>
      <c r="I31">
        <f t="shared" ca="1" si="2"/>
        <v>250</v>
      </c>
      <c r="J31">
        <f t="shared" ca="1" si="2"/>
        <v>-11404</v>
      </c>
      <c r="K31">
        <f t="shared" ca="1" si="2"/>
        <v>10949</v>
      </c>
      <c r="L31">
        <f t="shared" ca="1" si="2"/>
        <v>-95</v>
      </c>
      <c r="M31">
        <f t="shared" ca="1" si="2"/>
        <v>45</v>
      </c>
      <c r="N31">
        <f t="shared" ca="1" si="2"/>
        <v>2060</v>
      </c>
      <c r="O31">
        <f t="shared" ca="1" si="5"/>
        <v>-2430</v>
      </c>
      <c r="P31">
        <f t="shared" ca="1" si="4"/>
        <v>-2065</v>
      </c>
      <c r="Q31">
        <f t="shared" ca="1" si="4"/>
        <v>2020</v>
      </c>
      <c r="R31">
        <f t="shared" ca="1" si="4"/>
        <v>360</v>
      </c>
      <c r="S31">
        <f t="shared" ca="1" si="4"/>
        <v>640</v>
      </c>
      <c r="T31">
        <f t="shared" ca="1" si="4"/>
        <v>2580</v>
      </c>
      <c r="U31">
        <f t="shared" ca="1" si="4"/>
        <v>868</v>
      </c>
      <c r="V31">
        <f t="shared" ca="1" si="4"/>
        <v>-10562</v>
      </c>
      <c r="W31">
        <f t="shared" ca="1" si="4"/>
        <v>8827</v>
      </c>
      <c r="X31">
        <f t="shared" ca="1" si="4"/>
        <v>617</v>
      </c>
      <c r="Y31">
        <f t="shared" ca="1" si="4"/>
        <v>100</v>
      </c>
      <c r="Z31">
        <f t="shared" ca="1" si="4"/>
        <v>1270</v>
      </c>
      <c r="AA31">
        <f t="shared" ca="1" si="4"/>
        <v>-2110</v>
      </c>
      <c r="AB31">
        <f t="shared" ca="1" si="4"/>
        <v>-1950</v>
      </c>
      <c r="AC31">
        <f t="shared" ca="1" si="4"/>
        <v>1530</v>
      </c>
      <c r="AD31">
        <f t="shared" ca="1" si="4"/>
        <v>1595</v>
      </c>
      <c r="AE31">
        <f t="shared" ca="1" si="4"/>
        <v>2185</v>
      </c>
      <c r="AF31">
        <f t="shared" ref="AF31:AI35" ca="1" si="6">AE30</f>
        <v>-560</v>
      </c>
      <c r="AG31">
        <f ca="1">AF30</f>
        <v>-4470</v>
      </c>
    </row>
    <row r="32" spans="1:34" ht="15.75" x14ac:dyDescent="0.25">
      <c r="A32" s="226">
        <v>42125</v>
      </c>
      <c r="B32" s="225">
        <v>34400</v>
      </c>
      <c r="C32" s="211">
        <f t="shared" ca="1" si="0"/>
        <v>39355</v>
      </c>
      <c r="D32" s="212">
        <f t="shared" ca="1" si="1"/>
        <v>42917</v>
      </c>
      <c r="E32">
        <f t="shared" ca="1" si="3"/>
        <v>-2285</v>
      </c>
      <c r="F32">
        <f t="shared" ca="1" si="2"/>
        <v>1000</v>
      </c>
      <c r="G32">
        <f t="shared" ca="1" si="2"/>
        <v>1387</v>
      </c>
      <c r="H32">
        <f t="shared" ca="1" si="2"/>
        <v>1613</v>
      </c>
      <c r="I32">
        <f t="shared" ca="1" si="2"/>
        <v>1740</v>
      </c>
      <c r="J32">
        <f t="shared" ca="1" si="2"/>
        <v>250</v>
      </c>
      <c r="K32">
        <f t="shared" ca="1" si="2"/>
        <v>-11404</v>
      </c>
      <c r="L32">
        <f t="shared" ca="1" si="2"/>
        <v>10949</v>
      </c>
      <c r="M32">
        <f t="shared" ca="1" si="2"/>
        <v>-95</v>
      </c>
      <c r="N32">
        <f t="shared" ca="1" si="2"/>
        <v>45</v>
      </c>
      <c r="O32">
        <f t="shared" ca="1" si="5"/>
        <v>2060</v>
      </c>
      <c r="P32">
        <f t="shared" ca="1" si="4"/>
        <v>-2430</v>
      </c>
      <c r="Q32">
        <f t="shared" ca="1" si="4"/>
        <v>-2065</v>
      </c>
      <c r="R32">
        <f t="shared" ca="1" si="4"/>
        <v>2020</v>
      </c>
      <c r="S32">
        <f t="shared" ca="1" si="4"/>
        <v>360</v>
      </c>
      <c r="T32">
        <f t="shared" ca="1" si="4"/>
        <v>640</v>
      </c>
      <c r="U32">
        <f t="shared" ca="1" si="4"/>
        <v>2580</v>
      </c>
      <c r="V32">
        <f t="shared" ca="1" si="4"/>
        <v>868</v>
      </c>
      <c r="W32">
        <f t="shared" ca="1" si="4"/>
        <v>-10562</v>
      </c>
      <c r="X32">
        <f t="shared" ca="1" si="4"/>
        <v>8827</v>
      </c>
      <c r="Y32">
        <f t="shared" ca="1" si="4"/>
        <v>617</v>
      </c>
      <c r="Z32">
        <f t="shared" ca="1" si="4"/>
        <v>100</v>
      </c>
      <c r="AA32">
        <f t="shared" ca="1" si="4"/>
        <v>1270</v>
      </c>
      <c r="AB32">
        <f t="shared" ca="1" si="4"/>
        <v>-2110</v>
      </c>
      <c r="AC32">
        <f t="shared" ca="1" si="4"/>
        <v>-1950</v>
      </c>
      <c r="AD32">
        <f t="shared" ca="1" si="4"/>
        <v>1530</v>
      </c>
      <c r="AE32">
        <f t="shared" ca="1" si="4"/>
        <v>1595</v>
      </c>
      <c r="AF32">
        <f t="shared" ca="1" si="6"/>
        <v>2185</v>
      </c>
      <c r="AG32">
        <f t="shared" ca="1" si="6"/>
        <v>-560</v>
      </c>
      <c r="AH32">
        <f ca="1">AG31</f>
        <v>-4470</v>
      </c>
    </row>
    <row r="33" spans="1:36" ht="15.75" x14ac:dyDescent="0.25">
      <c r="A33" s="226">
        <v>42095</v>
      </c>
      <c r="B33" s="225">
        <v>32805</v>
      </c>
      <c r="C33" s="211">
        <f t="shared" ca="1" si="0"/>
        <v>38040</v>
      </c>
      <c r="D33" s="212">
        <f t="shared" ca="1" si="1"/>
        <v>42948</v>
      </c>
      <c r="E33">
        <f t="shared" ca="1" si="3"/>
        <v>-1315</v>
      </c>
      <c r="F33">
        <f t="shared" ca="1" si="2"/>
        <v>-2285</v>
      </c>
      <c r="G33">
        <f t="shared" ca="1" si="2"/>
        <v>1000</v>
      </c>
      <c r="H33">
        <f t="shared" ca="1" si="2"/>
        <v>1387</v>
      </c>
      <c r="I33">
        <f t="shared" ca="1" si="2"/>
        <v>1613</v>
      </c>
      <c r="J33">
        <f t="shared" ca="1" si="2"/>
        <v>1740</v>
      </c>
      <c r="K33">
        <f t="shared" ca="1" si="2"/>
        <v>250</v>
      </c>
      <c r="L33">
        <f t="shared" ca="1" si="2"/>
        <v>-11404</v>
      </c>
      <c r="M33">
        <f t="shared" ca="1" si="2"/>
        <v>10949</v>
      </c>
      <c r="N33">
        <f t="shared" ca="1" si="2"/>
        <v>-95</v>
      </c>
      <c r="O33">
        <f t="shared" ca="1" si="5"/>
        <v>45</v>
      </c>
      <c r="P33">
        <f t="shared" ca="1" si="4"/>
        <v>2060</v>
      </c>
      <c r="Q33">
        <f t="shared" ca="1" si="4"/>
        <v>-2430</v>
      </c>
      <c r="R33">
        <f t="shared" ca="1" si="4"/>
        <v>-2065</v>
      </c>
      <c r="S33">
        <f t="shared" ca="1" si="4"/>
        <v>2020</v>
      </c>
      <c r="T33">
        <f t="shared" ca="1" si="4"/>
        <v>360</v>
      </c>
      <c r="U33">
        <f t="shared" ca="1" si="4"/>
        <v>640</v>
      </c>
      <c r="V33">
        <f t="shared" ca="1" si="4"/>
        <v>2580</v>
      </c>
      <c r="W33">
        <f t="shared" ca="1" si="4"/>
        <v>868</v>
      </c>
      <c r="X33">
        <f t="shared" ca="1" si="4"/>
        <v>-10562</v>
      </c>
      <c r="Y33">
        <f t="shared" ca="1" si="4"/>
        <v>8827</v>
      </c>
      <c r="Z33">
        <f t="shared" ca="1" si="4"/>
        <v>617</v>
      </c>
      <c r="AA33">
        <f t="shared" ca="1" si="4"/>
        <v>100</v>
      </c>
      <c r="AB33">
        <f t="shared" ca="1" si="4"/>
        <v>1270</v>
      </c>
      <c r="AC33">
        <f t="shared" ca="1" si="4"/>
        <v>-2110</v>
      </c>
      <c r="AD33">
        <f t="shared" ca="1" si="4"/>
        <v>-1950</v>
      </c>
      <c r="AE33">
        <f t="shared" ca="1" si="4"/>
        <v>1530</v>
      </c>
      <c r="AF33">
        <f t="shared" ca="1" si="6"/>
        <v>1595</v>
      </c>
      <c r="AG33">
        <f t="shared" ca="1" si="6"/>
        <v>2185</v>
      </c>
      <c r="AH33">
        <f t="shared" ca="1" si="6"/>
        <v>-560</v>
      </c>
      <c r="AI33">
        <f ca="1">AH32</f>
        <v>-4470</v>
      </c>
    </row>
    <row r="34" spans="1:36" ht="15.75" x14ac:dyDescent="0.25">
      <c r="A34" s="226">
        <v>42064</v>
      </c>
      <c r="B34" s="225">
        <v>30620</v>
      </c>
      <c r="C34" s="211">
        <f t="shared" ca="1" si="0"/>
        <v>37520</v>
      </c>
      <c r="D34" s="212">
        <f t="shared" ca="1" si="1"/>
        <v>42979</v>
      </c>
      <c r="E34">
        <f t="shared" ca="1" si="3"/>
        <v>-520</v>
      </c>
      <c r="F34">
        <f t="shared" ca="1" si="2"/>
        <v>-1315</v>
      </c>
      <c r="G34">
        <f t="shared" ca="1" si="2"/>
        <v>-2285</v>
      </c>
      <c r="H34">
        <f t="shared" ca="1" si="2"/>
        <v>1000</v>
      </c>
      <c r="I34">
        <f t="shared" ca="1" si="2"/>
        <v>1387</v>
      </c>
      <c r="J34">
        <f t="shared" ca="1" si="2"/>
        <v>1613</v>
      </c>
      <c r="K34">
        <f t="shared" ca="1" si="2"/>
        <v>1740</v>
      </c>
      <c r="L34">
        <f t="shared" ca="1" si="2"/>
        <v>250</v>
      </c>
      <c r="M34">
        <f t="shared" ca="1" si="2"/>
        <v>-11404</v>
      </c>
      <c r="N34">
        <f t="shared" ca="1" si="2"/>
        <v>10949</v>
      </c>
      <c r="O34">
        <f t="shared" ca="1" si="5"/>
        <v>-95</v>
      </c>
      <c r="P34">
        <f t="shared" ca="1" si="4"/>
        <v>45</v>
      </c>
      <c r="Q34">
        <f t="shared" ca="1" si="4"/>
        <v>2060</v>
      </c>
      <c r="R34">
        <f t="shared" ca="1" si="4"/>
        <v>-2430</v>
      </c>
      <c r="S34">
        <f t="shared" ca="1" si="4"/>
        <v>-2065</v>
      </c>
      <c r="T34">
        <f t="shared" ca="1" si="4"/>
        <v>2020</v>
      </c>
      <c r="U34">
        <f t="shared" ca="1" si="4"/>
        <v>360</v>
      </c>
      <c r="V34">
        <f t="shared" ca="1" si="4"/>
        <v>640</v>
      </c>
      <c r="W34">
        <f t="shared" ca="1" si="4"/>
        <v>2580</v>
      </c>
      <c r="X34">
        <f t="shared" ca="1" si="4"/>
        <v>868</v>
      </c>
      <c r="Y34">
        <f t="shared" ca="1" si="4"/>
        <v>-10562</v>
      </c>
      <c r="Z34">
        <f t="shared" ca="1" si="4"/>
        <v>8827</v>
      </c>
      <c r="AA34">
        <f t="shared" ca="1" si="4"/>
        <v>617</v>
      </c>
      <c r="AB34">
        <f t="shared" ca="1" si="4"/>
        <v>100</v>
      </c>
      <c r="AC34">
        <f t="shared" ca="1" si="4"/>
        <v>1270</v>
      </c>
      <c r="AD34">
        <f t="shared" ca="1" si="4"/>
        <v>-2110</v>
      </c>
      <c r="AE34">
        <f t="shared" ca="1" si="4"/>
        <v>-1950</v>
      </c>
      <c r="AF34">
        <f t="shared" ca="1" si="6"/>
        <v>1530</v>
      </c>
      <c r="AG34">
        <f t="shared" ca="1" si="6"/>
        <v>1595</v>
      </c>
      <c r="AH34">
        <f t="shared" ca="1" si="6"/>
        <v>2185</v>
      </c>
      <c r="AI34">
        <f t="shared" ca="1" si="6"/>
        <v>-560</v>
      </c>
      <c r="AJ34">
        <f ca="1">AI33</f>
        <v>-4470</v>
      </c>
    </row>
    <row r="35" spans="1:36" ht="16.5" thickBot="1" x14ac:dyDescent="0.3">
      <c r="A35" s="226">
        <v>42036</v>
      </c>
      <c r="B35" s="225">
        <v>31180</v>
      </c>
      <c r="C35" s="211">
        <f t="shared" ca="1" si="0"/>
        <v>38275</v>
      </c>
      <c r="D35" s="212">
        <f t="shared" ca="1" si="1"/>
        <v>43009</v>
      </c>
      <c r="E35">
        <f t="shared" ca="1" si="3"/>
        <v>755</v>
      </c>
      <c r="F35">
        <f t="shared" ca="1" si="2"/>
        <v>-520</v>
      </c>
      <c r="G35">
        <f t="shared" ca="1" si="2"/>
        <v>-1315</v>
      </c>
      <c r="H35">
        <f t="shared" ca="1" si="2"/>
        <v>-2285</v>
      </c>
      <c r="I35">
        <f t="shared" ca="1" si="2"/>
        <v>1000</v>
      </c>
      <c r="J35">
        <f t="shared" ca="1" si="2"/>
        <v>1387</v>
      </c>
      <c r="K35">
        <f t="shared" ca="1" si="2"/>
        <v>1613</v>
      </c>
      <c r="L35">
        <f t="shared" ca="1" si="2"/>
        <v>1740</v>
      </c>
      <c r="M35">
        <f t="shared" ca="1" si="2"/>
        <v>250</v>
      </c>
      <c r="N35">
        <f t="shared" ca="1" si="2"/>
        <v>-11404</v>
      </c>
      <c r="O35">
        <f t="shared" ca="1" si="5"/>
        <v>10949</v>
      </c>
      <c r="P35">
        <f t="shared" ca="1" si="4"/>
        <v>-95</v>
      </c>
      <c r="Q35">
        <f t="shared" ca="1" si="4"/>
        <v>45</v>
      </c>
      <c r="R35">
        <f t="shared" ca="1" si="4"/>
        <v>2060</v>
      </c>
      <c r="S35">
        <f t="shared" ca="1" si="4"/>
        <v>-2430</v>
      </c>
      <c r="T35">
        <f t="shared" ca="1" si="4"/>
        <v>-2065</v>
      </c>
      <c r="U35">
        <f t="shared" ca="1" si="4"/>
        <v>2020</v>
      </c>
      <c r="V35">
        <f t="shared" ca="1" si="4"/>
        <v>360</v>
      </c>
      <c r="W35">
        <f t="shared" ca="1" si="4"/>
        <v>640</v>
      </c>
      <c r="X35">
        <f t="shared" ca="1" si="4"/>
        <v>2580</v>
      </c>
      <c r="Y35">
        <f t="shared" ca="1" si="4"/>
        <v>868</v>
      </c>
      <c r="Z35">
        <f t="shared" ca="1" si="4"/>
        <v>-10562</v>
      </c>
      <c r="AA35">
        <f t="shared" ca="1" si="4"/>
        <v>8827</v>
      </c>
      <c r="AB35">
        <f t="shared" ca="1" si="4"/>
        <v>617</v>
      </c>
      <c r="AC35">
        <f t="shared" ca="1" si="4"/>
        <v>100</v>
      </c>
      <c r="AD35">
        <f t="shared" ca="1" si="4"/>
        <v>1270</v>
      </c>
      <c r="AE35">
        <f t="shared" ca="1" si="4"/>
        <v>-2110</v>
      </c>
      <c r="AF35">
        <f t="shared" ca="1" si="6"/>
        <v>-1950</v>
      </c>
      <c r="AG35">
        <f t="shared" ca="1" si="6"/>
        <v>1530</v>
      </c>
      <c r="AH35">
        <f t="shared" ca="1" si="6"/>
        <v>1595</v>
      </c>
      <c r="AI35" s="218">
        <f t="shared" ca="1" si="6"/>
        <v>2185</v>
      </c>
      <c r="AJ35">
        <f ca="1">AI34</f>
        <v>-560</v>
      </c>
    </row>
    <row r="36" spans="1:36" ht="15.75" thickBot="1" x14ac:dyDescent="0.3">
      <c r="F36" s="163">
        <f ca="1">CORREL(E4:E35,F4:F35)</f>
        <v>-0.41392727170867466</v>
      </c>
      <c r="G36" s="164">
        <f ca="1">CORREL(E5:E35,G5:G35)</f>
        <v>-0.12568437989969095</v>
      </c>
      <c r="H36" s="164">
        <f ca="1">CORREL(E6:E35,H6:H35)</f>
        <v>6.9899959863616759E-2</v>
      </c>
      <c r="I36" s="219">
        <f ca="1">CORREL(E7:E35,I7:I35)</f>
        <v>-0.19257141858110896</v>
      </c>
      <c r="J36" s="219">
        <f ca="1">CORREL(E8:E35,J8:J35)</f>
        <v>3.550273435823256E-3</v>
      </c>
      <c r="K36" s="164">
        <f ca="1">CORREL(E9:E35,K9:K35)</f>
        <v>0.34752988754389363</v>
      </c>
      <c r="L36" s="164">
        <f ca="1">CORREL(E10:E35,L10:L35)</f>
        <v>-6.4766383224684851E-2</v>
      </c>
      <c r="M36" s="164">
        <f ca="1">CORREL($E11:$E$35,M11:M$35)</f>
        <v>-0.11494661364467637</v>
      </c>
      <c r="N36" s="164">
        <f ca="1">CORREL($E12:$E$35,N12:N$35)</f>
        <v>-6.7602072327828857E-3</v>
      </c>
      <c r="O36" s="164">
        <f ca="1">CORREL($E13:$E$35,O13:O$35)</f>
        <v>-0.12200778378580997</v>
      </c>
      <c r="P36" s="219">
        <f ca="1">CORREL($E14:$E$35,P14:P$35)</f>
        <v>-0.21453224867456835</v>
      </c>
      <c r="Q36" s="224">
        <f ca="1">CORREL($E15:$E$35,Q15:Q$35)</f>
        <v>0.89204624267721933</v>
      </c>
      <c r="R36" s="219">
        <f ca="1">CORREL($E16:$E$35,R16:R$35)</f>
        <v>-0.36449482833168817</v>
      </c>
      <c r="S36" s="219">
        <f ca="1">CORREL($E17:$E$35,S17:S$35)</f>
        <v>-0.11351127647678483</v>
      </c>
      <c r="T36" s="219">
        <f ca="1">CORREL($E18:$E$35,T18:T$35)</f>
        <v>9.507945750473628E-3</v>
      </c>
      <c r="U36" s="219">
        <f ca="1">CORREL($E19:$E$35,U19:U$35)</f>
        <v>-0.19602877455759274</v>
      </c>
      <c r="V36" s="219">
        <f ca="1">CORREL($E20:$E$35,V20:V$35)</f>
        <v>5.9936265037424233E-2</v>
      </c>
      <c r="W36" s="219">
        <f ca="1">CORREL($E21:$E$35,W21:W$35)</f>
        <v>0.32105881022867888</v>
      </c>
      <c r="X36" s="219">
        <f ca="1">CORREL($E22:$E$35,X22:X$35)</f>
        <v>-6.149609915735902E-2</v>
      </c>
      <c r="Y36" s="219">
        <f ca="1">CORREL($E23:$E$35,Y23:Y$35)</f>
        <v>-2.1845572756618682E-2</v>
      </c>
      <c r="Z36" s="219">
        <f ca="1">CORREL($E24:$E$35,Z24:Z$35)</f>
        <v>-0.18393149651491514</v>
      </c>
      <c r="AA36" s="219">
        <f ca="1">CORREL($E25:$E$35,AA25:AA$35)</f>
        <v>-0.22815120850660681</v>
      </c>
      <c r="AB36" s="224">
        <f ca="1">CORREL($E26:$E$35,AB26:AB$35)</f>
        <v>0.79807288439660595</v>
      </c>
      <c r="AC36" s="219">
        <f ca="1">CORREL($E27:$E$35,AC27:AC$35)</f>
        <v>0.50584767875310488</v>
      </c>
      <c r="AD36" s="219">
        <f ca="1">CORREL($E28:$E$35,AD28:AD$35)</f>
        <v>-8.8479509179160726E-2</v>
      </c>
      <c r="AE36" s="219">
        <f ca="1">CORREL($E29:$E$35,AE29:AE$35)</f>
        <v>-0.53403907671597917</v>
      </c>
      <c r="AF36" s="219">
        <f ca="1">CORREL($E30:$E$35,AF30:AF$35)</f>
        <v>-0.87434364574817702</v>
      </c>
      <c r="AG36" s="164">
        <f ca="1">CORREL($E31:$E$35,AG31:AG$35)</f>
        <v>-0.36986327721116702</v>
      </c>
      <c r="AH36" s="224">
        <f ca="1">CORREL($E32:$E$35,AH32:AH$35)</f>
        <v>0.85773163518700657</v>
      </c>
      <c r="AI36" s="219">
        <f ca="1">CORREL($E33:$E$35,AI33:AI$35)</f>
        <v>0.97278986650860533</v>
      </c>
      <c r="AJ36" s="210">
        <f ca="1">CORREL($E34:$E$35,AJ34:AJ$35)</f>
        <v>1</v>
      </c>
    </row>
    <row r="37" spans="1:36" x14ac:dyDescent="0.25">
      <c r="A37" s="207"/>
      <c r="D37" s="207"/>
    </row>
    <row r="38" spans="1:36" x14ac:dyDescent="0.25">
      <c r="A38" s="207"/>
    </row>
    <row r="39" spans="1:36" x14ac:dyDescent="0.25">
      <c r="A39" s="207"/>
    </row>
    <row r="40" spans="1:36" x14ac:dyDescent="0.25">
      <c r="A40" s="238"/>
      <c r="B40" s="218"/>
    </row>
    <row r="41" spans="1:36" ht="15.75" x14ac:dyDescent="0.25">
      <c r="A41" s="239"/>
      <c r="B41" s="240"/>
      <c r="H41" s="180"/>
      <c r="I41" s="180"/>
      <c r="J41" s="180"/>
      <c r="K41" s="180"/>
      <c r="L41" s="180"/>
      <c r="M41" s="180"/>
    </row>
    <row r="42" spans="1:36" ht="15.75" x14ac:dyDescent="0.25">
      <c r="A42" s="239"/>
      <c r="B42" s="240"/>
    </row>
    <row r="43" spans="1:36" ht="15.75" x14ac:dyDescent="0.25">
      <c r="A43" s="239"/>
      <c r="B43" s="240"/>
    </row>
    <row r="44" spans="1:36" ht="15.75" x14ac:dyDescent="0.25">
      <c r="A44" s="239"/>
      <c r="B44" s="240"/>
    </row>
    <row r="45" spans="1:36" ht="15.75" x14ac:dyDescent="0.25">
      <c r="A45" s="239"/>
      <c r="B45" s="240"/>
    </row>
    <row r="46" spans="1:36" ht="15.75" x14ac:dyDescent="0.25">
      <c r="A46" s="239"/>
      <c r="B46" s="240"/>
    </row>
    <row r="47" spans="1:36" ht="15.75" x14ac:dyDescent="0.25">
      <c r="A47" s="239"/>
      <c r="B47" s="240"/>
    </row>
    <row r="48" spans="1:36" ht="15.75" x14ac:dyDescent="0.25">
      <c r="A48" s="239"/>
      <c r="B48" s="240"/>
    </row>
    <row r="49" spans="1:2" ht="15.75" x14ac:dyDescent="0.25">
      <c r="A49" s="239"/>
      <c r="B49" s="240"/>
    </row>
    <row r="50" spans="1:2" ht="15.75" x14ac:dyDescent="0.25">
      <c r="A50" s="239"/>
      <c r="B50" s="240"/>
    </row>
    <row r="51" spans="1:2" ht="15.75" x14ac:dyDescent="0.25">
      <c r="A51" s="239"/>
      <c r="B51" s="240"/>
    </row>
    <row r="52" spans="1:2" ht="15.75" x14ac:dyDescent="0.25">
      <c r="A52" s="239"/>
      <c r="B52" s="240"/>
    </row>
    <row r="53" spans="1:2" ht="15.75" x14ac:dyDescent="0.25">
      <c r="A53" s="239"/>
      <c r="B53" s="240"/>
    </row>
    <row r="54" spans="1:2" ht="15.75" x14ac:dyDescent="0.25">
      <c r="A54" s="239"/>
      <c r="B54" s="240"/>
    </row>
    <row r="55" spans="1:2" ht="15.75" x14ac:dyDescent="0.25">
      <c r="A55" s="239"/>
      <c r="B55" s="240"/>
    </row>
    <row r="56" spans="1:2" ht="15.75" x14ac:dyDescent="0.25">
      <c r="A56" s="239"/>
      <c r="B56" s="240"/>
    </row>
    <row r="57" spans="1:2" ht="15.75" x14ac:dyDescent="0.25">
      <c r="A57" s="239"/>
      <c r="B57" s="240"/>
    </row>
    <row r="58" spans="1:2" ht="15.75" x14ac:dyDescent="0.25">
      <c r="A58" s="239"/>
      <c r="B58" s="240"/>
    </row>
    <row r="59" spans="1:2" ht="15.75" x14ac:dyDescent="0.25">
      <c r="A59" s="239"/>
      <c r="B59" s="240"/>
    </row>
    <row r="60" spans="1:2" ht="15.75" x14ac:dyDescent="0.25">
      <c r="A60" s="239"/>
      <c r="B60" s="240"/>
    </row>
    <row r="61" spans="1:2" ht="15.75" x14ac:dyDescent="0.25">
      <c r="A61" s="239"/>
      <c r="B61" s="240"/>
    </row>
    <row r="62" spans="1:2" ht="15.75" x14ac:dyDescent="0.25">
      <c r="A62" s="239"/>
      <c r="B62" s="240"/>
    </row>
    <row r="63" spans="1:2" ht="15.75" x14ac:dyDescent="0.25">
      <c r="A63" s="239"/>
      <c r="B63" s="240"/>
    </row>
    <row r="64" spans="1:2" ht="15.75" x14ac:dyDescent="0.25">
      <c r="A64" s="239"/>
      <c r="B64" s="240"/>
    </row>
    <row r="65" spans="1:2" ht="15.75" x14ac:dyDescent="0.25">
      <c r="A65" s="239"/>
      <c r="B65" s="240"/>
    </row>
    <row r="66" spans="1:2" ht="15.75" x14ac:dyDescent="0.25">
      <c r="A66" s="239"/>
      <c r="B66" s="240"/>
    </row>
    <row r="67" spans="1:2" ht="15.75" x14ac:dyDescent="0.25">
      <c r="A67" s="239"/>
      <c r="B67" s="240"/>
    </row>
    <row r="68" spans="1:2" ht="15.75" x14ac:dyDescent="0.25">
      <c r="A68" s="239"/>
      <c r="B68" s="240"/>
    </row>
    <row r="69" spans="1:2" ht="15.75" x14ac:dyDescent="0.25">
      <c r="A69" s="239"/>
      <c r="B69" s="240"/>
    </row>
    <row r="70" spans="1:2" ht="15.75" x14ac:dyDescent="0.25">
      <c r="A70" s="239"/>
      <c r="B70" s="240"/>
    </row>
    <row r="71" spans="1:2" ht="15.75" x14ac:dyDescent="0.25">
      <c r="A71" s="239"/>
      <c r="B71" s="240"/>
    </row>
    <row r="72" spans="1:2" ht="15.75" x14ac:dyDescent="0.25">
      <c r="A72" s="239"/>
      <c r="B72" s="240"/>
    </row>
    <row r="73" spans="1:2" ht="15.75" x14ac:dyDescent="0.25">
      <c r="A73" s="239"/>
      <c r="B73" s="240"/>
    </row>
    <row r="74" spans="1:2" ht="15.75" x14ac:dyDescent="0.25">
      <c r="A74" s="239"/>
      <c r="B74" s="240"/>
    </row>
    <row r="75" spans="1:2" ht="15.75" x14ac:dyDescent="0.25">
      <c r="A75" s="239"/>
      <c r="B75" s="240"/>
    </row>
    <row r="76" spans="1:2" ht="15.75" x14ac:dyDescent="0.25">
      <c r="A76" s="239"/>
      <c r="B76" s="240"/>
    </row>
    <row r="77" spans="1:2" ht="15.75" x14ac:dyDescent="0.25">
      <c r="A77" s="239"/>
      <c r="B77" s="240"/>
    </row>
    <row r="78" spans="1:2" x14ac:dyDescent="0.25">
      <c r="A78" s="218"/>
      <c r="B78" s="218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G13" sqref="G13"/>
    </sheetView>
  </sheetViews>
  <sheetFormatPr defaultRowHeight="12.75" x14ac:dyDescent="0.2"/>
  <cols>
    <col min="1" max="1" width="11.5703125" style="241" customWidth="1"/>
    <col min="2" max="2" width="15.85546875" style="241" customWidth="1"/>
    <col min="3" max="7" width="9.140625" style="241"/>
    <col min="8" max="8" width="19.140625" style="241" customWidth="1"/>
    <col min="9" max="9" width="9.140625" style="241"/>
    <col min="10" max="10" width="14" style="241" customWidth="1"/>
    <col min="11" max="11" width="13.140625" style="241" customWidth="1"/>
    <col min="12" max="12" width="11.5703125" style="241" customWidth="1"/>
    <col min="13" max="13" width="11" style="241" customWidth="1"/>
    <col min="14" max="14" width="11.28515625" style="241" customWidth="1"/>
    <col min="15" max="21" width="9.140625" style="241"/>
    <col min="22" max="22" width="10" style="241" bestFit="1" customWidth="1"/>
    <col min="23" max="16384" width="9.140625" style="241"/>
  </cols>
  <sheetData>
    <row r="1" spans="1:23" ht="74.25" customHeight="1" thickBot="1" x14ac:dyDescent="0.25">
      <c r="A1" s="260" t="s">
        <v>117</v>
      </c>
      <c r="B1" s="259" t="s">
        <v>186</v>
      </c>
      <c r="C1" s="258" t="s">
        <v>178</v>
      </c>
      <c r="D1" s="257" t="s">
        <v>180</v>
      </c>
      <c r="E1" s="256" t="s">
        <v>162</v>
      </c>
      <c r="F1" s="255"/>
    </row>
    <row r="2" spans="1:23" x14ac:dyDescent="0.2">
      <c r="A2" s="242">
        <v>42339</v>
      </c>
      <c r="B2" s="241">
        <v>8827</v>
      </c>
      <c r="H2" s="290" t="s">
        <v>158</v>
      </c>
      <c r="I2" s="290"/>
      <c r="J2" s="290"/>
      <c r="K2" s="290"/>
      <c r="L2" s="290"/>
      <c r="M2" s="290"/>
      <c r="N2" s="248"/>
      <c r="O2" s="248"/>
    </row>
    <row r="3" spans="1:23" x14ac:dyDescent="0.2">
      <c r="A3" s="242">
        <v>42370</v>
      </c>
      <c r="B3" s="241">
        <v>-10562</v>
      </c>
      <c r="H3" s="246" t="s">
        <v>163</v>
      </c>
      <c r="I3" s="254" t="s">
        <v>164</v>
      </c>
      <c r="J3" s="291" t="s">
        <v>181</v>
      </c>
      <c r="K3" s="290"/>
      <c r="L3" s="290"/>
      <c r="M3" s="290"/>
      <c r="N3" s="248"/>
      <c r="O3" s="248"/>
    </row>
    <row r="4" spans="1:23" x14ac:dyDescent="0.2">
      <c r="A4" s="242">
        <v>42401</v>
      </c>
      <c r="B4" s="241">
        <v>868</v>
      </c>
      <c r="H4" s="246"/>
      <c r="I4" s="246"/>
      <c r="J4" s="250">
        <v>1</v>
      </c>
      <c r="K4" s="250">
        <v>2</v>
      </c>
      <c r="L4" s="250">
        <v>3</v>
      </c>
      <c r="M4" s="250">
        <v>4</v>
      </c>
      <c r="N4" s="250">
        <v>5</v>
      </c>
      <c r="O4" s="250">
        <v>6</v>
      </c>
      <c r="P4" s="250">
        <v>7</v>
      </c>
      <c r="Q4" s="250">
        <v>8</v>
      </c>
      <c r="R4" s="250">
        <v>9</v>
      </c>
      <c r="S4" s="250">
        <v>10</v>
      </c>
      <c r="T4" s="262">
        <v>11</v>
      </c>
      <c r="U4" s="262">
        <v>12</v>
      </c>
    </row>
    <row r="5" spans="1:23" x14ac:dyDescent="0.2">
      <c r="A5" s="242">
        <v>42430</v>
      </c>
      <c r="B5" s="241">
        <v>2580</v>
      </c>
      <c r="C5" s="241">
        <f t="shared" ref="C5:C24" si="0">SUM(B2:B5)/4</f>
        <v>428.25</v>
      </c>
      <c r="D5" s="241">
        <f t="shared" ref="D5:D23" si="1">(C5+C6)/2</f>
        <v>-595.125</v>
      </c>
      <c r="E5" s="241">
        <f t="shared" ref="E5:E23" si="2">D5-B5</f>
        <v>-3175.125</v>
      </c>
      <c r="H5" s="246"/>
      <c r="I5" s="246">
        <v>1</v>
      </c>
      <c r="J5" s="251" t="s">
        <v>13</v>
      </c>
      <c r="K5" s="250" t="s">
        <v>13</v>
      </c>
      <c r="L5" s="251" t="s">
        <v>13</v>
      </c>
      <c r="M5" s="250">
        <f>E5</f>
        <v>-3175.125</v>
      </c>
      <c r="N5" s="254">
        <f>E6</f>
        <v>-893.25</v>
      </c>
      <c r="O5" s="254">
        <f>E7</f>
        <v>896</v>
      </c>
      <c r="P5" s="262">
        <f>E8</f>
        <v>-1200.625</v>
      </c>
      <c r="Q5" s="262">
        <f>E9</f>
        <v>1920</v>
      </c>
      <c r="R5" s="262">
        <f>E10</f>
        <v>2113.75</v>
      </c>
      <c r="S5" s="262">
        <f>E11</f>
        <v>-2410.625</v>
      </c>
      <c r="T5" s="262">
        <f>E12</f>
        <v>-396.25</v>
      </c>
      <c r="U5" s="262">
        <f>E13</f>
        <v>1662.375</v>
      </c>
    </row>
    <row r="6" spans="1:23" x14ac:dyDescent="0.2">
      <c r="A6" s="242">
        <v>42461</v>
      </c>
      <c r="B6" s="241">
        <v>640</v>
      </c>
      <c r="C6" s="241">
        <f t="shared" si="0"/>
        <v>-1618.5</v>
      </c>
      <c r="D6" s="241">
        <f t="shared" si="1"/>
        <v>-253.25</v>
      </c>
      <c r="E6" s="241">
        <f t="shared" si="2"/>
        <v>-893.25</v>
      </c>
      <c r="H6" s="246"/>
      <c r="I6" s="246">
        <v>2</v>
      </c>
      <c r="J6" s="250">
        <f>E14</f>
        <v>-9392.25</v>
      </c>
      <c r="K6" s="250">
        <f>E15</f>
        <v>11303.375</v>
      </c>
      <c r="L6" s="250">
        <f>E16</f>
        <v>-95.625</v>
      </c>
      <c r="M6" s="250">
        <f>E17</f>
        <v>-2523.25</v>
      </c>
      <c r="N6" s="246">
        <f>E18</f>
        <v>-1964.375</v>
      </c>
      <c r="O6" s="246">
        <f>E19</f>
        <v>-45.75</v>
      </c>
      <c r="P6" s="262">
        <f>E20</f>
        <v>-68.125</v>
      </c>
      <c r="Q6" s="262">
        <f>E21</f>
        <v>2347.75</v>
      </c>
      <c r="R6" s="262">
        <f>E22</f>
        <v>773.375</v>
      </c>
      <c r="S6" s="262">
        <f>E23</f>
        <v>-290.625</v>
      </c>
      <c r="T6" s="262"/>
      <c r="U6" s="262"/>
    </row>
    <row r="7" spans="1:23" x14ac:dyDescent="0.2">
      <c r="A7" s="242">
        <v>42491</v>
      </c>
      <c r="B7" s="241">
        <v>360</v>
      </c>
      <c r="C7" s="241">
        <f t="shared" si="0"/>
        <v>1112</v>
      </c>
      <c r="D7" s="241">
        <f t="shared" si="1"/>
        <v>1256</v>
      </c>
      <c r="E7" s="241">
        <f t="shared" si="2"/>
        <v>896</v>
      </c>
      <c r="H7" s="246"/>
      <c r="I7" s="246"/>
      <c r="J7" s="250"/>
      <c r="K7" s="250"/>
      <c r="L7" s="250"/>
      <c r="M7" s="250"/>
      <c r="N7" s="246"/>
      <c r="O7" s="246"/>
      <c r="P7" s="262"/>
      <c r="Q7" s="262"/>
      <c r="R7" s="262"/>
      <c r="S7" s="262"/>
      <c r="T7" s="262"/>
      <c r="U7" s="262"/>
    </row>
    <row r="8" spans="1:23" ht="21.75" customHeight="1" x14ac:dyDescent="0.2">
      <c r="A8" s="242">
        <v>42522</v>
      </c>
      <c r="B8" s="241">
        <v>2020</v>
      </c>
      <c r="C8" s="241">
        <f t="shared" si="0"/>
        <v>1400</v>
      </c>
      <c r="D8" s="241">
        <f t="shared" si="1"/>
        <v>819.375</v>
      </c>
      <c r="E8" s="241">
        <f t="shared" si="2"/>
        <v>-1200.625</v>
      </c>
      <c r="H8" s="246"/>
      <c r="I8" s="246"/>
      <c r="J8" s="250"/>
      <c r="K8" s="250"/>
      <c r="L8" s="250"/>
      <c r="M8" s="250"/>
      <c r="N8" s="246"/>
      <c r="O8" s="246"/>
      <c r="P8" s="262"/>
      <c r="Q8" s="262"/>
      <c r="R8" s="262"/>
      <c r="S8" s="262"/>
      <c r="T8" s="262"/>
      <c r="U8" s="262"/>
    </row>
    <row r="9" spans="1:23" ht="27" customHeight="1" x14ac:dyDescent="0.2">
      <c r="A9" s="242">
        <v>42552</v>
      </c>
      <c r="B9" s="241">
        <v>-2065</v>
      </c>
      <c r="C9" s="241">
        <f t="shared" si="0"/>
        <v>238.75</v>
      </c>
      <c r="D9" s="241">
        <f t="shared" si="1"/>
        <v>-145</v>
      </c>
      <c r="E9" s="241">
        <f t="shared" si="2"/>
        <v>1920</v>
      </c>
      <c r="H9" s="247" t="s">
        <v>166</v>
      </c>
      <c r="I9" s="246"/>
      <c r="J9" s="246">
        <f>J6+J7+J8</f>
        <v>-9392.25</v>
      </c>
      <c r="K9" s="246">
        <f t="shared" ref="K9:L9" si="3">K6+K7+K8</f>
        <v>11303.375</v>
      </c>
      <c r="L9" s="246">
        <f t="shared" si="3"/>
        <v>-95.625</v>
      </c>
      <c r="M9" s="246">
        <f>M6+M7+M5</f>
        <v>-5698.375</v>
      </c>
      <c r="N9" s="246">
        <f t="shared" ref="N9:U9" si="4">N6+N7+N5</f>
        <v>-2857.625</v>
      </c>
      <c r="O9" s="246">
        <f t="shared" si="4"/>
        <v>850.25</v>
      </c>
      <c r="P9" s="246">
        <f t="shared" si="4"/>
        <v>-1268.75</v>
      </c>
      <c r="Q9" s="246">
        <f t="shared" si="4"/>
        <v>4267.75</v>
      </c>
      <c r="R9" s="246">
        <f t="shared" si="4"/>
        <v>2887.125</v>
      </c>
      <c r="S9" s="246">
        <f t="shared" si="4"/>
        <v>-2701.25</v>
      </c>
      <c r="T9" s="246">
        <f t="shared" si="4"/>
        <v>-396.25</v>
      </c>
      <c r="U9" s="246">
        <f t="shared" si="4"/>
        <v>1662.375</v>
      </c>
    </row>
    <row r="10" spans="1:23" ht="36.75" customHeight="1" x14ac:dyDescent="0.2">
      <c r="A10" s="242">
        <v>42583</v>
      </c>
      <c r="B10" s="241">
        <v>-2430</v>
      </c>
      <c r="C10" s="241">
        <f t="shared" si="0"/>
        <v>-528.75</v>
      </c>
      <c r="D10" s="241">
        <f t="shared" si="1"/>
        <v>-316.25</v>
      </c>
      <c r="E10" s="241">
        <f t="shared" si="2"/>
        <v>2113.75</v>
      </c>
      <c r="H10" s="247" t="s">
        <v>167</v>
      </c>
      <c r="I10" s="246"/>
      <c r="J10" s="249">
        <f>J9</f>
        <v>-9392.25</v>
      </c>
      <c r="K10" s="249">
        <f>K9</f>
        <v>11303.375</v>
      </c>
      <c r="L10" s="249">
        <f>L9</f>
        <v>-95.625</v>
      </c>
      <c r="M10" s="249">
        <f>M9/2</f>
        <v>-2849.1875</v>
      </c>
      <c r="N10" s="249">
        <f t="shared" ref="N10:S10" si="5">N9/2</f>
        <v>-1428.8125</v>
      </c>
      <c r="O10" s="249">
        <f t="shared" si="5"/>
        <v>425.125</v>
      </c>
      <c r="P10" s="249">
        <f t="shared" si="5"/>
        <v>-634.375</v>
      </c>
      <c r="Q10" s="249">
        <f t="shared" si="5"/>
        <v>2133.875</v>
      </c>
      <c r="R10" s="249">
        <f t="shared" si="5"/>
        <v>1443.5625</v>
      </c>
      <c r="S10" s="249">
        <f t="shared" si="5"/>
        <v>-1350.625</v>
      </c>
      <c r="T10" s="249">
        <f>T9</f>
        <v>-396.25</v>
      </c>
      <c r="U10" s="249">
        <f>U9/2</f>
        <v>831.1875</v>
      </c>
      <c r="V10" s="261">
        <f>SUM(J10:U10)</f>
        <v>-10</v>
      </c>
      <c r="W10" s="248" t="s">
        <v>90</v>
      </c>
    </row>
    <row r="11" spans="1:23" ht="60.75" customHeight="1" x14ac:dyDescent="0.2">
      <c r="A11" s="242">
        <v>42614</v>
      </c>
      <c r="B11" s="241">
        <v>2060</v>
      </c>
      <c r="C11" s="241">
        <f t="shared" si="0"/>
        <v>-103.75</v>
      </c>
      <c r="D11" s="241">
        <f t="shared" si="1"/>
        <v>-350.625</v>
      </c>
      <c r="E11" s="241">
        <f t="shared" si="2"/>
        <v>-2410.625</v>
      </c>
      <c r="H11" s="247" t="s">
        <v>168</v>
      </c>
      <c r="I11" s="246"/>
      <c r="J11" s="245">
        <f>J10-$V$10</f>
        <v>-9382.25</v>
      </c>
      <c r="K11" s="245">
        <f t="shared" ref="K11:N11" si="6">K10-$V$10</f>
        <v>11313.375</v>
      </c>
      <c r="L11" s="245">
        <f t="shared" si="6"/>
        <v>-85.625</v>
      </c>
      <c r="M11" s="245">
        <f t="shared" si="6"/>
        <v>-2839.1875</v>
      </c>
      <c r="N11" s="245">
        <f t="shared" si="6"/>
        <v>-1418.8125</v>
      </c>
      <c r="O11" s="245">
        <f t="shared" ref="O11" si="7">O10-$V$10</f>
        <v>435.125</v>
      </c>
      <c r="P11" s="245">
        <f t="shared" ref="P11" si="8">P10-$V$10</f>
        <v>-624.375</v>
      </c>
      <c r="Q11" s="245">
        <f t="shared" ref="Q11:R11" si="9">Q10-$V$10</f>
        <v>2143.875</v>
      </c>
      <c r="R11" s="245">
        <f t="shared" si="9"/>
        <v>1453.5625</v>
      </c>
      <c r="S11" s="245">
        <f t="shared" ref="S11" si="10">S10-$V$10</f>
        <v>-1340.625</v>
      </c>
      <c r="T11" s="245">
        <f t="shared" ref="T11" si="11">T10-$V$10</f>
        <v>-386.25</v>
      </c>
      <c r="U11" s="245">
        <f>U10-$V$10</f>
        <v>841.1875</v>
      </c>
      <c r="V11" s="244">
        <f>V10/12</f>
        <v>-0.83333333333333337</v>
      </c>
      <c r="W11" s="243" t="s">
        <v>169</v>
      </c>
    </row>
    <row r="12" spans="1:23" x14ac:dyDescent="0.2">
      <c r="A12" s="242">
        <v>42644</v>
      </c>
      <c r="B12" s="241">
        <v>45</v>
      </c>
      <c r="C12" s="241">
        <f t="shared" si="0"/>
        <v>-597.5</v>
      </c>
      <c r="D12" s="241">
        <f t="shared" si="1"/>
        <v>-351.25</v>
      </c>
      <c r="E12" s="241">
        <f t="shared" si="2"/>
        <v>-396.25</v>
      </c>
    </row>
    <row r="13" spans="1:23" x14ac:dyDescent="0.2">
      <c r="A13" s="242">
        <v>42675</v>
      </c>
      <c r="B13" s="241">
        <v>-95</v>
      </c>
      <c r="C13" s="241">
        <f t="shared" si="0"/>
        <v>-105</v>
      </c>
      <c r="D13" s="241">
        <f t="shared" si="1"/>
        <v>1567.375</v>
      </c>
      <c r="E13" s="241">
        <f t="shared" si="2"/>
        <v>1662.375</v>
      </c>
    </row>
    <row r="14" spans="1:23" x14ac:dyDescent="0.2">
      <c r="A14" s="242">
        <v>42705</v>
      </c>
      <c r="B14" s="241">
        <v>10949</v>
      </c>
      <c r="C14" s="241">
        <f t="shared" si="0"/>
        <v>3239.75</v>
      </c>
      <c r="D14" s="241">
        <f t="shared" si="1"/>
        <v>1556.75</v>
      </c>
      <c r="E14" s="241">
        <f t="shared" si="2"/>
        <v>-9392.25</v>
      </c>
    </row>
    <row r="15" spans="1:23" x14ac:dyDescent="0.2">
      <c r="A15" s="242">
        <v>42736</v>
      </c>
      <c r="B15" s="241">
        <v>-11404</v>
      </c>
      <c r="C15" s="241">
        <f t="shared" si="0"/>
        <v>-126.25</v>
      </c>
      <c r="D15" s="241">
        <f t="shared" si="1"/>
        <v>-100.625</v>
      </c>
      <c r="E15" s="241">
        <f t="shared" si="2"/>
        <v>11303.375</v>
      </c>
    </row>
    <row r="16" spans="1:23" ht="12.75" customHeight="1" x14ac:dyDescent="0.2">
      <c r="A16" s="242">
        <v>42767</v>
      </c>
      <c r="B16" s="241">
        <v>250</v>
      </c>
      <c r="C16" s="241">
        <f t="shared" si="0"/>
        <v>-75</v>
      </c>
      <c r="D16" s="241">
        <f t="shared" si="1"/>
        <v>154.375</v>
      </c>
      <c r="E16" s="241">
        <f t="shared" si="2"/>
        <v>-95.625</v>
      </c>
    </row>
    <row r="17" spans="1:15" x14ac:dyDescent="0.2">
      <c r="A17" s="242">
        <v>42795</v>
      </c>
      <c r="B17" s="241">
        <v>1740</v>
      </c>
      <c r="C17" s="241">
        <f t="shared" si="0"/>
        <v>383.75</v>
      </c>
      <c r="D17" s="241">
        <f t="shared" si="1"/>
        <v>-783.25</v>
      </c>
      <c r="E17" s="241">
        <f t="shared" si="2"/>
        <v>-2523.25</v>
      </c>
    </row>
    <row r="18" spans="1:15" x14ac:dyDescent="0.2">
      <c r="A18" s="242">
        <v>42826</v>
      </c>
      <c r="B18" s="241">
        <v>1613</v>
      </c>
      <c r="C18" s="241">
        <f t="shared" si="0"/>
        <v>-1950.25</v>
      </c>
      <c r="D18" s="241">
        <f t="shared" si="1"/>
        <v>-351.375</v>
      </c>
      <c r="E18" s="241">
        <f t="shared" si="2"/>
        <v>-1964.375</v>
      </c>
    </row>
    <row r="19" spans="1:15" x14ac:dyDescent="0.2">
      <c r="A19" s="242">
        <v>42856</v>
      </c>
      <c r="B19" s="241">
        <v>1387</v>
      </c>
      <c r="C19" s="241">
        <f t="shared" si="0"/>
        <v>1247.5</v>
      </c>
      <c r="D19" s="241">
        <f t="shared" si="1"/>
        <v>1341.25</v>
      </c>
      <c r="E19" s="241">
        <f t="shared" si="2"/>
        <v>-45.75</v>
      </c>
    </row>
    <row r="20" spans="1:15" x14ac:dyDescent="0.2">
      <c r="A20" s="242">
        <v>42887</v>
      </c>
      <c r="B20" s="241">
        <v>1000</v>
      </c>
      <c r="C20" s="241">
        <f t="shared" si="0"/>
        <v>1435</v>
      </c>
      <c r="D20" s="241">
        <f t="shared" si="1"/>
        <v>931.875</v>
      </c>
      <c r="E20" s="241">
        <f t="shared" si="2"/>
        <v>-68.125</v>
      </c>
    </row>
    <row r="21" spans="1:15" x14ac:dyDescent="0.2">
      <c r="A21" s="242">
        <v>42917</v>
      </c>
      <c r="B21" s="241">
        <v>-2285</v>
      </c>
      <c r="C21" s="241">
        <f t="shared" si="0"/>
        <v>428.75</v>
      </c>
      <c r="D21" s="241">
        <f t="shared" si="1"/>
        <v>62.75</v>
      </c>
      <c r="E21" s="241">
        <f t="shared" si="2"/>
        <v>2347.75</v>
      </c>
    </row>
    <row r="22" spans="1:15" x14ac:dyDescent="0.2">
      <c r="A22" s="242">
        <v>42948</v>
      </c>
      <c r="B22" s="241">
        <v>-1315</v>
      </c>
      <c r="C22" s="241">
        <f t="shared" si="0"/>
        <v>-303.25</v>
      </c>
      <c r="D22" s="241">
        <f t="shared" si="1"/>
        <v>-541.625</v>
      </c>
      <c r="E22" s="241">
        <f t="shared" si="2"/>
        <v>773.375</v>
      </c>
    </row>
    <row r="23" spans="1:15" x14ac:dyDescent="0.2">
      <c r="A23" s="242">
        <v>42979</v>
      </c>
      <c r="B23" s="241">
        <v>-520</v>
      </c>
      <c r="C23" s="241">
        <f t="shared" si="0"/>
        <v>-780</v>
      </c>
      <c r="D23" s="241">
        <f t="shared" si="1"/>
        <v>-810.625</v>
      </c>
      <c r="E23" s="241">
        <f t="shared" si="2"/>
        <v>-290.625</v>
      </c>
    </row>
    <row r="24" spans="1:15" x14ac:dyDescent="0.2">
      <c r="A24" s="242">
        <v>43009</v>
      </c>
      <c r="B24" s="241">
        <v>755</v>
      </c>
      <c r="C24" s="241">
        <f t="shared" si="0"/>
        <v>-841.25</v>
      </c>
    </row>
    <row r="28" spans="1:15" x14ac:dyDescent="0.2">
      <c r="H28" s="292" t="s">
        <v>170</v>
      </c>
      <c r="I28" s="292"/>
      <c r="J28" s="292"/>
      <c r="K28" s="292"/>
      <c r="L28" s="292"/>
      <c r="M28" s="292"/>
      <c r="N28" s="292"/>
      <c r="O28" s="292"/>
    </row>
    <row r="30" spans="1:15" ht="18" x14ac:dyDescent="0.35">
      <c r="H30" s="263" t="s">
        <v>171</v>
      </c>
      <c r="I30" s="263" t="s">
        <v>160</v>
      </c>
      <c r="J30" s="263" t="s">
        <v>172</v>
      </c>
      <c r="K30" s="264" t="s">
        <v>173</v>
      </c>
      <c r="L30" s="264" t="s">
        <v>174</v>
      </c>
      <c r="M30" s="264" t="s">
        <v>175</v>
      </c>
      <c r="N30" s="264" t="s">
        <v>176</v>
      </c>
      <c r="O30" s="264" t="s">
        <v>177</v>
      </c>
    </row>
    <row r="31" spans="1:15" x14ac:dyDescent="0.2">
      <c r="H31" s="263">
        <v>1</v>
      </c>
      <c r="I31" s="263">
        <f t="shared" ref="I31:I46" si="12">B2</f>
        <v>8827</v>
      </c>
      <c r="J31" s="261">
        <f>J11</f>
        <v>-9382.25</v>
      </c>
      <c r="K31" s="261">
        <f>I31-J31</f>
        <v>18209.25</v>
      </c>
      <c r="L31" s="261">
        <f xml:space="preserve"> 0.2706*H31+1.427</f>
        <v>1.6976</v>
      </c>
      <c r="M31" s="261">
        <f>L31+J31</f>
        <v>-9380.5524000000005</v>
      </c>
      <c r="N31" s="261">
        <f>I31-M31</f>
        <v>18207.5524</v>
      </c>
      <c r="O31" s="248">
        <f>N31*N31</f>
        <v>331514964.39874578</v>
      </c>
    </row>
    <row r="32" spans="1:15" x14ac:dyDescent="0.2">
      <c r="H32" s="263">
        <v>2</v>
      </c>
      <c r="I32" s="263">
        <f t="shared" si="12"/>
        <v>-10562</v>
      </c>
      <c r="J32" s="261">
        <f>K11</f>
        <v>11313.375</v>
      </c>
      <c r="K32" s="261">
        <f t="shared" ref="K32:K45" si="13">I32-J32</f>
        <v>-21875.375</v>
      </c>
      <c r="L32" s="261">
        <f t="shared" ref="L32:L46" si="14" xml:space="preserve"> 0.2706*H32+1.427</f>
        <v>1.9681999999999999</v>
      </c>
      <c r="M32" s="261">
        <f t="shared" ref="M32:M46" si="15">L32+J32</f>
        <v>11315.343199999999</v>
      </c>
      <c r="N32" s="261">
        <f t="shared" ref="N32:N46" si="16">I32-M32</f>
        <v>-21877.343199999999</v>
      </c>
      <c r="O32" s="248">
        <f t="shared" ref="O32:O46" si="17">N32*N32</f>
        <v>478618145.49058622</v>
      </c>
    </row>
    <row r="33" spans="8:15" x14ac:dyDescent="0.2">
      <c r="H33" s="263">
        <v>3</v>
      </c>
      <c r="I33" s="263">
        <f t="shared" si="12"/>
        <v>868</v>
      </c>
      <c r="J33" s="261">
        <f>L11</f>
        <v>-85.625</v>
      </c>
      <c r="K33" s="261">
        <f t="shared" si="13"/>
        <v>953.625</v>
      </c>
      <c r="L33" s="261">
        <f t="shared" si="14"/>
        <v>2.2388000000000003</v>
      </c>
      <c r="M33" s="261">
        <f t="shared" si="15"/>
        <v>-83.386200000000002</v>
      </c>
      <c r="N33" s="261">
        <f t="shared" si="16"/>
        <v>951.38620000000003</v>
      </c>
      <c r="O33" s="248">
        <f t="shared" si="17"/>
        <v>905135.70155044005</v>
      </c>
    </row>
    <row r="34" spans="8:15" x14ac:dyDescent="0.2">
      <c r="H34" s="263">
        <v>4</v>
      </c>
      <c r="I34" s="263">
        <f t="shared" si="12"/>
        <v>2580</v>
      </c>
      <c r="J34" s="261">
        <f>M11</f>
        <v>-2839.1875</v>
      </c>
      <c r="K34" s="261">
        <f t="shared" si="13"/>
        <v>5419.1875</v>
      </c>
      <c r="L34" s="261">
        <f t="shared" si="14"/>
        <v>2.5094000000000003</v>
      </c>
      <c r="M34" s="261">
        <f t="shared" si="15"/>
        <v>-2836.6781000000001</v>
      </c>
      <c r="N34" s="261">
        <f t="shared" si="16"/>
        <v>5416.6781000000001</v>
      </c>
      <c r="O34" s="248">
        <f t="shared" si="17"/>
        <v>29340401.639019612</v>
      </c>
    </row>
    <row r="35" spans="8:15" x14ac:dyDescent="0.2">
      <c r="H35" s="263">
        <v>5</v>
      </c>
      <c r="I35" s="263">
        <f t="shared" si="12"/>
        <v>640</v>
      </c>
      <c r="J35" s="261">
        <f>N11</f>
        <v>-1418.8125</v>
      </c>
      <c r="K35" s="261">
        <f t="shared" si="13"/>
        <v>2058.8125</v>
      </c>
      <c r="L35" s="261">
        <f t="shared" si="14"/>
        <v>2.7800000000000002</v>
      </c>
      <c r="M35" s="261">
        <f t="shared" si="15"/>
        <v>-1416.0325</v>
      </c>
      <c r="N35" s="261">
        <f t="shared" si="16"/>
        <v>2056.0325000000003</v>
      </c>
      <c r="O35" s="248">
        <f t="shared" si="17"/>
        <v>4227269.6410562508</v>
      </c>
    </row>
    <row r="36" spans="8:15" x14ac:dyDescent="0.2">
      <c r="H36" s="263">
        <v>6</v>
      </c>
      <c r="I36" s="263">
        <f t="shared" si="12"/>
        <v>360</v>
      </c>
      <c r="J36" s="261">
        <f>O11</f>
        <v>435.125</v>
      </c>
      <c r="K36" s="261">
        <f t="shared" si="13"/>
        <v>-75.125</v>
      </c>
      <c r="L36" s="261">
        <f t="shared" si="14"/>
        <v>3.0506000000000002</v>
      </c>
      <c r="M36" s="261">
        <f t="shared" si="15"/>
        <v>438.17559999999997</v>
      </c>
      <c r="N36" s="261">
        <f t="shared" si="16"/>
        <v>-78.175599999999974</v>
      </c>
      <c r="O36" s="248">
        <f t="shared" si="17"/>
        <v>6111.4244353599961</v>
      </c>
    </row>
    <row r="37" spans="8:15" x14ac:dyDescent="0.2">
      <c r="H37" s="263">
        <v>7</v>
      </c>
      <c r="I37" s="263">
        <f t="shared" si="12"/>
        <v>2020</v>
      </c>
      <c r="J37" s="261">
        <f>P11</f>
        <v>-624.375</v>
      </c>
      <c r="K37" s="261">
        <f t="shared" si="13"/>
        <v>2644.375</v>
      </c>
      <c r="L37" s="261">
        <f t="shared" si="14"/>
        <v>3.3212000000000002</v>
      </c>
      <c r="M37" s="261">
        <f t="shared" si="15"/>
        <v>-621.05380000000002</v>
      </c>
      <c r="N37" s="261">
        <f t="shared" si="16"/>
        <v>2641.0538000000001</v>
      </c>
      <c r="O37" s="248">
        <f t="shared" si="17"/>
        <v>6975165.1744944407</v>
      </c>
    </row>
    <row r="38" spans="8:15" x14ac:dyDescent="0.2">
      <c r="H38" s="263">
        <v>8</v>
      </c>
      <c r="I38" s="263">
        <f t="shared" si="12"/>
        <v>-2065</v>
      </c>
      <c r="J38" s="261">
        <f>Q11</f>
        <v>2143.875</v>
      </c>
      <c r="K38" s="261">
        <f t="shared" si="13"/>
        <v>-4208.875</v>
      </c>
      <c r="L38" s="261">
        <f t="shared" si="14"/>
        <v>3.5918000000000001</v>
      </c>
      <c r="M38" s="261">
        <f t="shared" si="15"/>
        <v>2147.4668000000001</v>
      </c>
      <c r="N38" s="261">
        <f t="shared" si="16"/>
        <v>-4212.4668000000001</v>
      </c>
      <c r="O38" s="248">
        <f t="shared" si="17"/>
        <v>17744876.541102242</v>
      </c>
    </row>
    <row r="39" spans="8:15" x14ac:dyDescent="0.2">
      <c r="H39" s="263">
        <v>9</v>
      </c>
      <c r="I39" s="263">
        <f t="shared" si="12"/>
        <v>-2430</v>
      </c>
      <c r="J39" s="261">
        <f>R11</f>
        <v>1453.5625</v>
      </c>
      <c r="K39" s="261">
        <f t="shared" si="13"/>
        <v>-3883.5625</v>
      </c>
      <c r="L39" s="261">
        <f t="shared" si="14"/>
        <v>3.8624000000000001</v>
      </c>
      <c r="M39" s="261">
        <f t="shared" si="15"/>
        <v>1457.4249</v>
      </c>
      <c r="N39" s="261">
        <f t="shared" si="16"/>
        <v>-3887.4249</v>
      </c>
      <c r="O39" s="248">
        <f t="shared" si="17"/>
        <v>15112072.35314001</v>
      </c>
    </row>
    <row r="40" spans="8:15" x14ac:dyDescent="0.2">
      <c r="H40" s="263">
        <v>10</v>
      </c>
      <c r="I40" s="263">
        <f t="shared" si="12"/>
        <v>2060</v>
      </c>
      <c r="J40" s="261">
        <f>S11</f>
        <v>-1340.625</v>
      </c>
      <c r="K40" s="261">
        <f t="shared" si="13"/>
        <v>3400.625</v>
      </c>
      <c r="L40" s="261">
        <f t="shared" si="14"/>
        <v>4.133</v>
      </c>
      <c r="M40" s="261">
        <f t="shared" si="15"/>
        <v>-1336.492</v>
      </c>
      <c r="N40" s="261">
        <f t="shared" si="16"/>
        <v>3396.4920000000002</v>
      </c>
      <c r="O40" s="248">
        <f t="shared" si="17"/>
        <v>11536157.906064002</v>
      </c>
    </row>
    <row r="41" spans="8:15" x14ac:dyDescent="0.2">
      <c r="H41" s="263">
        <v>11</v>
      </c>
      <c r="I41" s="263">
        <f t="shared" si="12"/>
        <v>45</v>
      </c>
      <c r="J41" s="261">
        <f>T11</f>
        <v>-386.25</v>
      </c>
      <c r="K41" s="261">
        <f t="shared" si="13"/>
        <v>431.25</v>
      </c>
      <c r="L41" s="261">
        <f t="shared" si="14"/>
        <v>4.4036</v>
      </c>
      <c r="M41" s="261">
        <f t="shared" si="15"/>
        <v>-381.84640000000002</v>
      </c>
      <c r="N41" s="261">
        <f t="shared" si="16"/>
        <v>426.84640000000002</v>
      </c>
      <c r="O41" s="248">
        <f t="shared" si="17"/>
        <v>182197.84919296001</v>
      </c>
    </row>
    <row r="42" spans="8:15" x14ac:dyDescent="0.2">
      <c r="H42" s="263">
        <v>12</v>
      </c>
      <c r="I42" s="263">
        <f t="shared" si="12"/>
        <v>-95</v>
      </c>
      <c r="J42" s="261">
        <f>U11</f>
        <v>841.1875</v>
      </c>
      <c r="K42" s="261">
        <f t="shared" si="13"/>
        <v>-936.1875</v>
      </c>
      <c r="L42" s="261">
        <f t="shared" si="14"/>
        <v>4.6742000000000008</v>
      </c>
      <c r="M42" s="261">
        <f t="shared" si="15"/>
        <v>845.86170000000004</v>
      </c>
      <c r="N42" s="261">
        <f t="shared" si="16"/>
        <v>-940.86170000000004</v>
      </c>
      <c r="O42" s="248">
        <f t="shared" si="17"/>
        <v>885220.73852689005</v>
      </c>
    </row>
    <row r="43" spans="8:15" x14ac:dyDescent="0.2">
      <c r="H43" s="263">
        <v>13</v>
      </c>
      <c r="I43" s="263">
        <f t="shared" si="12"/>
        <v>10949</v>
      </c>
      <c r="J43" s="261">
        <f>J31</f>
        <v>-9382.25</v>
      </c>
      <c r="K43" s="261">
        <f t="shared" si="13"/>
        <v>20331.25</v>
      </c>
      <c r="L43" s="261">
        <f t="shared" si="14"/>
        <v>4.9448000000000008</v>
      </c>
      <c r="M43" s="261">
        <f t="shared" si="15"/>
        <v>-9377.3052000000007</v>
      </c>
      <c r="N43" s="261">
        <f t="shared" si="16"/>
        <v>20326.305200000003</v>
      </c>
      <c r="O43" s="248">
        <f t="shared" si="17"/>
        <v>413158683.08354712</v>
      </c>
    </row>
    <row r="44" spans="8:15" x14ac:dyDescent="0.2">
      <c r="H44" s="263">
        <v>14</v>
      </c>
      <c r="I44" s="263">
        <f t="shared" si="12"/>
        <v>-11404</v>
      </c>
      <c r="J44" s="261">
        <f>J32</f>
        <v>11313.375</v>
      </c>
      <c r="K44" s="261">
        <f t="shared" si="13"/>
        <v>-22717.375</v>
      </c>
      <c r="L44" s="261">
        <f t="shared" si="14"/>
        <v>5.2154000000000007</v>
      </c>
      <c r="M44" s="261">
        <f t="shared" si="15"/>
        <v>11318.590399999999</v>
      </c>
      <c r="N44" s="261">
        <f t="shared" si="16"/>
        <v>-22722.590400000001</v>
      </c>
      <c r="O44" s="248">
        <f t="shared" si="17"/>
        <v>516316114.4861722</v>
      </c>
    </row>
    <row r="45" spans="8:15" x14ac:dyDescent="0.2">
      <c r="H45" s="263">
        <v>15</v>
      </c>
      <c r="I45" s="263">
        <f t="shared" si="12"/>
        <v>250</v>
      </c>
      <c r="J45" s="261">
        <f>J33</f>
        <v>-85.625</v>
      </c>
      <c r="K45" s="261">
        <f t="shared" si="13"/>
        <v>335.625</v>
      </c>
      <c r="L45" s="261">
        <f t="shared" si="14"/>
        <v>5.4860000000000007</v>
      </c>
      <c r="M45" s="261">
        <f t="shared" si="15"/>
        <v>-80.138999999999996</v>
      </c>
      <c r="N45" s="261">
        <f t="shared" si="16"/>
        <v>330.13900000000001</v>
      </c>
      <c r="O45" s="248">
        <f t="shared" si="17"/>
        <v>108991.75932100001</v>
      </c>
    </row>
    <row r="46" spans="8:15" x14ac:dyDescent="0.2">
      <c r="H46" s="263">
        <v>16</v>
      </c>
      <c r="I46" s="263">
        <f t="shared" si="12"/>
        <v>1740</v>
      </c>
      <c r="J46" s="261">
        <f>J34</f>
        <v>-2839.1875</v>
      </c>
      <c r="K46" s="261">
        <f>I46-J46</f>
        <v>4579.1875</v>
      </c>
      <c r="L46" s="261">
        <f t="shared" si="14"/>
        <v>5.7566000000000006</v>
      </c>
      <c r="M46" s="261">
        <f t="shared" si="15"/>
        <v>-2833.4308999999998</v>
      </c>
      <c r="N46" s="261">
        <f t="shared" si="16"/>
        <v>4573.4308999999994</v>
      </c>
      <c r="O46" s="248">
        <f t="shared" si="17"/>
        <v>20916270.197074804</v>
      </c>
    </row>
    <row r="47" spans="8:15" x14ac:dyDescent="0.2">
      <c r="H47" s="248" t="s">
        <v>90</v>
      </c>
      <c r="I47" s="248"/>
      <c r="J47" s="248"/>
      <c r="K47" s="248"/>
      <c r="L47" s="248"/>
      <c r="M47" s="248">
        <f>VAR(M30:M46)*16</f>
        <v>490760701.93573076</v>
      </c>
      <c r="N47" s="248"/>
      <c r="O47" s="248">
        <f>SUM(O31:O46)</f>
        <v>1847547778.3840296</v>
      </c>
    </row>
    <row r="48" spans="8:15" x14ac:dyDescent="0.2">
      <c r="H48" s="265"/>
      <c r="I48" s="266"/>
      <c r="J48" s="261"/>
    </row>
  </sheetData>
  <mergeCells count="3">
    <mergeCell ref="H2:M2"/>
    <mergeCell ref="J3:M3"/>
    <mergeCell ref="H28:O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C38" sqref="C38"/>
    </sheetView>
  </sheetViews>
  <sheetFormatPr defaultRowHeight="12.75" x14ac:dyDescent="0.2"/>
  <cols>
    <col min="1" max="1" width="11.5703125" style="241" customWidth="1"/>
    <col min="2" max="2" width="15.85546875" style="241" customWidth="1"/>
    <col min="3" max="13" width="9.140625" style="241"/>
    <col min="14" max="14" width="10.42578125" style="241" customWidth="1"/>
    <col min="15" max="256" width="9.140625" style="241"/>
    <col min="257" max="257" width="11.5703125" style="241" customWidth="1"/>
    <col min="258" max="258" width="15.85546875" style="241" customWidth="1"/>
    <col min="259" max="512" width="9.140625" style="241"/>
    <col min="513" max="513" width="11.5703125" style="241" customWidth="1"/>
    <col min="514" max="514" width="15.85546875" style="241" customWidth="1"/>
    <col min="515" max="768" width="9.140625" style="241"/>
    <col min="769" max="769" width="11.5703125" style="241" customWidth="1"/>
    <col min="770" max="770" width="15.85546875" style="241" customWidth="1"/>
    <col min="771" max="1024" width="9.140625" style="241"/>
    <col min="1025" max="1025" width="11.5703125" style="241" customWidth="1"/>
    <col min="1026" max="1026" width="15.85546875" style="241" customWidth="1"/>
    <col min="1027" max="1280" width="9.140625" style="241"/>
    <col min="1281" max="1281" width="11.5703125" style="241" customWidth="1"/>
    <col min="1282" max="1282" width="15.85546875" style="241" customWidth="1"/>
    <col min="1283" max="1536" width="9.140625" style="241"/>
    <col min="1537" max="1537" width="11.5703125" style="241" customWidth="1"/>
    <col min="1538" max="1538" width="15.85546875" style="241" customWidth="1"/>
    <col min="1539" max="1792" width="9.140625" style="241"/>
    <col min="1793" max="1793" width="11.5703125" style="241" customWidth="1"/>
    <col min="1794" max="1794" width="15.85546875" style="241" customWidth="1"/>
    <col min="1795" max="2048" width="9.140625" style="241"/>
    <col min="2049" max="2049" width="11.5703125" style="241" customWidth="1"/>
    <col min="2050" max="2050" width="15.85546875" style="241" customWidth="1"/>
    <col min="2051" max="2304" width="9.140625" style="241"/>
    <col min="2305" max="2305" width="11.5703125" style="241" customWidth="1"/>
    <col min="2306" max="2306" width="15.85546875" style="241" customWidth="1"/>
    <col min="2307" max="2560" width="9.140625" style="241"/>
    <col min="2561" max="2561" width="11.5703125" style="241" customWidth="1"/>
    <col min="2562" max="2562" width="15.85546875" style="241" customWidth="1"/>
    <col min="2563" max="2816" width="9.140625" style="241"/>
    <col min="2817" max="2817" width="11.5703125" style="241" customWidth="1"/>
    <col min="2818" max="2818" width="15.85546875" style="241" customWidth="1"/>
    <col min="2819" max="3072" width="9.140625" style="241"/>
    <col min="3073" max="3073" width="11.5703125" style="241" customWidth="1"/>
    <col min="3074" max="3074" width="15.85546875" style="241" customWidth="1"/>
    <col min="3075" max="3328" width="9.140625" style="241"/>
    <col min="3329" max="3329" width="11.5703125" style="241" customWidth="1"/>
    <col min="3330" max="3330" width="15.85546875" style="241" customWidth="1"/>
    <col min="3331" max="3584" width="9.140625" style="241"/>
    <col min="3585" max="3585" width="11.5703125" style="241" customWidth="1"/>
    <col min="3586" max="3586" width="15.85546875" style="241" customWidth="1"/>
    <col min="3587" max="3840" width="9.140625" style="241"/>
    <col min="3841" max="3841" width="11.5703125" style="241" customWidth="1"/>
    <col min="3842" max="3842" width="15.85546875" style="241" customWidth="1"/>
    <col min="3843" max="4096" width="9.140625" style="241"/>
    <col min="4097" max="4097" width="11.5703125" style="241" customWidth="1"/>
    <col min="4098" max="4098" width="15.85546875" style="241" customWidth="1"/>
    <col min="4099" max="4352" width="9.140625" style="241"/>
    <col min="4353" max="4353" width="11.5703125" style="241" customWidth="1"/>
    <col min="4354" max="4354" width="15.85546875" style="241" customWidth="1"/>
    <col min="4355" max="4608" width="9.140625" style="241"/>
    <col min="4609" max="4609" width="11.5703125" style="241" customWidth="1"/>
    <col min="4610" max="4610" width="15.85546875" style="241" customWidth="1"/>
    <col min="4611" max="4864" width="9.140625" style="241"/>
    <col min="4865" max="4865" width="11.5703125" style="241" customWidth="1"/>
    <col min="4866" max="4866" width="15.85546875" style="241" customWidth="1"/>
    <col min="4867" max="5120" width="9.140625" style="241"/>
    <col min="5121" max="5121" width="11.5703125" style="241" customWidth="1"/>
    <col min="5122" max="5122" width="15.85546875" style="241" customWidth="1"/>
    <col min="5123" max="5376" width="9.140625" style="241"/>
    <col min="5377" max="5377" width="11.5703125" style="241" customWidth="1"/>
    <col min="5378" max="5378" width="15.85546875" style="241" customWidth="1"/>
    <col min="5379" max="5632" width="9.140625" style="241"/>
    <col min="5633" max="5633" width="11.5703125" style="241" customWidth="1"/>
    <col min="5634" max="5634" width="15.85546875" style="241" customWidth="1"/>
    <col min="5635" max="5888" width="9.140625" style="241"/>
    <col min="5889" max="5889" width="11.5703125" style="241" customWidth="1"/>
    <col min="5890" max="5890" width="15.85546875" style="241" customWidth="1"/>
    <col min="5891" max="6144" width="9.140625" style="241"/>
    <col min="6145" max="6145" width="11.5703125" style="241" customWidth="1"/>
    <col min="6146" max="6146" width="15.85546875" style="241" customWidth="1"/>
    <col min="6147" max="6400" width="9.140625" style="241"/>
    <col min="6401" max="6401" width="11.5703125" style="241" customWidth="1"/>
    <col min="6402" max="6402" width="15.85546875" style="241" customWidth="1"/>
    <col min="6403" max="6656" width="9.140625" style="241"/>
    <col min="6657" max="6657" width="11.5703125" style="241" customWidth="1"/>
    <col min="6658" max="6658" width="15.85546875" style="241" customWidth="1"/>
    <col min="6659" max="6912" width="9.140625" style="241"/>
    <col min="6913" max="6913" width="11.5703125" style="241" customWidth="1"/>
    <col min="6914" max="6914" width="15.85546875" style="241" customWidth="1"/>
    <col min="6915" max="7168" width="9.140625" style="241"/>
    <col min="7169" max="7169" width="11.5703125" style="241" customWidth="1"/>
    <col min="7170" max="7170" width="15.85546875" style="241" customWidth="1"/>
    <col min="7171" max="7424" width="9.140625" style="241"/>
    <col min="7425" max="7425" width="11.5703125" style="241" customWidth="1"/>
    <col min="7426" max="7426" width="15.85546875" style="241" customWidth="1"/>
    <col min="7427" max="7680" width="9.140625" style="241"/>
    <col min="7681" max="7681" width="11.5703125" style="241" customWidth="1"/>
    <col min="7682" max="7682" width="15.85546875" style="241" customWidth="1"/>
    <col min="7683" max="7936" width="9.140625" style="241"/>
    <col min="7937" max="7937" width="11.5703125" style="241" customWidth="1"/>
    <col min="7938" max="7938" width="15.85546875" style="241" customWidth="1"/>
    <col min="7939" max="8192" width="9.140625" style="241"/>
    <col min="8193" max="8193" width="11.5703125" style="241" customWidth="1"/>
    <col min="8194" max="8194" width="15.85546875" style="241" customWidth="1"/>
    <col min="8195" max="8448" width="9.140625" style="241"/>
    <col min="8449" max="8449" width="11.5703125" style="241" customWidth="1"/>
    <col min="8450" max="8450" width="15.85546875" style="241" customWidth="1"/>
    <col min="8451" max="8704" width="9.140625" style="241"/>
    <col min="8705" max="8705" width="11.5703125" style="241" customWidth="1"/>
    <col min="8706" max="8706" width="15.85546875" style="241" customWidth="1"/>
    <col min="8707" max="8960" width="9.140625" style="241"/>
    <col min="8961" max="8961" width="11.5703125" style="241" customWidth="1"/>
    <col min="8962" max="8962" width="15.85546875" style="241" customWidth="1"/>
    <col min="8963" max="9216" width="9.140625" style="241"/>
    <col min="9217" max="9217" width="11.5703125" style="241" customWidth="1"/>
    <col min="9218" max="9218" width="15.85546875" style="241" customWidth="1"/>
    <col min="9219" max="9472" width="9.140625" style="241"/>
    <col min="9473" max="9473" width="11.5703125" style="241" customWidth="1"/>
    <col min="9474" max="9474" width="15.85546875" style="241" customWidth="1"/>
    <col min="9475" max="9728" width="9.140625" style="241"/>
    <col min="9729" max="9729" width="11.5703125" style="241" customWidth="1"/>
    <col min="9730" max="9730" width="15.85546875" style="241" customWidth="1"/>
    <col min="9731" max="9984" width="9.140625" style="241"/>
    <col min="9985" max="9985" width="11.5703125" style="241" customWidth="1"/>
    <col min="9986" max="9986" width="15.85546875" style="241" customWidth="1"/>
    <col min="9987" max="10240" width="9.140625" style="241"/>
    <col min="10241" max="10241" width="11.5703125" style="241" customWidth="1"/>
    <col min="10242" max="10242" width="15.85546875" style="241" customWidth="1"/>
    <col min="10243" max="10496" width="9.140625" style="241"/>
    <col min="10497" max="10497" width="11.5703125" style="241" customWidth="1"/>
    <col min="10498" max="10498" width="15.85546875" style="241" customWidth="1"/>
    <col min="10499" max="10752" width="9.140625" style="241"/>
    <col min="10753" max="10753" width="11.5703125" style="241" customWidth="1"/>
    <col min="10754" max="10754" width="15.85546875" style="241" customWidth="1"/>
    <col min="10755" max="11008" width="9.140625" style="241"/>
    <col min="11009" max="11009" width="11.5703125" style="241" customWidth="1"/>
    <col min="11010" max="11010" width="15.85546875" style="241" customWidth="1"/>
    <col min="11011" max="11264" width="9.140625" style="241"/>
    <col min="11265" max="11265" width="11.5703125" style="241" customWidth="1"/>
    <col min="11266" max="11266" width="15.85546875" style="241" customWidth="1"/>
    <col min="11267" max="11520" width="9.140625" style="241"/>
    <col min="11521" max="11521" width="11.5703125" style="241" customWidth="1"/>
    <col min="11522" max="11522" width="15.85546875" style="241" customWidth="1"/>
    <col min="11523" max="11776" width="9.140625" style="241"/>
    <col min="11777" max="11777" width="11.5703125" style="241" customWidth="1"/>
    <col min="11778" max="11778" width="15.85546875" style="241" customWidth="1"/>
    <col min="11779" max="12032" width="9.140625" style="241"/>
    <col min="12033" max="12033" width="11.5703125" style="241" customWidth="1"/>
    <col min="12034" max="12034" width="15.85546875" style="241" customWidth="1"/>
    <col min="12035" max="12288" width="9.140625" style="241"/>
    <col min="12289" max="12289" width="11.5703125" style="241" customWidth="1"/>
    <col min="12290" max="12290" width="15.85546875" style="241" customWidth="1"/>
    <col min="12291" max="12544" width="9.140625" style="241"/>
    <col min="12545" max="12545" width="11.5703125" style="241" customWidth="1"/>
    <col min="12546" max="12546" width="15.85546875" style="241" customWidth="1"/>
    <col min="12547" max="12800" width="9.140625" style="241"/>
    <col min="12801" max="12801" width="11.5703125" style="241" customWidth="1"/>
    <col min="12802" max="12802" width="15.85546875" style="241" customWidth="1"/>
    <col min="12803" max="13056" width="9.140625" style="241"/>
    <col min="13057" max="13057" width="11.5703125" style="241" customWidth="1"/>
    <col min="13058" max="13058" width="15.85546875" style="241" customWidth="1"/>
    <col min="13059" max="13312" width="9.140625" style="241"/>
    <col min="13313" max="13313" width="11.5703125" style="241" customWidth="1"/>
    <col min="13314" max="13314" width="15.85546875" style="241" customWidth="1"/>
    <col min="13315" max="13568" width="9.140625" style="241"/>
    <col min="13569" max="13569" width="11.5703125" style="241" customWidth="1"/>
    <col min="13570" max="13570" width="15.85546875" style="241" customWidth="1"/>
    <col min="13571" max="13824" width="9.140625" style="241"/>
    <col min="13825" max="13825" width="11.5703125" style="241" customWidth="1"/>
    <col min="13826" max="13826" width="15.85546875" style="241" customWidth="1"/>
    <col min="13827" max="14080" width="9.140625" style="241"/>
    <col min="14081" max="14081" width="11.5703125" style="241" customWidth="1"/>
    <col min="14082" max="14082" width="15.85546875" style="241" customWidth="1"/>
    <col min="14083" max="14336" width="9.140625" style="241"/>
    <col min="14337" max="14337" width="11.5703125" style="241" customWidth="1"/>
    <col min="14338" max="14338" width="15.85546875" style="241" customWidth="1"/>
    <col min="14339" max="14592" width="9.140625" style="241"/>
    <col min="14593" max="14593" width="11.5703125" style="241" customWidth="1"/>
    <col min="14594" max="14594" width="15.85546875" style="241" customWidth="1"/>
    <col min="14595" max="14848" width="9.140625" style="241"/>
    <col min="14849" max="14849" width="11.5703125" style="241" customWidth="1"/>
    <col min="14850" max="14850" width="15.85546875" style="241" customWidth="1"/>
    <col min="14851" max="15104" width="9.140625" style="241"/>
    <col min="15105" max="15105" width="11.5703125" style="241" customWidth="1"/>
    <col min="15106" max="15106" width="15.85546875" style="241" customWidth="1"/>
    <col min="15107" max="15360" width="9.140625" style="241"/>
    <col min="15361" max="15361" width="11.5703125" style="241" customWidth="1"/>
    <col min="15362" max="15362" width="15.85546875" style="241" customWidth="1"/>
    <col min="15363" max="15616" width="9.140625" style="241"/>
    <col min="15617" max="15617" width="11.5703125" style="241" customWidth="1"/>
    <col min="15618" max="15618" width="15.85546875" style="241" customWidth="1"/>
    <col min="15619" max="15872" width="9.140625" style="241"/>
    <col min="15873" max="15873" width="11.5703125" style="241" customWidth="1"/>
    <col min="15874" max="15874" width="15.85546875" style="241" customWidth="1"/>
    <col min="15875" max="16128" width="9.140625" style="241"/>
    <col min="16129" max="16129" width="11.5703125" style="241" customWidth="1"/>
    <col min="16130" max="16130" width="15.85546875" style="241" customWidth="1"/>
    <col min="16131" max="16384" width="9.140625" style="241"/>
  </cols>
  <sheetData>
    <row r="1" spans="1:19" ht="74.25" customHeight="1" thickBot="1" x14ac:dyDescent="0.25">
      <c r="A1" s="260" t="s">
        <v>171</v>
      </c>
      <c r="B1" s="259" t="s">
        <v>182</v>
      </c>
      <c r="C1" s="258" t="s">
        <v>183</v>
      </c>
      <c r="D1" s="257" t="s">
        <v>180</v>
      </c>
      <c r="E1" s="256" t="s">
        <v>162</v>
      </c>
      <c r="F1" s="255"/>
    </row>
    <row r="2" spans="1:19" x14ac:dyDescent="0.2">
      <c r="A2" s="242">
        <v>42491</v>
      </c>
      <c r="B2" s="241">
        <v>360</v>
      </c>
      <c r="E2" s="267" t="s">
        <v>13</v>
      </c>
      <c r="H2" s="290" t="s">
        <v>158</v>
      </c>
      <c r="I2" s="290"/>
      <c r="J2" s="290"/>
      <c r="K2" s="290"/>
      <c r="L2" s="290"/>
      <c r="M2" s="290"/>
      <c r="N2" s="248"/>
      <c r="O2" s="248"/>
    </row>
    <row r="3" spans="1:19" x14ac:dyDescent="0.2">
      <c r="A3" s="242">
        <v>42522</v>
      </c>
      <c r="B3" s="241">
        <v>1020</v>
      </c>
      <c r="E3" s="267" t="s">
        <v>13</v>
      </c>
      <c r="H3" s="246" t="s">
        <v>163</v>
      </c>
      <c r="I3" s="254" t="s">
        <v>184</v>
      </c>
      <c r="J3" s="291" t="s">
        <v>185</v>
      </c>
      <c r="K3" s="290"/>
      <c r="L3" s="290"/>
      <c r="M3" s="290"/>
      <c r="N3" s="248"/>
      <c r="O3" s="248"/>
    </row>
    <row r="4" spans="1:19" x14ac:dyDescent="0.2">
      <c r="A4" s="242">
        <v>42552</v>
      </c>
      <c r="B4" s="241">
        <v>-1065</v>
      </c>
      <c r="E4" s="267" t="s">
        <v>13</v>
      </c>
      <c r="H4" s="246"/>
      <c r="I4" s="246"/>
      <c r="J4" s="252">
        <v>1</v>
      </c>
      <c r="K4" s="252">
        <v>2</v>
      </c>
      <c r="L4" s="252">
        <v>3</v>
      </c>
      <c r="M4" s="252">
        <v>4</v>
      </c>
      <c r="N4" s="265"/>
      <c r="O4" s="265"/>
      <c r="P4" s="265"/>
      <c r="Q4" s="265"/>
      <c r="R4" s="265"/>
      <c r="S4" s="265"/>
    </row>
    <row r="5" spans="1:19" x14ac:dyDescent="0.2">
      <c r="A5" s="242">
        <v>42583</v>
      </c>
      <c r="B5" s="241">
        <v>-1430</v>
      </c>
      <c r="C5" s="241">
        <f>SUM(B3:B6)/4</f>
        <v>-103.75</v>
      </c>
      <c r="D5" s="241">
        <f>(C5+C6)/2</f>
        <v>-163.125</v>
      </c>
      <c r="E5" s="241">
        <f>D5-B5</f>
        <v>1266.875</v>
      </c>
      <c r="H5" s="246"/>
      <c r="I5" s="246">
        <v>1</v>
      </c>
      <c r="J5" s="253" t="s">
        <v>13</v>
      </c>
      <c r="K5" s="252" t="s">
        <v>13</v>
      </c>
      <c r="L5" s="253" t="s">
        <v>13</v>
      </c>
      <c r="M5" s="252">
        <f>E5</f>
        <v>1266.875</v>
      </c>
      <c r="N5" s="268"/>
      <c r="O5" s="248"/>
    </row>
    <row r="6" spans="1:19" x14ac:dyDescent="0.2">
      <c r="A6" s="242">
        <v>42614</v>
      </c>
      <c r="B6" s="241">
        <v>1060</v>
      </c>
      <c r="C6" s="241">
        <f t="shared" ref="C6:C18" si="0">SUM(B4:B7)/4</f>
        <v>-222.5</v>
      </c>
      <c r="D6" s="241">
        <f t="shared" ref="D6:D17" si="1">(C6+C7)/2</f>
        <v>-163.75</v>
      </c>
      <c r="E6" s="241">
        <f t="shared" ref="E6:E17" si="2">D6-B6</f>
        <v>-1223.75</v>
      </c>
      <c r="H6" s="246"/>
      <c r="I6" s="246">
        <v>2</v>
      </c>
      <c r="J6" s="252">
        <f>E6</f>
        <v>-1223.75</v>
      </c>
      <c r="K6" s="252">
        <f>E7</f>
        <v>-227.625</v>
      </c>
      <c r="L6" s="252">
        <f>E8</f>
        <v>1026.75</v>
      </c>
      <c r="M6" s="252">
        <f>E9</f>
        <v>-1862.125</v>
      </c>
      <c r="N6" s="248"/>
      <c r="O6" s="248"/>
    </row>
    <row r="7" spans="1:19" x14ac:dyDescent="0.2">
      <c r="A7" s="242">
        <v>42644</v>
      </c>
      <c r="B7" s="241">
        <v>545</v>
      </c>
      <c r="C7" s="241">
        <f t="shared" si="0"/>
        <v>-105</v>
      </c>
      <c r="D7" s="241">
        <f t="shared" si="1"/>
        <v>317.375</v>
      </c>
      <c r="E7" s="241">
        <f t="shared" si="2"/>
        <v>-227.625</v>
      </c>
      <c r="H7" s="246"/>
      <c r="I7" s="246">
        <v>3</v>
      </c>
      <c r="J7" s="252">
        <f>E10</f>
        <v>1745.875</v>
      </c>
      <c r="K7" s="252">
        <f>E11</f>
        <v>341.75</v>
      </c>
      <c r="L7" s="252">
        <f>E12</f>
        <v>-841.375</v>
      </c>
      <c r="M7" s="252">
        <f>E13</f>
        <v>-271.75</v>
      </c>
      <c r="N7" s="248"/>
      <c r="O7" s="248"/>
    </row>
    <row r="8" spans="1:19" x14ac:dyDescent="0.2">
      <c r="A8" s="242">
        <v>42675</v>
      </c>
      <c r="B8" s="241">
        <v>-595</v>
      </c>
      <c r="C8" s="241">
        <f t="shared" si="0"/>
        <v>739.75</v>
      </c>
      <c r="D8" s="241">
        <f t="shared" si="1"/>
        <v>431.75</v>
      </c>
      <c r="E8" s="241">
        <f t="shared" si="2"/>
        <v>1026.75</v>
      </c>
      <c r="H8" s="246"/>
      <c r="I8" s="246">
        <v>4</v>
      </c>
      <c r="J8" s="252">
        <f>E14</f>
        <v>-330.125</v>
      </c>
      <c r="K8" s="252">
        <f>E15</f>
        <v>-562.25</v>
      </c>
      <c r="L8" s="252">
        <f>E16</f>
        <v>1373.375</v>
      </c>
      <c r="M8" s="252">
        <f>E17</f>
        <v>264.375</v>
      </c>
      <c r="N8" s="248"/>
      <c r="O8" s="248"/>
    </row>
    <row r="9" spans="1:19" ht="15" customHeight="1" x14ac:dyDescent="0.2">
      <c r="A9" s="242">
        <v>42705</v>
      </c>
      <c r="B9" s="241">
        <v>1949</v>
      </c>
      <c r="C9" s="241">
        <f t="shared" si="0"/>
        <v>123.75</v>
      </c>
      <c r="D9" s="241">
        <f t="shared" si="1"/>
        <v>86.875</v>
      </c>
      <c r="E9" s="241">
        <f t="shared" si="2"/>
        <v>-1862.125</v>
      </c>
      <c r="H9" s="247" t="s">
        <v>166</v>
      </c>
      <c r="I9" s="246"/>
      <c r="J9" s="246">
        <f>J6+J7+J8</f>
        <v>192</v>
      </c>
      <c r="K9" s="246">
        <f>K6+K7+K8</f>
        <v>-448.125</v>
      </c>
      <c r="L9" s="246">
        <f>L8+L6+L7</f>
        <v>1558.75</v>
      </c>
      <c r="M9" s="246">
        <f>M5+M6+M7+M8</f>
        <v>-602.625</v>
      </c>
      <c r="N9" s="248"/>
      <c r="O9" s="248"/>
    </row>
    <row r="10" spans="1:19" ht="18" customHeight="1" x14ac:dyDescent="0.2">
      <c r="A10" s="242">
        <v>42736</v>
      </c>
      <c r="B10" s="241">
        <v>-1404</v>
      </c>
      <c r="C10" s="241">
        <f t="shared" si="0"/>
        <v>50</v>
      </c>
      <c r="D10" s="241">
        <f t="shared" si="1"/>
        <v>341.875</v>
      </c>
      <c r="E10" s="241">
        <f t="shared" si="2"/>
        <v>1745.875</v>
      </c>
      <c r="H10" s="247" t="s">
        <v>167</v>
      </c>
      <c r="I10" s="246"/>
      <c r="J10" s="249">
        <f>J9/4</f>
        <v>48</v>
      </c>
      <c r="K10" s="249">
        <f>K9/4</f>
        <v>-112.03125</v>
      </c>
      <c r="L10" s="249">
        <f>L9/4</f>
        <v>389.6875</v>
      </c>
      <c r="M10" s="249">
        <f>M9/4</f>
        <v>-150.65625</v>
      </c>
      <c r="N10" s="261">
        <f>SUM(J10:M10)</f>
        <v>175</v>
      </c>
      <c r="O10" s="248" t="s">
        <v>90</v>
      </c>
    </row>
    <row r="11" spans="1:19" ht="18" customHeight="1" x14ac:dyDescent="0.2">
      <c r="A11" s="242">
        <v>42767</v>
      </c>
      <c r="B11" s="241">
        <v>250</v>
      </c>
      <c r="C11" s="241">
        <f t="shared" si="0"/>
        <v>633.75</v>
      </c>
      <c r="D11" s="241">
        <f t="shared" si="1"/>
        <v>591.75</v>
      </c>
      <c r="E11" s="241">
        <f t="shared" si="2"/>
        <v>341.75</v>
      </c>
      <c r="H11" s="247" t="s">
        <v>168</v>
      </c>
      <c r="I11" s="246"/>
      <c r="J11" s="245">
        <f>J10-$N$11</f>
        <v>4.25</v>
      </c>
      <c r="K11" s="245">
        <f>K10-$N$11</f>
        <v>-155.78125</v>
      </c>
      <c r="L11" s="245">
        <f>L10-$N$11</f>
        <v>345.9375</v>
      </c>
      <c r="M11" s="245">
        <f>M10-$N$11</f>
        <v>-194.40625</v>
      </c>
      <c r="N11" s="244">
        <f>N10/4</f>
        <v>43.75</v>
      </c>
      <c r="O11" s="243" t="s">
        <v>169</v>
      </c>
    </row>
    <row r="12" spans="1:19" x14ac:dyDescent="0.2">
      <c r="A12" s="242">
        <v>42795</v>
      </c>
      <c r="B12" s="241">
        <v>1740</v>
      </c>
      <c r="C12" s="241">
        <f t="shared" si="0"/>
        <v>549.75</v>
      </c>
      <c r="D12" s="241">
        <f t="shared" si="1"/>
        <v>898.625</v>
      </c>
      <c r="E12" s="241">
        <f t="shared" si="2"/>
        <v>-841.375</v>
      </c>
    </row>
    <row r="13" spans="1:19" x14ac:dyDescent="0.2">
      <c r="A13" s="242">
        <v>42826</v>
      </c>
      <c r="B13" s="241">
        <v>1613</v>
      </c>
      <c r="C13" s="241">
        <f t="shared" si="0"/>
        <v>1247.5</v>
      </c>
      <c r="D13" s="241">
        <f t="shared" si="1"/>
        <v>1341.25</v>
      </c>
      <c r="E13" s="241">
        <f t="shared" si="2"/>
        <v>-271.75</v>
      </c>
    </row>
    <row r="14" spans="1:19" x14ac:dyDescent="0.2">
      <c r="A14" s="242">
        <v>42856</v>
      </c>
      <c r="B14" s="241">
        <v>1387</v>
      </c>
      <c r="C14" s="241">
        <f t="shared" si="0"/>
        <v>1435</v>
      </c>
      <c r="D14" s="241">
        <f t="shared" si="1"/>
        <v>1056.875</v>
      </c>
      <c r="E14" s="241">
        <f t="shared" si="2"/>
        <v>-330.125</v>
      </c>
    </row>
    <row r="15" spans="1:19" x14ac:dyDescent="0.2">
      <c r="A15" s="242">
        <v>42887</v>
      </c>
      <c r="B15" s="241">
        <v>1000</v>
      </c>
      <c r="C15" s="241">
        <f t="shared" si="0"/>
        <v>678.75</v>
      </c>
      <c r="D15" s="241">
        <f t="shared" si="1"/>
        <v>437.75</v>
      </c>
      <c r="E15" s="241">
        <f t="shared" si="2"/>
        <v>-562.25</v>
      </c>
    </row>
    <row r="16" spans="1:19" x14ac:dyDescent="0.2">
      <c r="A16" s="242">
        <v>42917</v>
      </c>
      <c r="B16" s="241">
        <v>-1285</v>
      </c>
      <c r="C16" s="241">
        <f t="shared" si="0"/>
        <v>196.75</v>
      </c>
      <c r="D16" s="241">
        <f t="shared" si="1"/>
        <v>88.375</v>
      </c>
      <c r="E16" s="241">
        <f t="shared" si="2"/>
        <v>1373.375</v>
      </c>
    </row>
    <row r="17" spans="1:11" x14ac:dyDescent="0.2">
      <c r="A17" s="242">
        <v>42948</v>
      </c>
      <c r="B17" s="241">
        <v>-315</v>
      </c>
      <c r="C17" s="241">
        <f t="shared" si="0"/>
        <v>-20</v>
      </c>
      <c r="D17" s="241">
        <f t="shared" si="1"/>
        <v>-50.625</v>
      </c>
      <c r="E17" s="241">
        <f t="shared" si="2"/>
        <v>264.375</v>
      </c>
    </row>
    <row r="18" spans="1:11" x14ac:dyDescent="0.2">
      <c r="A18" s="242">
        <v>42979</v>
      </c>
      <c r="B18" s="241">
        <v>520</v>
      </c>
      <c r="C18" s="241">
        <f t="shared" si="0"/>
        <v>-81.25</v>
      </c>
    </row>
    <row r="19" spans="1:11" x14ac:dyDescent="0.2">
      <c r="A19" s="242">
        <v>43009</v>
      </c>
      <c r="B19" s="241">
        <v>755</v>
      </c>
    </row>
    <row r="22" spans="1:11" x14ac:dyDescent="0.2">
      <c r="B22" s="292" t="s">
        <v>170</v>
      </c>
      <c r="C22" s="292"/>
      <c r="D22" s="292"/>
      <c r="E22" s="292"/>
      <c r="F22" s="292"/>
      <c r="G22" s="292"/>
      <c r="H22" s="292"/>
      <c r="I22" s="292"/>
      <c r="J22" s="248"/>
      <c r="K22" s="248"/>
    </row>
    <row r="23" spans="1:11" ht="18" x14ac:dyDescent="0.35">
      <c r="B23" s="263" t="s">
        <v>171</v>
      </c>
      <c r="C23" s="263" t="s">
        <v>160</v>
      </c>
      <c r="D23" s="263" t="s">
        <v>172</v>
      </c>
      <c r="E23" s="264" t="s">
        <v>173</v>
      </c>
      <c r="F23" s="264" t="s">
        <v>174</v>
      </c>
      <c r="G23" s="264" t="s">
        <v>175</v>
      </c>
      <c r="H23" s="264" t="s">
        <v>176</v>
      </c>
      <c r="I23" s="264" t="s">
        <v>177</v>
      </c>
      <c r="J23" s="248"/>
      <c r="K23" s="248"/>
    </row>
    <row r="24" spans="1:11" x14ac:dyDescent="0.2">
      <c r="B24" s="263">
        <v>1</v>
      </c>
      <c r="C24" s="269">
        <v>2</v>
      </c>
      <c r="D24" s="263">
        <v>3</v>
      </c>
      <c r="E24" s="263">
        <v>4</v>
      </c>
      <c r="F24" s="263">
        <v>5</v>
      </c>
      <c r="G24" s="263">
        <v>6</v>
      </c>
      <c r="H24" s="263">
        <v>7</v>
      </c>
      <c r="I24" s="263">
        <v>8</v>
      </c>
      <c r="J24" s="248"/>
      <c r="K24" s="248"/>
    </row>
    <row r="25" spans="1:11" x14ac:dyDescent="0.2">
      <c r="B25" s="263">
        <v>1</v>
      </c>
      <c r="C25" s="241">
        <v>360</v>
      </c>
      <c r="D25" s="261">
        <f>$J$11</f>
        <v>4.25</v>
      </c>
      <c r="E25" s="261">
        <f>C25-D25</f>
        <v>355.75</v>
      </c>
      <c r="F25" s="261">
        <f>30*B25+47</f>
        <v>77</v>
      </c>
      <c r="G25" s="261">
        <f>F25+D25</f>
        <v>81.25</v>
      </c>
      <c r="H25" s="261">
        <f>C25-G25</f>
        <v>278.75</v>
      </c>
      <c r="I25" s="248">
        <f>H25*H25</f>
        <v>77701.5625</v>
      </c>
      <c r="J25" s="248"/>
      <c r="K25" s="248"/>
    </row>
    <row r="26" spans="1:11" x14ac:dyDescent="0.2">
      <c r="B26" s="263">
        <v>2</v>
      </c>
      <c r="C26" s="241">
        <v>1020</v>
      </c>
      <c r="D26" s="261">
        <f>$K$11</f>
        <v>-155.78125</v>
      </c>
      <c r="E26" s="261">
        <f>C26-D26</f>
        <v>1175.78125</v>
      </c>
      <c r="F26" s="261">
        <f t="shared" ref="F26:F42" si="3">30*B26+47</f>
        <v>107</v>
      </c>
      <c r="G26" s="261">
        <f t="shared" ref="G26:G42" si="4">F26+D26</f>
        <v>-48.78125</v>
      </c>
      <c r="H26" s="261">
        <f t="shared" ref="H26:H42" si="5">C26-G26</f>
        <v>1068.78125</v>
      </c>
      <c r="I26" s="248">
        <f t="shared" ref="I26:I42" si="6">H26*H26</f>
        <v>1142293.3603515625</v>
      </c>
      <c r="J26" s="248"/>
      <c r="K26" s="248"/>
    </row>
    <row r="27" spans="1:11" x14ac:dyDescent="0.2">
      <c r="B27" s="263">
        <v>3</v>
      </c>
      <c r="C27" s="241">
        <v>-1065</v>
      </c>
      <c r="D27" s="261">
        <f>$L$11</f>
        <v>345.9375</v>
      </c>
      <c r="E27" s="261">
        <f t="shared" ref="E27:E39" si="7">C27-D27</f>
        <v>-1410.9375</v>
      </c>
      <c r="F27" s="261">
        <f t="shared" si="3"/>
        <v>137</v>
      </c>
      <c r="G27" s="261">
        <f t="shared" si="4"/>
        <v>482.9375</v>
      </c>
      <c r="H27" s="261">
        <f t="shared" si="5"/>
        <v>-1547.9375</v>
      </c>
      <c r="I27" s="248">
        <f t="shared" si="6"/>
        <v>2396110.50390625</v>
      </c>
      <c r="J27" s="248"/>
      <c r="K27" s="248"/>
    </row>
    <row r="28" spans="1:11" x14ac:dyDescent="0.2">
      <c r="B28" s="263">
        <v>4</v>
      </c>
      <c r="C28" s="241">
        <v>-1430</v>
      </c>
      <c r="D28" s="261">
        <f>$M$11</f>
        <v>-194.40625</v>
      </c>
      <c r="E28" s="261">
        <f t="shared" si="7"/>
        <v>-1235.59375</v>
      </c>
      <c r="F28" s="261">
        <f t="shared" si="3"/>
        <v>167</v>
      </c>
      <c r="G28" s="261">
        <f t="shared" si="4"/>
        <v>-27.40625</v>
      </c>
      <c r="H28" s="261">
        <f t="shared" si="5"/>
        <v>-1402.59375</v>
      </c>
      <c r="I28" s="248">
        <f t="shared" si="6"/>
        <v>1967269.2275390625</v>
      </c>
      <c r="J28" s="248"/>
      <c r="K28" s="248"/>
    </row>
    <row r="29" spans="1:11" x14ac:dyDescent="0.2">
      <c r="B29" s="263">
        <v>5</v>
      </c>
      <c r="C29" s="241">
        <v>1060</v>
      </c>
      <c r="D29" s="261">
        <f>$J$11</f>
        <v>4.25</v>
      </c>
      <c r="E29" s="261">
        <f t="shared" si="7"/>
        <v>1055.75</v>
      </c>
      <c r="F29" s="261">
        <f t="shared" si="3"/>
        <v>197</v>
      </c>
      <c r="G29" s="261">
        <f t="shared" si="4"/>
        <v>201.25</v>
      </c>
      <c r="H29" s="261">
        <f t="shared" si="5"/>
        <v>858.75</v>
      </c>
      <c r="I29" s="248">
        <f t="shared" si="6"/>
        <v>737451.5625</v>
      </c>
      <c r="J29" s="248"/>
      <c r="K29" s="248"/>
    </row>
    <row r="30" spans="1:11" x14ac:dyDescent="0.2">
      <c r="B30" s="263">
        <v>6</v>
      </c>
      <c r="C30" s="241">
        <v>545</v>
      </c>
      <c r="D30" s="261">
        <f>$K$11</f>
        <v>-155.78125</v>
      </c>
      <c r="E30" s="261">
        <f t="shared" si="7"/>
        <v>700.78125</v>
      </c>
      <c r="F30" s="261">
        <f t="shared" si="3"/>
        <v>227</v>
      </c>
      <c r="G30" s="261">
        <f t="shared" si="4"/>
        <v>71.21875</v>
      </c>
      <c r="H30" s="261">
        <f t="shared" si="5"/>
        <v>473.78125</v>
      </c>
      <c r="I30" s="248">
        <f t="shared" si="6"/>
        <v>224468.6728515625</v>
      </c>
      <c r="J30" s="248"/>
      <c r="K30" s="248"/>
    </row>
    <row r="31" spans="1:11" x14ac:dyDescent="0.2">
      <c r="B31" s="263">
        <v>7</v>
      </c>
      <c r="C31" s="241">
        <v>-595</v>
      </c>
      <c r="D31" s="261">
        <f>$L$11</f>
        <v>345.9375</v>
      </c>
      <c r="E31" s="261">
        <f t="shared" si="7"/>
        <v>-940.9375</v>
      </c>
      <c r="F31" s="261">
        <f t="shared" si="3"/>
        <v>257</v>
      </c>
      <c r="G31" s="261">
        <f t="shared" si="4"/>
        <v>602.9375</v>
      </c>
      <c r="H31" s="261">
        <f t="shared" si="5"/>
        <v>-1197.9375</v>
      </c>
      <c r="I31" s="248">
        <f t="shared" si="6"/>
        <v>1435054.25390625</v>
      </c>
      <c r="J31" s="248"/>
      <c r="K31" s="248"/>
    </row>
    <row r="32" spans="1:11" x14ac:dyDescent="0.2">
      <c r="B32" s="263">
        <v>8</v>
      </c>
      <c r="C32" s="241">
        <v>1949</v>
      </c>
      <c r="D32" s="261">
        <f>$M$11</f>
        <v>-194.40625</v>
      </c>
      <c r="E32" s="261">
        <f t="shared" si="7"/>
        <v>2143.40625</v>
      </c>
      <c r="F32" s="261">
        <f t="shared" si="3"/>
        <v>287</v>
      </c>
      <c r="G32" s="261">
        <f t="shared" si="4"/>
        <v>92.59375</v>
      </c>
      <c r="H32" s="261">
        <f t="shared" si="5"/>
        <v>1856.40625</v>
      </c>
      <c r="I32" s="248">
        <f t="shared" si="6"/>
        <v>3446244.1650390625</v>
      </c>
      <c r="J32" s="248"/>
      <c r="K32" s="248"/>
    </row>
    <row r="33" spans="2:11" x14ac:dyDescent="0.2">
      <c r="B33" s="263">
        <v>9</v>
      </c>
      <c r="C33" s="241">
        <v>-1404</v>
      </c>
      <c r="D33" s="261">
        <f>$J$11</f>
        <v>4.25</v>
      </c>
      <c r="E33" s="261">
        <f t="shared" si="7"/>
        <v>-1408.25</v>
      </c>
      <c r="F33" s="261">
        <f t="shared" si="3"/>
        <v>317</v>
      </c>
      <c r="G33" s="261">
        <f t="shared" si="4"/>
        <v>321.25</v>
      </c>
      <c r="H33" s="261">
        <f t="shared" si="5"/>
        <v>-1725.25</v>
      </c>
      <c r="I33" s="248">
        <f t="shared" si="6"/>
        <v>2976487.5625</v>
      </c>
      <c r="J33" s="248"/>
      <c r="K33" s="248"/>
    </row>
    <row r="34" spans="2:11" x14ac:dyDescent="0.2">
      <c r="B34" s="263">
        <v>10</v>
      </c>
      <c r="C34" s="241">
        <v>250</v>
      </c>
      <c r="D34" s="261">
        <f>$K$11</f>
        <v>-155.78125</v>
      </c>
      <c r="E34" s="261">
        <f t="shared" si="7"/>
        <v>405.78125</v>
      </c>
      <c r="F34" s="261">
        <f t="shared" si="3"/>
        <v>347</v>
      </c>
      <c r="G34" s="261">
        <f t="shared" si="4"/>
        <v>191.21875</v>
      </c>
      <c r="H34" s="261">
        <f t="shared" si="5"/>
        <v>58.78125</v>
      </c>
      <c r="I34" s="248">
        <f t="shared" si="6"/>
        <v>3455.2353515625</v>
      </c>
      <c r="J34" s="248"/>
      <c r="K34" s="248"/>
    </row>
    <row r="35" spans="2:11" x14ac:dyDescent="0.2">
      <c r="B35" s="263">
        <v>11</v>
      </c>
      <c r="C35" s="241">
        <v>1740</v>
      </c>
      <c r="D35" s="261">
        <f>$L$11</f>
        <v>345.9375</v>
      </c>
      <c r="E35" s="261">
        <f t="shared" si="7"/>
        <v>1394.0625</v>
      </c>
      <c r="F35" s="261">
        <f t="shared" si="3"/>
        <v>377</v>
      </c>
      <c r="G35" s="261">
        <f t="shared" si="4"/>
        <v>722.9375</v>
      </c>
      <c r="H35" s="261">
        <f t="shared" si="5"/>
        <v>1017.0625</v>
      </c>
      <c r="I35" s="248">
        <f t="shared" si="6"/>
        <v>1034416.12890625</v>
      </c>
      <c r="J35" s="248"/>
      <c r="K35" s="248"/>
    </row>
    <row r="36" spans="2:11" x14ac:dyDescent="0.2">
      <c r="B36" s="263">
        <v>12</v>
      </c>
      <c r="C36" s="241">
        <v>1613</v>
      </c>
      <c r="D36" s="261">
        <f>$M$11</f>
        <v>-194.40625</v>
      </c>
      <c r="E36" s="261">
        <f t="shared" si="7"/>
        <v>1807.40625</v>
      </c>
      <c r="F36" s="261">
        <f t="shared" si="3"/>
        <v>407</v>
      </c>
      <c r="G36" s="261">
        <f t="shared" si="4"/>
        <v>212.59375</v>
      </c>
      <c r="H36" s="261">
        <f t="shared" si="5"/>
        <v>1400.40625</v>
      </c>
      <c r="I36" s="248">
        <f t="shared" si="6"/>
        <v>1961137.6650390625</v>
      </c>
      <c r="J36" s="248"/>
      <c r="K36" s="248"/>
    </row>
    <row r="37" spans="2:11" x14ac:dyDescent="0.2">
      <c r="B37" s="263">
        <v>13</v>
      </c>
      <c r="C37" s="241">
        <v>1387</v>
      </c>
      <c r="D37" s="261">
        <f>$J$11</f>
        <v>4.25</v>
      </c>
      <c r="E37" s="261">
        <f t="shared" si="7"/>
        <v>1382.75</v>
      </c>
      <c r="F37" s="261">
        <f t="shared" si="3"/>
        <v>437</v>
      </c>
      <c r="G37" s="261">
        <f t="shared" si="4"/>
        <v>441.25</v>
      </c>
      <c r="H37" s="261">
        <f t="shared" si="5"/>
        <v>945.75</v>
      </c>
      <c r="I37" s="248">
        <f t="shared" si="6"/>
        <v>894443.0625</v>
      </c>
      <c r="J37" s="248"/>
      <c r="K37" s="248"/>
    </row>
    <row r="38" spans="2:11" x14ac:dyDescent="0.2">
      <c r="B38" s="263">
        <v>14</v>
      </c>
      <c r="C38" s="241">
        <v>1000</v>
      </c>
      <c r="D38" s="261">
        <f>$K$11</f>
        <v>-155.78125</v>
      </c>
      <c r="E38" s="261">
        <f t="shared" si="7"/>
        <v>1155.78125</v>
      </c>
      <c r="F38" s="261">
        <f t="shared" si="3"/>
        <v>467</v>
      </c>
      <c r="G38" s="261">
        <f t="shared" si="4"/>
        <v>311.21875</v>
      </c>
      <c r="H38" s="261">
        <f t="shared" si="5"/>
        <v>688.78125</v>
      </c>
      <c r="I38" s="248">
        <f t="shared" si="6"/>
        <v>474419.6103515625</v>
      </c>
      <c r="J38" s="248"/>
      <c r="K38" s="248"/>
    </row>
    <row r="39" spans="2:11" x14ac:dyDescent="0.2">
      <c r="B39" s="263">
        <v>15</v>
      </c>
      <c r="C39" s="241">
        <v>-1285</v>
      </c>
      <c r="D39" s="261">
        <f>$L$11</f>
        <v>345.9375</v>
      </c>
      <c r="E39" s="261">
        <f t="shared" si="7"/>
        <v>-1630.9375</v>
      </c>
      <c r="F39" s="261">
        <f t="shared" si="3"/>
        <v>497</v>
      </c>
      <c r="G39" s="261">
        <f t="shared" si="4"/>
        <v>842.9375</v>
      </c>
      <c r="H39" s="261">
        <f t="shared" si="5"/>
        <v>-2127.9375</v>
      </c>
      <c r="I39" s="248">
        <f t="shared" si="6"/>
        <v>4528118.00390625</v>
      </c>
      <c r="J39" s="248"/>
      <c r="K39" s="248"/>
    </row>
    <row r="40" spans="2:11" x14ac:dyDescent="0.2">
      <c r="B40" s="263">
        <v>16</v>
      </c>
      <c r="C40" s="241">
        <v>-315</v>
      </c>
      <c r="D40" s="261">
        <f>$M$11</f>
        <v>-194.40625</v>
      </c>
      <c r="E40" s="261">
        <f>C40-D40</f>
        <v>-120.59375</v>
      </c>
      <c r="F40" s="261">
        <f t="shared" si="3"/>
        <v>527</v>
      </c>
      <c r="G40" s="261">
        <f t="shared" si="4"/>
        <v>332.59375</v>
      </c>
      <c r="H40" s="261">
        <f t="shared" si="5"/>
        <v>-647.59375</v>
      </c>
      <c r="I40" s="248">
        <f t="shared" si="6"/>
        <v>419377.6650390625</v>
      </c>
      <c r="J40" s="248"/>
      <c r="K40" s="248"/>
    </row>
    <row r="41" spans="2:11" x14ac:dyDescent="0.2">
      <c r="B41" s="265">
        <v>17</v>
      </c>
      <c r="C41" s="241">
        <v>520</v>
      </c>
      <c r="D41" s="261">
        <f>$J$11</f>
        <v>4.25</v>
      </c>
      <c r="E41" s="261">
        <f>C41-D41</f>
        <v>515.75</v>
      </c>
      <c r="F41" s="261">
        <f t="shared" si="3"/>
        <v>557</v>
      </c>
      <c r="G41" s="261">
        <f t="shared" si="4"/>
        <v>561.25</v>
      </c>
      <c r="H41" s="261">
        <f t="shared" si="5"/>
        <v>-41.25</v>
      </c>
      <c r="I41" s="248">
        <f t="shared" si="6"/>
        <v>1701.5625</v>
      </c>
      <c r="J41" s="248"/>
      <c r="K41" s="248"/>
    </row>
    <row r="42" spans="2:11" x14ac:dyDescent="0.2">
      <c r="B42" s="265">
        <v>18</v>
      </c>
      <c r="C42" s="241">
        <v>755</v>
      </c>
      <c r="D42" s="261">
        <f>$K$11</f>
        <v>-155.78125</v>
      </c>
      <c r="E42" s="261">
        <f>C42-D42</f>
        <v>910.78125</v>
      </c>
      <c r="F42" s="261">
        <f t="shared" si="3"/>
        <v>587</v>
      </c>
      <c r="G42" s="261">
        <f t="shared" si="4"/>
        <v>431.21875</v>
      </c>
      <c r="H42" s="261">
        <f t="shared" si="5"/>
        <v>323.78125</v>
      </c>
      <c r="I42" s="248">
        <f t="shared" si="6"/>
        <v>104834.2978515625</v>
      </c>
      <c r="J42" s="248"/>
      <c r="K42" s="248"/>
    </row>
    <row r="43" spans="2:11" x14ac:dyDescent="0.2">
      <c r="B43" s="248" t="s">
        <v>90</v>
      </c>
      <c r="C43" s="248"/>
      <c r="D43" s="248"/>
      <c r="E43" s="248"/>
      <c r="F43" s="248"/>
      <c r="G43" s="248">
        <f>VAR(G24:G42)*16</f>
        <v>1060243.2358369883</v>
      </c>
      <c r="H43" s="248"/>
      <c r="I43" s="248">
        <f>SUM(I25:I42)</f>
        <v>23824984.102539062</v>
      </c>
      <c r="J43" s="248"/>
      <c r="K43" s="248">
        <f>(1-I43/G43)*100</f>
        <v>-2147.124367054405</v>
      </c>
    </row>
    <row r="44" spans="2:11" x14ac:dyDescent="0.2">
      <c r="B44" s="248"/>
      <c r="C44" s="248"/>
      <c r="D44" s="248"/>
      <c r="E44" s="248"/>
      <c r="F44" s="248"/>
      <c r="G44" s="248"/>
      <c r="H44" s="248"/>
      <c r="I44" s="248"/>
      <c r="J44" s="248"/>
      <c r="K44" s="248">
        <f>100-K43</f>
        <v>2247.124367054405</v>
      </c>
    </row>
  </sheetData>
  <mergeCells count="3">
    <mergeCell ref="H2:M2"/>
    <mergeCell ref="J3:M3"/>
    <mergeCell ref="B22:I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0" workbookViewId="0">
      <selection activeCell="G1" sqref="G1:K1"/>
    </sheetView>
  </sheetViews>
  <sheetFormatPr defaultRowHeight="12.75" x14ac:dyDescent="0.2"/>
  <cols>
    <col min="1" max="1" width="11.5703125" style="241" customWidth="1"/>
    <col min="2" max="2" width="15.85546875" style="241" customWidth="1"/>
    <col min="3" max="13" width="9.140625" style="241"/>
    <col min="14" max="14" width="10.42578125" style="241" customWidth="1"/>
    <col min="15" max="256" width="9.140625" style="241"/>
    <col min="257" max="257" width="11.5703125" style="241" customWidth="1"/>
    <col min="258" max="258" width="15.85546875" style="241" customWidth="1"/>
    <col min="259" max="512" width="9.140625" style="241"/>
    <col min="513" max="513" width="11.5703125" style="241" customWidth="1"/>
    <col min="514" max="514" width="15.85546875" style="241" customWidth="1"/>
    <col min="515" max="768" width="9.140625" style="241"/>
    <col min="769" max="769" width="11.5703125" style="241" customWidth="1"/>
    <col min="770" max="770" width="15.85546875" style="241" customWidth="1"/>
    <col min="771" max="1024" width="9.140625" style="241"/>
    <col min="1025" max="1025" width="11.5703125" style="241" customWidth="1"/>
    <col min="1026" max="1026" width="15.85546875" style="241" customWidth="1"/>
    <col min="1027" max="1280" width="9.140625" style="241"/>
    <col min="1281" max="1281" width="11.5703125" style="241" customWidth="1"/>
    <col min="1282" max="1282" width="15.85546875" style="241" customWidth="1"/>
    <col min="1283" max="1536" width="9.140625" style="241"/>
    <col min="1537" max="1537" width="11.5703125" style="241" customWidth="1"/>
    <col min="1538" max="1538" width="15.85546875" style="241" customWidth="1"/>
    <col min="1539" max="1792" width="9.140625" style="241"/>
    <col min="1793" max="1793" width="11.5703125" style="241" customWidth="1"/>
    <col min="1794" max="1794" width="15.85546875" style="241" customWidth="1"/>
    <col min="1795" max="2048" width="9.140625" style="241"/>
    <col min="2049" max="2049" width="11.5703125" style="241" customWidth="1"/>
    <col min="2050" max="2050" width="15.85546875" style="241" customWidth="1"/>
    <col min="2051" max="2304" width="9.140625" style="241"/>
    <col min="2305" max="2305" width="11.5703125" style="241" customWidth="1"/>
    <col min="2306" max="2306" width="15.85546875" style="241" customWidth="1"/>
    <col min="2307" max="2560" width="9.140625" style="241"/>
    <col min="2561" max="2561" width="11.5703125" style="241" customWidth="1"/>
    <col min="2562" max="2562" width="15.85546875" style="241" customWidth="1"/>
    <col min="2563" max="2816" width="9.140625" style="241"/>
    <col min="2817" max="2817" width="11.5703125" style="241" customWidth="1"/>
    <col min="2818" max="2818" width="15.85546875" style="241" customWidth="1"/>
    <col min="2819" max="3072" width="9.140625" style="241"/>
    <col min="3073" max="3073" width="11.5703125" style="241" customWidth="1"/>
    <col min="3074" max="3074" width="15.85546875" style="241" customWidth="1"/>
    <col min="3075" max="3328" width="9.140625" style="241"/>
    <col min="3329" max="3329" width="11.5703125" style="241" customWidth="1"/>
    <col min="3330" max="3330" width="15.85546875" style="241" customWidth="1"/>
    <col min="3331" max="3584" width="9.140625" style="241"/>
    <col min="3585" max="3585" width="11.5703125" style="241" customWidth="1"/>
    <col min="3586" max="3586" width="15.85546875" style="241" customWidth="1"/>
    <col min="3587" max="3840" width="9.140625" style="241"/>
    <col min="3841" max="3841" width="11.5703125" style="241" customWidth="1"/>
    <col min="3842" max="3842" width="15.85546875" style="241" customWidth="1"/>
    <col min="3843" max="4096" width="9.140625" style="241"/>
    <col min="4097" max="4097" width="11.5703125" style="241" customWidth="1"/>
    <col min="4098" max="4098" width="15.85546875" style="241" customWidth="1"/>
    <col min="4099" max="4352" width="9.140625" style="241"/>
    <col min="4353" max="4353" width="11.5703125" style="241" customWidth="1"/>
    <col min="4354" max="4354" width="15.85546875" style="241" customWidth="1"/>
    <col min="4355" max="4608" width="9.140625" style="241"/>
    <col min="4609" max="4609" width="11.5703125" style="241" customWidth="1"/>
    <col min="4610" max="4610" width="15.85546875" style="241" customWidth="1"/>
    <col min="4611" max="4864" width="9.140625" style="241"/>
    <col min="4865" max="4865" width="11.5703125" style="241" customWidth="1"/>
    <col min="4866" max="4866" width="15.85546875" style="241" customWidth="1"/>
    <col min="4867" max="5120" width="9.140625" style="241"/>
    <col min="5121" max="5121" width="11.5703125" style="241" customWidth="1"/>
    <col min="5122" max="5122" width="15.85546875" style="241" customWidth="1"/>
    <col min="5123" max="5376" width="9.140625" style="241"/>
    <col min="5377" max="5377" width="11.5703125" style="241" customWidth="1"/>
    <col min="5378" max="5378" width="15.85546875" style="241" customWidth="1"/>
    <col min="5379" max="5632" width="9.140625" style="241"/>
    <col min="5633" max="5633" width="11.5703125" style="241" customWidth="1"/>
    <col min="5634" max="5634" width="15.85546875" style="241" customWidth="1"/>
    <col min="5635" max="5888" width="9.140625" style="241"/>
    <col min="5889" max="5889" width="11.5703125" style="241" customWidth="1"/>
    <col min="5890" max="5890" width="15.85546875" style="241" customWidth="1"/>
    <col min="5891" max="6144" width="9.140625" style="241"/>
    <col min="6145" max="6145" width="11.5703125" style="241" customWidth="1"/>
    <col min="6146" max="6146" width="15.85546875" style="241" customWidth="1"/>
    <col min="6147" max="6400" width="9.140625" style="241"/>
    <col min="6401" max="6401" width="11.5703125" style="241" customWidth="1"/>
    <col min="6402" max="6402" width="15.85546875" style="241" customWidth="1"/>
    <col min="6403" max="6656" width="9.140625" style="241"/>
    <col min="6657" max="6657" width="11.5703125" style="241" customWidth="1"/>
    <col min="6658" max="6658" width="15.85546875" style="241" customWidth="1"/>
    <col min="6659" max="6912" width="9.140625" style="241"/>
    <col min="6913" max="6913" width="11.5703125" style="241" customWidth="1"/>
    <col min="6914" max="6914" width="15.85546875" style="241" customWidth="1"/>
    <col min="6915" max="7168" width="9.140625" style="241"/>
    <col min="7169" max="7169" width="11.5703125" style="241" customWidth="1"/>
    <col min="7170" max="7170" width="15.85546875" style="241" customWidth="1"/>
    <col min="7171" max="7424" width="9.140625" style="241"/>
    <col min="7425" max="7425" width="11.5703125" style="241" customWidth="1"/>
    <col min="7426" max="7426" width="15.85546875" style="241" customWidth="1"/>
    <col min="7427" max="7680" width="9.140625" style="241"/>
    <col min="7681" max="7681" width="11.5703125" style="241" customWidth="1"/>
    <col min="7682" max="7682" width="15.85546875" style="241" customWidth="1"/>
    <col min="7683" max="7936" width="9.140625" style="241"/>
    <col min="7937" max="7937" width="11.5703125" style="241" customWidth="1"/>
    <col min="7938" max="7938" width="15.85546875" style="241" customWidth="1"/>
    <col min="7939" max="8192" width="9.140625" style="241"/>
    <col min="8193" max="8193" width="11.5703125" style="241" customWidth="1"/>
    <col min="8194" max="8194" width="15.85546875" style="241" customWidth="1"/>
    <col min="8195" max="8448" width="9.140625" style="241"/>
    <col min="8449" max="8449" width="11.5703125" style="241" customWidth="1"/>
    <col min="8450" max="8450" width="15.85546875" style="241" customWidth="1"/>
    <col min="8451" max="8704" width="9.140625" style="241"/>
    <col min="8705" max="8705" width="11.5703125" style="241" customWidth="1"/>
    <col min="8706" max="8706" width="15.85546875" style="241" customWidth="1"/>
    <col min="8707" max="8960" width="9.140625" style="241"/>
    <col min="8961" max="8961" width="11.5703125" style="241" customWidth="1"/>
    <col min="8962" max="8962" width="15.85546875" style="241" customWidth="1"/>
    <col min="8963" max="9216" width="9.140625" style="241"/>
    <col min="9217" max="9217" width="11.5703125" style="241" customWidth="1"/>
    <col min="9218" max="9218" width="15.85546875" style="241" customWidth="1"/>
    <col min="9219" max="9472" width="9.140625" style="241"/>
    <col min="9473" max="9473" width="11.5703125" style="241" customWidth="1"/>
    <col min="9474" max="9474" width="15.85546875" style="241" customWidth="1"/>
    <col min="9475" max="9728" width="9.140625" style="241"/>
    <col min="9729" max="9729" width="11.5703125" style="241" customWidth="1"/>
    <col min="9730" max="9730" width="15.85546875" style="241" customWidth="1"/>
    <col min="9731" max="9984" width="9.140625" style="241"/>
    <col min="9985" max="9985" width="11.5703125" style="241" customWidth="1"/>
    <col min="9986" max="9986" width="15.85546875" style="241" customWidth="1"/>
    <col min="9987" max="10240" width="9.140625" style="241"/>
    <col min="10241" max="10241" width="11.5703125" style="241" customWidth="1"/>
    <col min="10242" max="10242" width="15.85546875" style="241" customWidth="1"/>
    <col min="10243" max="10496" width="9.140625" style="241"/>
    <col min="10497" max="10497" width="11.5703125" style="241" customWidth="1"/>
    <col min="10498" max="10498" width="15.85546875" style="241" customWidth="1"/>
    <col min="10499" max="10752" width="9.140625" style="241"/>
    <col min="10753" max="10753" width="11.5703125" style="241" customWidth="1"/>
    <col min="10754" max="10754" width="15.85546875" style="241" customWidth="1"/>
    <col min="10755" max="11008" width="9.140625" style="241"/>
    <col min="11009" max="11009" width="11.5703125" style="241" customWidth="1"/>
    <col min="11010" max="11010" width="15.85546875" style="241" customWidth="1"/>
    <col min="11011" max="11264" width="9.140625" style="241"/>
    <col min="11265" max="11265" width="11.5703125" style="241" customWidth="1"/>
    <col min="11266" max="11266" width="15.85546875" style="241" customWidth="1"/>
    <col min="11267" max="11520" width="9.140625" style="241"/>
    <col min="11521" max="11521" width="11.5703125" style="241" customWidth="1"/>
    <col min="11522" max="11522" width="15.85546875" style="241" customWidth="1"/>
    <col min="11523" max="11776" width="9.140625" style="241"/>
    <col min="11777" max="11777" width="11.5703125" style="241" customWidth="1"/>
    <col min="11778" max="11778" width="15.85546875" style="241" customWidth="1"/>
    <col min="11779" max="12032" width="9.140625" style="241"/>
    <col min="12033" max="12033" width="11.5703125" style="241" customWidth="1"/>
    <col min="12034" max="12034" width="15.85546875" style="241" customWidth="1"/>
    <col min="12035" max="12288" width="9.140625" style="241"/>
    <col min="12289" max="12289" width="11.5703125" style="241" customWidth="1"/>
    <col min="12290" max="12290" width="15.85546875" style="241" customWidth="1"/>
    <col min="12291" max="12544" width="9.140625" style="241"/>
    <col min="12545" max="12545" width="11.5703125" style="241" customWidth="1"/>
    <col min="12546" max="12546" width="15.85546875" style="241" customWidth="1"/>
    <col min="12547" max="12800" width="9.140625" style="241"/>
    <col min="12801" max="12801" width="11.5703125" style="241" customWidth="1"/>
    <col min="12802" max="12802" width="15.85546875" style="241" customWidth="1"/>
    <col min="12803" max="13056" width="9.140625" style="241"/>
    <col min="13057" max="13057" width="11.5703125" style="241" customWidth="1"/>
    <col min="13058" max="13058" width="15.85546875" style="241" customWidth="1"/>
    <col min="13059" max="13312" width="9.140625" style="241"/>
    <col min="13313" max="13313" width="11.5703125" style="241" customWidth="1"/>
    <col min="13314" max="13314" width="15.85546875" style="241" customWidth="1"/>
    <col min="13315" max="13568" width="9.140625" style="241"/>
    <col min="13569" max="13569" width="11.5703125" style="241" customWidth="1"/>
    <col min="13570" max="13570" width="15.85546875" style="241" customWidth="1"/>
    <col min="13571" max="13824" width="9.140625" style="241"/>
    <col min="13825" max="13825" width="11.5703125" style="241" customWidth="1"/>
    <col min="13826" max="13826" width="15.85546875" style="241" customWidth="1"/>
    <col min="13827" max="14080" width="9.140625" style="241"/>
    <col min="14081" max="14081" width="11.5703125" style="241" customWidth="1"/>
    <col min="14082" max="14082" width="15.85546875" style="241" customWidth="1"/>
    <col min="14083" max="14336" width="9.140625" style="241"/>
    <col min="14337" max="14337" width="11.5703125" style="241" customWidth="1"/>
    <col min="14338" max="14338" width="15.85546875" style="241" customWidth="1"/>
    <col min="14339" max="14592" width="9.140625" style="241"/>
    <col min="14593" max="14593" width="11.5703125" style="241" customWidth="1"/>
    <col min="14594" max="14594" width="15.85546875" style="241" customWidth="1"/>
    <col min="14595" max="14848" width="9.140625" style="241"/>
    <col min="14849" max="14849" width="11.5703125" style="241" customWidth="1"/>
    <col min="14850" max="14850" width="15.85546875" style="241" customWidth="1"/>
    <col min="14851" max="15104" width="9.140625" style="241"/>
    <col min="15105" max="15105" width="11.5703125" style="241" customWidth="1"/>
    <col min="15106" max="15106" width="15.85546875" style="241" customWidth="1"/>
    <col min="15107" max="15360" width="9.140625" style="241"/>
    <col min="15361" max="15361" width="11.5703125" style="241" customWidth="1"/>
    <col min="15362" max="15362" width="15.85546875" style="241" customWidth="1"/>
    <col min="15363" max="15616" width="9.140625" style="241"/>
    <col min="15617" max="15617" width="11.5703125" style="241" customWidth="1"/>
    <col min="15618" max="15618" width="15.85546875" style="241" customWidth="1"/>
    <col min="15619" max="15872" width="9.140625" style="241"/>
    <col min="15873" max="15873" width="11.5703125" style="241" customWidth="1"/>
    <col min="15874" max="15874" width="15.85546875" style="241" customWidth="1"/>
    <col min="15875" max="16128" width="9.140625" style="241"/>
    <col min="16129" max="16129" width="11.5703125" style="241" customWidth="1"/>
    <col min="16130" max="16130" width="15.85546875" style="241" customWidth="1"/>
    <col min="16131" max="16384" width="9.140625" style="241"/>
  </cols>
  <sheetData>
    <row r="1" spans="1:19" ht="74.25" customHeight="1" thickBot="1" x14ac:dyDescent="0.25">
      <c r="A1" s="260" t="s">
        <v>171</v>
      </c>
      <c r="B1" s="259" t="s">
        <v>182</v>
      </c>
      <c r="C1" s="258" t="s">
        <v>183</v>
      </c>
      <c r="D1" s="257" t="s">
        <v>180</v>
      </c>
      <c r="E1" s="256" t="s">
        <v>162</v>
      </c>
      <c r="F1" s="255"/>
      <c r="G1" s="294" t="s">
        <v>187</v>
      </c>
      <c r="H1" s="294"/>
      <c r="I1" s="294"/>
      <c r="J1" s="294"/>
      <c r="K1" s="294"/>
    </row>
    <row r="2" spans="1:19" x14ac:dyDescent="0.2">
      <c r="A2" s="274">
        <v>1</v>
      </c>
      <c r="B2" s="241">
        <v>6</v>
      </c>
      <c r="E2" s="267" t="s">
        <v>13</v>
      </c>
      <c r="H2" s="290" t="s">
        <v>158</v>
      </c>
      <c r="I2" s="290"/>
      <c r="J2" s="290"/>
      <c r="K2" s="290"/>
      <c r="L2" s="290"/>
      <c r="M2" s="290"/>
      <c r="N2" s="248"/>
      <c r="O2" s="248"/>
    </row>
    <row r="3" spans="1:19" x14ac:dyDescent="0.2">
      <c r="A3" s="274">
        <v>2</v>
      </c>
      <c r="B3" s="241">
        <v>4.4000000000000004</v>
      </c>
      <c r="E3" s="267" t="s">
        <v>13</v>
      </c>
      <c r="H3" s="246" t="s">
        <v>163</v>
      </c>
      <c r="I3" s="254" t="s">
        <v>184</v>
      </c>
      <c r="J3" s="291" t="s">
        <v>185</v>
      </c>
      <c r="K3" s="290"/>
      <c r="L3" s="290"/>
      <c r="M3" s="290"/>
      <c r="N3" s="248"/>
      <c r="O3" s="248"/>
    </row>
    <row r="4" spans="1:19" x14ac:dyDescent="0.2">
      <c r="A4" s="274">
        <v>3</v>
      </c>
      <c r="B4" s="241">
        <v>5</v>
      </c>
      <c r="E4" s="267" t="s">
        <v>13</v>
      </c>
      <c r="H4" s="246"/>
      <c r="I4" s="246"/>
      <c r="J4" s="270">
        <v>1</v>
      </c>
      <c r="K4" s="270">
        <v>2</v>
      </c>
      <c r="L4" s="270">
        <v>3</v>
      </c>
      <c r="M4" s="270">
        <v>4</v>
      </c>
      <c r="N4" s="265"/>
      <c r="O4" s="265"/>
      <c r="P4" s="265"/>
      <c r="Q4" s="265"/>
      <c r="R4" s="265"/>
      <c r="S4" s="265"/>
    </row>
    <row r="5" spans="1:19" x14ac:dyDescent="0.2">
      <c r="A5" s="274">
        <v>4</v>
      </c>
      <c r="B5" s="241">
        <v>9</v>
      </c>
      <c r="C5" s="241">
        <f>SUM(B3:B6)/4</f>
        <v>6.3999999999999995</v>
      </c>
      <c r="D5" s="241">
        <f>(C5+C6)/2</f>
        <v>6.4499999999999993</v>
      </c>
      <c r="E5" s="241">
        <f>D5-B5</f>
        <v>-2.5500000000000007</v>
      </c>
      <c r="H5" s="246"/>
      <c r="I5" s="246">
        <v>1</v>
      </c>
      <c r="J5" s="271" t="s">
        <v>13</v>
      </c>
      <c r="K5" s="270" t="s">
        <v>13</v>
      </c>
      <c r="L5" s="271" t="s">
        <v>13</v>
      </c>
      <c r="M5" s="270">
        <f>E5</f>
        <v>-2.5500000000000007</v>
      </c>
      <c r="N5" s="268"/>
      <c r="O5" s="248"/>
    </row>
    <row r="6" spans="1:19" x14ac:dyDescent="0.2">
      <c r="A6" s="274">
        <v>5</v>
      </c>
      <c r="B6" s="241">
        <v>7.2</v>
      </c>
      <c r="C6" s="241">
        <f t="shared" ref="C6:C18" si="0">SUM(B4:B7)/4</f>
        <v>6.5</v>
      </c>
      <c r="D6" s="241">
        <f t="shared" ref="D6:D17" si="1">(C6+C7)/2</f>
        <v>6.625</v>
      </c>
      <c r="E6" s="241">
        <f t="shared" ref="E6:E17" si="2">D6-B6</f>
        <v>-0.57500000000000018</v>
      </c>
      <c r="H6" s="246"/>
      <c r="I6" s="246">
        <v>2</v>
      </c>
      <c r="J6" s="270">
        <f>E6</f>
        <v>-0.57500000000000018</v>
      </c>
      <c r="K6" s="270">
        <f>E7</f>
        <v>2.0750000000000002</v>
      </c>
      <c r="L6" s="270">
        <f>E8</f>
        <v>1.0999999999999996</v>
      </c>
      <c r="M6" s="270">
        <f>E9</f>
        <v>-2.6999999999999993</v>
      </c>
      <c r="N6" s="248"/>
      <c r="O6" s="248"/>
    </row>
    <row r="7" spans="1:19" x14ac:dyDescent="0.2">
      <c r="A7" s="274">
        <v>6</v>
      </c>
      <c r="B7" s="241">
        <v>4.8</v>
      </c>
      <c r="C7" s="241">
        <f t="shared" si="0"/>
        <v>6.75</v>
      </c>
      <c r="D7" s="241">
        <f t="shared" si="1"/>
        <v>6.875</v>
      </c>
      <c r="E7" s="241">
        <f t="shared" si="2"/>
        <v>2.0750000000000002</v>
      </c>
      <c r="H7" s="246"/>
      <c r="I7" s="246">
        <v>3</v>
      </c>
      <c r="J7" s="270">
        <f>E10</f>
        <v>-0.54999999999999982</v>
      </c>
      <c r="K7" s="270">
        <f>E11</f>
        <v>2.0250000000000004</v>
      </c>
      <c r="L7" s="270">
        <f>E12</f>
        <v>1.4749999999999996</v>
      </c>
      <c r="M7" s="270">
        <f>E13</f>
        <v>-2.875</v>
      </c>
      <c r="N7" s="248"/>
      <c r="O7" s="248"/>
    </row>
    <row r="8" spans="1:19" x14ac:dyDescent="0.2">
      <c r="A8" s="274">
        <v>7</v>
      </c>
      <c r="B8" s="241">
        <v>6</v>
      </c>
      <c r="C8" s="241">
        <f t="shared" si="0"/>
        <v>7</v>
      </c>
      <c r="D8" s="241">
        <f t="shared" si="1"/>
        <v>7.1</v>
      </c>
      <c r="E8" s="241">
        <f t="shared" si="2"/>
        <v>1.0999999999999996</v>
      </c>
      <c r="H8" s="246"/>
      <c r="I8" s="246">
        <v>4</v>
      </c>
      <c r="J8" s="270">
        <f>E14</f>
        <v>-0.67500000000000071</v>
      </c>
      <c r="K8" s="270">
        <f>E15</f>
        <v>1.7750000000000004</v>
      </c>
      <c r="L8" s="270">
        <f>E16</f>
        <v>1.3500000000000014</v>
      </c>
      <c r="M8" s="270">
        <f>E17</f>
        <v>-2.3875000000000011</v>
      </c>
      <c r="N8" s="248"/>
      <c r="O8" s="248"/>
    </row>
    <row r="9" spans="1:19" ht="48.75" customHeight="1" x14ac:dyDescent="0.2">
      <c r="A9" s="274">
        <v>8</v>
      </c>
      <c r="B9" s="241">
        <v>10</v>
      </c>
      <c r="C9" s="241">
        <f t="shared" si="0"/>
        <v>7.2</v>
      </c>
      <c r="D9" s="241">
        <f t="shared" si="1"/>
        <v>7.3000000000000007</v>
      </c>
      <c r="E9" s="241">
        <f t="shared" si="2"/>
        <v>-2.6999999999999993</v>
      </c>
      <c r="H9" s="247" t="s">
        <v>190</v>
      </c>
      <c r="I9" s="246"/>
      <c r="J9" s="246">
        <f>J6+J7+J8</f>
        <v>-1.8000000000000007</v>
      </c>
      <c r="K9" s="246">
        <f>K6+K7+K8</f>
        <v>5.8750000000000009</v>
      </c>
      <c r="L9" s="246">
        <f>L8+L6+L7</f>
        <v>3.9250000000000007</v>
      </c>
      <c r="M9" s="246">
        <f>M5+M6+M7+M8</f>
        <v>-10.512500000000001</v>
      </c>
      <c r="N9" s="248"/>
      <c r="O9" s="248"/>
    </row>
    <row r="10" spans="1:19" ht="75" customHeight="1" x14ac:dyDescent="0.2">
      <c r="A10" s="274">
        <v>9</v>
      </c>
      <c r="B10" s="241">
        <v>8</v>
      </c>
      <c r="C10" s="241">
        <f t="shared" si="0"/>
        <v>7.4</v>
      </c>
      <c r="D10" s="241">
        <f t="shared" si="1"/>
        <v>7.45</v>
      </c>
      <c r="E10" s="241">
        <f t="shared" si="2"/>
        <v>-0.54999999999999982</v>
      </c>
      <c r="H10" s="247" t="s">
        <v>189</v>
      </c>
      <c r="I10" s="246"/>
      <c r="J10" s="249">
        <f>J9/4</f>
        <v>-0.45000000000000018</v>
      </c>
      <c r="K10" s="249">
        <f>K9/4</f>
        <v>1.4687500000000002</v>
      </c>
      <c r="L10" s="249">
        <f>L9/4</f>
        <v>0.98125000000000018</v>
      </c>
      <c r="M10" s="249">
        <f>M9/4</f>
        <v>-2.6281250000000003</v>
      </c>
      <c r="N10" s="261">
        <f>SUM(J10:M10)</f>
        <v>-0.62812500000000027</v>
      </c>
      <c r="O10" s="248" t="s">
        <v>90</v>
      </c>
    </row>
    <row r="11" spans="1:19" ht="65.25" customHeight="1" x14ac:dyDescent="0.2">
      <c r="A11" s="274">
        <v>10</v>
      </c>
      <c r="B11" s="241">
        <v>5.6</v>
      </c>
      <c r="C11" s="241">
        <f t="shared" si="0"/>
        <v>7.5</v>
      </c>
      <c r="D11" s="241">
        <f t="shared" si="1"/>
        <v>7.625</v>
      </c>
      <c r="E11" s="241">
        <f t="shared" si="2"/>
        <v>2.0250000000000004</v>
      </c>
      <c r="H11" s="247" t="s">
        <v>168</v>
      </c>
      <c r="I11" s="246"/>
      <c r="J11" s="245">
        <f>J10-$N$11</f>
        <v>-0.29296875000000011</v>
      </c>
      <c r="K11" s="245">
        <f>K10-$N$11</f>
        <v>1.6257812500000002</v>
      </c>
      <c r="L11" s="245">
        <f>L10-$N$11</f>
        <v>1.1382812500000004</v>
      </c>
      <c r="M11" s="245">
        <f>M10-$N$11</f>
        <v>-2.4710937500000001</v>
      </c>
      <c r="N11" s="244">
        <f>N10/4</f>
        <v>-0.15703125000000007</v>
      </c>
      <c r="O11" s="243" t="s">
        <v>169</v>
      </c>
    </row>
    <row r="12" spans="1:19" x14ac:dyDescent="0.2">
      <c r="A12" s="274">
        <v>11</v>
      </c>
      <c r="B12" s="241">
        <v>6.4</v>
      </c>
      <c r="C12" s="241">
        <f t="shared" si="0"/>
        <v>7.75</v>
      </c>
      <c r="D12" s="241">
        <f t="shared" si="1"/>
        <v>7.875</v>
      </c>
      <c r="E12" s="241">
        <f t="shared" si="2"/>
        <v>1.4749999999999996</v>
      </c>
    </row>
    <row r="13" spans="1:19" x14ac:dyDescent="0.2">
      <c r="A13" s="274">
        <v>12</v>
      </c>
      <c r="B13" s="241">
        <v>11</v>
      </c>
      <c r="C13" s="241">
        <f t="shared" si="0"/>
        <v>8</v>
      </c>
      <c r="D13" s="241">
        <f t="shared" si="1"/>
        <v>8.125</v>
      </c>
      <c r="E13" s="241">
        <f t="shared" si="2"/>
        <v>-2.875</v>
      </c>
    </row>
    <row r="14" spans="1:19" x14ac:dyDescent="0.2">
      <c r="A14" s="274">
        <v>13</v>
      </c>
      <c r="B14" s="241">
        <v>9</v>
      </c>
      <c r="C14" s="241">
        <f t="shared" si="0"/>
        <v>8.25</v>
      </c>
      <c r="D14" s="241">
        <f t="shared" si="1"/>
        <v>8.3249999999999993</v>
      </c>
      <c r="E14" s="241">
        <f t="shared" si="2"/>
        <v>-0.67500000000000071</v>
      </c>
    </row>
    <row r="15" spans="1:19" x14ac:dyDescent="0.2">
      <c r="A15" s="274">
        <v>14</v>
      </c>
      <c r="B15" s="241">
        <v>6.6</v>
      </c>
      <c r="C15" s="241">
        <f t="shared" si="0"/>
        <v>8.4</v>
      </c>
      <c r="D15" s="241">
        <f t="shared" si="1"/>
        <v>8.375</v>
      </c>
      <c r="E15" s="241">
        <f t="shared" si="2"/>
        <v>1.7750000000000004</v>
      </c>
    </row>
    <row r="16" spans="1:19" x14ac:dyDescent="0.2">
      <c r="A16" s="274">
        <v>15</v>
      </c>
      <c r="B16" s="241">
        <v>7</v>
      </c>
      <c r="C16" s="241">
        <f t="shared" si="0"/>
        <v>8.3500000000000014</v>
      </c>
      <c r="D16" s="241">
        <f t="shared" si="1"/>
        <v>8.3500000000000014</v>
      </c>
      <c r="E16" s="241">
        <f t="shared" si="2"/>
        <v>1.3500000000000014</v>
      </c>
    </row>
    <row r="17" spans="1:11" x14ac:dyDescent="0.2">
      <c r="A17" s="274">
        <v>16</v>
      </c>
      <c r="B17" s="241">
        <v>10.8</v>
      </c>
      <c r="C17" s="241">
        <f t="shared" si="0"/>
        <v>8.35</v>
      </c>
      <c r="D17" s="241">
        <f t="shared" si="1"/>
        <v>8.4124999999999996</v>
      </c>
      <c r="E17" s="241">
        <f t="shared" si="2"/>
        <v>-2.3875000000000011</v>
      </c>
    </row>
    <row r="18" spans="1:11" x14ac:dyDescent="0.2">
      <c r="A18" s="274">
        <v>17</v>
      </c>
      <c r="B18" s="241">
        <v>9</v>
      </c>
      <c r="C18" s="241">
        <f t="shared" si="0"/>
        <v>8.4749999999999996</v>
      </c>
    </row>
    <row r="19" spans="1:11" x14ac:dyDescent="0.2">
      <c r="A19" s="274">
        <v>18</v>
      </c>
      <c r="B19" s="241">
        <v>7.1</v>
      </c>
    </row>
    <row r="22" spans="1:11" x14ac:dyDescent="0.2">
      <c r="B22" s="292" t="s">
        <v>170</v>
      </c>
      <c r="C22" s="292"/>
      <c r="D22" s="292"/>
      <c r="E22" s="292"/>
      <c r="F22" s="292"/>
      <c r="G22" s="292"/>
      <c r="H22" s="292"/>
      <c r="I22" s="292"/>
      <c r="J22" s="248"/>
      <c r="K22" s="248"/>
    </row>
    <row r="23" spans="1:11" ht="18" x14ac:dyDescent="0.35">
      <c r="B23" s="263" t="s">
        <v>171</v>
      </c>
      <c r="C23" s="263" t="s">
        <v>160</v>
      </c>
      <c r="D23" s="263" t="s">
        <v>172</v>
      </c>
      <c r="E23" s="264" t="s">
        <v>173</v>
      </c>
      <c r="F23" s="264" t="s">
        <v>174</v>
      </c>
      <c r="G23" s="264" t="s">
        <v>175</v>
      </c>
      <c r="H23" s="264" t="s">
        <v>176</v>
      </c>
      <c r="I23" s="264" t="s">
        <v>177</v>
      </c>
      <c r="J23" s="248"/>
      <c r="K23" s="248"/>
    </row>
    <row r="24" spans="1:11" x14ac:dyDescent="0.2">
      <c r="B24" s="263">
        <v>1</v>
      </c>
      <c r="C24" s="269">
        <v>2</v>
      </c>
      <c r="D24" s="263">
        <v>3</v>
      </c>
      <c r="E24" s="263">
        <v>4</v>
      </c>
      <c r="F24" s="263">
        <v>5</v>
      </c>
      <c r="G24" s="263">
        <v>6</v>
      </c>
      <c r="H24" s="263">
        <v>7</v>
      </c>
      <c r="I24" s="263">
        <v>8</v>
      </c>
      <c r="J24" s="248"/>
      <c r="K24" s="248"/>
    </row>
    <row r="25" spans="1:11" x14ac:dyDescent="0.2">
      <c r="B25" s="263">
        <v>1</v>
      </c>
      <c r="C25" s="241">
        <v>6</v>
      </c>
      <c r="D25" s="261">
        <f>$J$11</f>
        <v>-0.29296875000000011</v>
      </c>
      <c r="E25" s="261">
        <f>C25-D25</f>
        <v>6.29296875</v>
      </c>
      <c r="F25" s="261">
        <f>0.238*B25+4.9</f>
        <v>5.1379999999999999</v>
      </c>
      <c r="G25" s="261">
        <f>F25+D25</f>
        <v>4.8450312499999999</v>
      </c>
      <c r="H25" s="261">
        <f>C25-G25</f>
        <v>1.1549687500000001</v>
      </c>
      <c r="I25" s="248">
        <f>H25*H25</f>
        <v>1.3339528134765628</v>
      </c>
      <c r="J25" s="248"/>
      <c r="K25" s="248"/>
    </row>
    <row r="26" spans="1:11" x14ac:dyDescent="0.2">
      <c r="B26" s="263">
        <v>2</v>
      </c>
      <c r="C26" s="241">
        <v>4.4000000000000004</v>
      </c>
      <c r="D26" s="261">
        <f>$K$11</f>
        <v>1.6257812500000002</v>
      </c>
      <c r="E26" s="261">
        <f>C26-D26</f>
        <v>2.7742187500000002</v>
      </c>
      <c r="F26" s="261">
        <f t="shared" ref="F26:F42" si="3">0.238*B26+4.9</f>
        <v>5.3760000000000003</v>
      </c>
      <c r="G26" s="261">
        <f t="shared" ref="G26:G42" si="4">F26+D26</f>
        <v>7.0017812500000005</v>
      </c>
      <c r="H26" s="261">
        <f t="shared" ref="H26:H42" si="5">C26-G26</f>
        <v>-2.6017812500000002</v>
      </c>
      <c r="I26" s="248">
        <f t="shared" ref="I26:I42" si="6">H26*H26</f>
        <v>6.7692656728515637</v>
      </c>
      <c r="J26" s="248"/>
      <c r="K26" s="248"/>
    </row>
    <row r="27" spans="1:11" x14ac:dyDescent="0.2">
      <c r="B27" s="263">
        <v>3</v>
      </c>
      <c r="C27" s="241">
        <v>5</v>
      </c>
      <c r="D27" s="261">
        <f>$L$11</f>
        <v>1.1382812500000004</v>
      </c>
      <c r="E27" s="261">
        <f t="shared" ref="E27:E39" si="7">C27-D27</f>
        <v>3.8617187499999996</v>
      </c>
      <c r="F27" s="261">
        <f t="shared" si="3"/>
        <v>5.6140000000000008</v>
      </c>
      <c r="G27" s="261">
        <f t="shared" si="4"/>
        <v>6.7522812500000011</v>
      </c>
      <c r="H27" s="261">
        <f t="shared" si="5"/>
        <v>-1.7522812500000011</v>
      </c>
      <c r="I27" s="248">
        <f t="shared" si="6"/>
        <v>3.0704895791015665</v>
      </c>
      <c r="J27" s="248"/>
      <c r="K27" s="248"/>
    </row>
    <row r="28" spans="1:11" x14ac:dyDescent="0.2">
      <c r="B28" s="263">
        <v>4</v>
      </c>
      <c r="C28" s="241">
        <v>9</v>
      </c>
      <c r="D28" s="261">
        <f>$M$11</f>
        <v>-2.4710937500000001</v>
      </c>
      <c r="E28" s="261">
        <f t="shared" si="7"/>
        <v>11.47109375</v>
      </c>
      <c r="F28" s="261">
        <f t="shared" si="3"/>
        <v>5.8520000000000003</v>
      </c>
      <c r="G28" s="261">
        <f t="shared" si="4"/>
        <v>3.3809062500000002</v>
      </c>
      <c r="H28" s="261">
        <f t="shared" si="5"/>
        <v>5.6190937499999993</v>
      </c>
      <c r="I28" s="248">
        <f t="shared" si="6"/>
        <v>31.574214571289055</v>
      </c>
      <c r="J28" s="248"/>
      <c r="K28" s="248"/>
    </row>
    <row r="29" spans="1:11" x14ac:dyDescent="0.2">
      <c r="B29" s="263">
        <v>5</v>
      </c>
      <c r="C29" s="241">
        <v>7.2</v>
      </c>
      <c r="D29" s="261">
        <f>$J$11</f>
        <v>-0.29296875000000011</v>
      </c>
      <c r="E29" s="261">
        <f t="shared" si="7"/>
        <v>7.4929687500000002</v>
      </c>
      <c r="F29" s="261">
        <f t="shared" si="3"/>
        <v>6.09</v>
      </c>
      <c r="G29" s="261">
        <f t="shared" si="4"/>
        <v>5.7970312499999999</v>
      </c>
      <c r="H29" s="261">
        <f t="shared" si="5"/>
        <v>1.4029687500000003</v>
      </c>
      <c r="I29" s="248">
        <f t="shared" si="6"/>
        <v>1.9683213134765634</v>
      </c>
      <c r="J29" s="248"/>
      <c r="K29" s="248"/>
    </row>
    <row r="30" spans="1:11" x14ac:dyDescent="0.2">
      <c r="B30" s="263">
        <v>6</v>
      </c>
      <c r="C30" s="241">
        <v>4.8</v>
      </c>
      <c r="D30" s="261">
        <f>$K$11</f>
        <v>1.6257812500000002</v>
      </c>
      <c r="E30" s="261">
        <f t="shared" si="7"/>
        <v>3.1742187499999996</v>
      </c>
      <c r="F30" s="261">
        <f t="shared" si="3"/>
        <v>6.3280000000000003</v>
      </c>
      <c r="G30" s="261">
        <f t="shared" si="4"/>
        <v>7.9537812500000005</v>
      </c>
      <c r="H30" s="261">
        <f t="shared" si="5"/>
        <v>-3.1537812500000006</v>
      </c>
      <c r="I30" s="248">
        <f t="shared" si="6"/>
        <v>9.9463361728515665</v>
      </c>
      <c r="J30" s="248"/>
      <c r="K30" s="248"/>
    </row>
    <row r="31" spans="1:11" x14ac:dyDescent="0.2">
      <c r="B31" s="263">
        <v>7</v>
      </c>
      <c r="C31" s="241">
        <v>6</v>
      </c>
      <c r="D31" s="261">
        <f>$L$11</f>
        <v>1.1382812500000004</v>
      </c>
      <c r="E31" s="261">
        <f t="shared" si="7"/>
        <v>4.8617187499999996</v>
      </c>
      <c r="F31" s="261">
        <f t="shared" si="3"/>
        <v>6.5660000000000007</v>
      </c>
      <c r="G31" s="261">
        <f t="shared" si="4"/>
        <v>7.7042812500000011</v>
      </c>
      <c r="H31" s="261">
        <f t="shared" si="5"/>
        <v>-1.7042812500000011</v>
      </c>
      <c r="I31" s="248">
        <f t="shared" si="6"/>
        <v>2.904574579101566</v>
      </c>
      <c r="J31" s="248"/>
      <c r="K31" s="248"/>
    </row>
    <row r="32" spans="1:11" x14ac:dyDescent="0.2">
      <c r="B32" s="263">
        <v>8</v>
      </c>
      <c r="C32" s="241">
        <v>10</v>
      </c>
      <c r="D32" s="261">
        <f>$M$11</f>
        <v>-2.4710937500000001</v>
      </c>
      <c r="E32" s="261">
        <f t="shared" si="7"/>
        <v>12.47109375</v>
      </c>
      <c r="F32" s="261">
        <f t="shared" si="3"/>
        <v>6.8040000000000003</v>
      </c>
      <c r="G32" s="261">
        <f t="shared" si="4"/>
        <v>4.3329062500000006</v>
      </c>
      <c r="H32" s="261">
        <f t="shared" si="5"/>
        <v>5.6670937499999994</v>
      </c>
      <c r="I32" s="248">
        <f t="shared" si="6"/>
        <v>32.115951571289052</v>
      </c>
      <c r="J32" s="248"/>
      <c r="K32" s="248"/>
    </row>
    <row r="33" spans="2:11" x14ac:dyDescent="0.2">
      <c r="B33" s="263">
        <v>9</v>
      </c>
      <c r="C33" s="241">
        <v>8</v>
      </c>
      <c r="D33" s="261">
        <f>$J$11</f>
        <v>-0.29296875000000011</v>
      </c>
      <c r="E33" s="261">
        <f t="shared" si="7"/>
        <v>8.29296875</v>
      </c>
      <c r="F33" s="261">
        <f t="shared" si="3"/>
        <v>7.0419999999999998</v>
      </c>
      <c r="G33" s="261">
        <f t="shared" si="4"/>
        <v>6.7490312499999998</v>
      </c>
      <c r="H33" s="261">
        <f t="shared" si="5"/>
        <v>1.2509687500000002</v>
      </c>
      <c r="I33" s="248">
        <f t="shared" si="6"/>
        <v>1.5649228134765629</v>
      </c>
      <c r="J33" s="248"/>
      <c r="K33" s="248"/>
    </row>
    <row r="34" spans="2:11" x14ac:dyDescent="0.2">
      <c r="B34" s="263">
        <v>10</v>
      </c>
      <c r="C34" s="241">
        <v>5.6</v>
      </c>
      <c r="D34" s="261">
        <f>$K$11</f>
        <v>1.6257812500000002</v>
      </c>
      <c r="E34" s="261">
        <f t="shared" si="7"/>
        <v>3.9742187499999995</v>
      </c>
      <c r="F34" s="261">
        <f t="shared" si="3"/>
        <v>7.28</v>
      </c>
      <c r="G34" s="261">
        <f t="shared" si="4"/>
        <v>8.9057812500000004</v>
      </c>
      <c r="H34" s="261">
        <f t="shared" si="5"/>
        <v>-3.3057812500000008</v>
      </c>
      <c r="I34" s="248">
        <f t="shared" si="6"/>
        <v>10.928189672851568</v>
      </c>
      <c r="J34" s="248"/>
      <c r="K34" s="248"/>
    </row>
    <row r="35" spans="2:11" x14ac:dyDescent="0.2">
      <c r="B35" s="263">
        <v>11</v>
      </c>
      <c r="C35" s="241">
        <v>6.4</v>
      </c>
      <c r="D35" s="261">
        <f>$L$11</f>
        <v>1.1382812500000004</v>
      </c>
      <c r="E35" s="261">
        <f t="shared" si="7"/>
        <v>5.26171875</v>
      </c>
      <c r="F35" s="261">
        <f t="shared" si="3"/>
        <v>7.5180000000000007</v>
      </c>
      <c r="G35" s="261">
        <f t="shared" si="4"/>
        <v>8.656281250000001</v>
      </c>
      <c r="H35" s="261">
        <f t="shared" si="5"/>
        <v>-2.2562812500000007</v>
      </c>
      <c r="I35" s="248">
        <f t="shared" si="6"/>
        <v>5.0908050791015658</v>
      </c>
      <c r="J35" s="248"/>
      <c r="K35" s="248"/>
    </row>
    <row r="36" spans="2:11" x14ac:dyDescent="0.2">
      <c r="B36" s="263">
        <v>12</v>
      </c>
      <c r="C36" s="241">
        <v>11</v>
      </c>
      <c r="D36" s="261">
        <f>$M$11</f>
        <v>-2.4710937500000001</v>
      </c>
      <c r="E36" s="261">
        <f t="shared" si="7"/>
        <v>13.47109375</v>
      </c>
      <c r="F36" s="261">
        <f t="shared" si="3"/>
        <v>7.7560000000000002</v>
      </c>
      <c r="G36" s="261">
        <f t="shared" si="4"/>
        <v>5.2849062500000006</v>
      </c>
      <c r="H36" s="261">
        <f t="shared" si="5"/>
        <v>5.7150937499999994</v>
      </c>
      <c r="I36" s="248">
        <f t="shared" si="6"/>
        <v>32.662296571289055</v>
      </c>
      <c r="J36" s="248"/>
      <c r="K36" s="248"/>
    </row>
    <row r="37" spans="2:11" x14ac:dyDescent="0.2">
      <c r="B37" s="263">
        <v>13</v>
      </c>
      <c r="C37" s="241">
        <v>9</v>
      </c>
      <c r="D37" s="261">
        <f>$J$11</f>
        <v>-0.29296875000000011</v>
      </c>
      <c r="E37" s="261">
        <f t="shared" si="7"/>
        <v>9.29296875</v>
      </c>
      <c r="F37" s="261">
        <f t="shared" si="3"/>
        <v>7.9939999999999998</v>
      </c>
      <c r="G37" s="261">
        <f t="shared" si="4"/>
        <v>7.7010312499999998</v>
      </c>
      <c r="H37" s="261">
        <f t="shared" si="5"/>
        <v>1.2989687500000002</v>
      </c>
      <c r="I37" s="248">
        <f t="shared" si="6"/>
        <v>1.687319813476563</v>
      </c>
      <c r="J37" s="248"/>
      <c r="K37" s="248"/>
    </row>
    <row r="38" spans="2:11" x14ac:dyDescent="0.2">
      <c r="B38" s="263">
        <v>14</v>
      </c>
      <c r="C38" s="241">
        <v>6.6</v>
      </c>
      <c r="D38" s="261">
        <f>$K$11</f>
        <v>1.6257812500000002</v>
      </c>
      <c r="E38" s="261">
        <f t="shared" si="7"/>
        <v>4.9742187499999995</v>
      </c>
      <c r="F38" s="261">
        <f t="shared" si="3"/>
        <v>8.2319999999999993</v>
      </c>
      <c r="G38" s="261">
        <f t="shared" si="4"/>
        <v>9.8577812499999986</v>
      </c>
      <c r="H38" s="261">
        <f t="shared" si="5"/>
        <v>-3.257781249999999</v>
      </c>
      <c r="I38" s="248">
        <f t="shared" si="6"/>
        <v>10.613138672851555</v>
      </c>
      <c r="J38" s="248"/>
      <c r="K38" s="248"/>
    </row>
    <row r="39" spans="2:11" x14ac:dyDescent="0.2">
      <c r="B39" s="263">
        <v>15</v>
      </c>
      <c r="C39" s="241">
        <v>7</v>
      </c>
      <c r="D39" s="261">
        <f>$L$11</f>
        <v>1.1382812500000004</v>
      </c>
      <c r="E39" s="261">
        <f t="shared" si="7"/>
        <v>5.8617187499999996</v>
      </c>
      <c r="F39" s="261">
        <f t="shared" si="3"/>
        <v>8.4700000000000006</v>
      </c>
      <c r="G39" s="261">
        <f t="shared" si="4"/>
        <v>9.608281250000001</v>
      </c>
      <c r="H39" s="261">
        <f t="shared" si="5"/>
        <v>-2.608281250000001</v>
      </c>
      <c r="I39" s="248">
        <f t="shared" si="6"/>
        <v>6.8031310791015676</v>
      </c>
      <c r="J39" s="248"/>
      <c r="K39" s="248"/>
    </row>
    <row r="40" spans="2:11" x14ac:dyDescent="0.2">
      <c r="B40" s="263">
        <v>16</v>
      </c>
      <c r="C40" s="241">
        <v>10.8</v>
      </c>
      <c r="D40" s="261">
        <f>$M$11</f>
        <v>-2.4710937500000001</v>
      </c>
      <c r="E40" s="261">
        <f>C40-D40</f>
        <v>13.27109375</v>
      </c>
      <c r="F40" s="261">
        <f t="shared" si="3"/>
        <v>8.7080000000000002</v>
      </c>
      <c r="G40" s="261">
        <f t="shared" si="4"/>
        <v>6.2369062500000005</v>
      </c>
      <c r="H40" s="261">
        <f t="shared" si="5"/>
        <v>4.5630937500000002</v>
      </c>
      <c r="I40" s="248">
        <f t="shared" si="6"/>
        <v>20.821824571289063</v>
      </c>
      <c r="J40" s="248"/>
      <c r="K40" s="248"/>
    </row>
    <row r="41" spans="2:11" x14ac:dyDescent="0.2">
      <c r="B41" s="265">
        <v>17</v>
      </c>
      <c r="C41" s="241">
        <v>9</v>
      </c>
      <c r="D41" s="261">
        <f>$J$11</f>
        <v>-0.29296875000000011</v>
      </c>
      <c r="E41" s="261">
        <f>C41-D41</f>
        <v>9.29296875</v>
      </c>
      <c r="F41" s="261">
        <f t="shared" si="3"/>
        <v>8.9459999999999997</v>
      </c>
      <c r="G41" s="261">
        <f t="shared" si="4"/>
        <v>8.6530312499999997</v>
      </c>
      <c r="H41" s="261">
        <f t="shared" si="5"/>
        <v>0.34696875000000027</v>
      </c>
      <c r="I41" s="248">
        <f t="shared" si="6"/>
        <v>0.12038731347656269</v>
      </c>
      <c r="J41" s="248"/>
      <c r="K41" s="248"/>
    </row>
    <row r="42" spans="2:11" x14ac:dyDescent="0.2">
      <c r="B42" s="265">
        <v>18</v>
      </c>
      <c r="C42" s="241">
        <v>7.1</v>
      </c>
      <c r="D42" s="261">
        <f>$K$11</f>
        <v>1.6257812500000002</v>
      </c>
      <c r="E42" s="261">
        <f>C42-D42</f>
        <v>5.4742187499999995</v>
      </c>
      <c r="F42" s="261">
        <f t="shared" si="3"/>
        <v>9.1840000000000011</v>
      </c>
      <c r="G42" s="261">
        <f t="shared" si="4"/>
        <v>10.80978125</v>
      </c>
      <c r="H42" s="261">
        <f t="shared" si="5"/>
        <v>-3.7097812500000007</v>
      </c>
      <c r="I42" s="248">
        <f t="shared" si="6"/>
        <v>13.762476922851567</v>
      </c>
      <c r="J42" s="248"/>
      <c r="K42" s="248"/>
    </row>
    <row r="43" spans="2:11" x14ac:dyDescent="0.2">
      <c r="B43" s="248" t="s">
        <v>90</v>
      </c>
      <c r="C43" s="248"/>
      <c r="D43" s="248"/>
      <c r="E43" s="248"/>
      <c r="F43" s="248"/>
      <c r="G43" s="248">
        <f>VAR(G24:G42)*18</f>
        <v>70.890503748457832</v>
      </c>
      <c r="H43" s="248"/>
      <c r="I43" s="248">
        <f>SUM(I25:I42)</f>
        <v>193.73759878320311</v>
      </c>
      <c r="J43" s="248"/>
      <c r="K43" s="248">
        <f>(1-I43/G43)*100</f>
        <v>-173.29132752483471</v>
      </c>
    </row>
    <row r="44" spans="2:11" x14ac:dyDescent="0.2">
      <c r="B44" s="248"/>
      <c r="C44" s="248"/>
      <c r="D44" s="248"/>
      <c r="E44" s="248"/>
      <c r="F44" s="248"/>
      <c r="G44" s="248"/>
      <c r="H44" s="248"/>
      <c r="I44" s="248"/>
      <c r="J44" s="248"/>
      <c r="K44" s="248">
        <f>100-K43</f>
        <v>273.29132752483474</v>
      </c>
    </row>
  </sheetData>
  <mergeCells count="4">
    <mergeCell ref="H2:M2"/>
    <mergeCell ref="J3:M3"/>
    <mergeCell ref="B22:I22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5" workbookViewId="0">
      <selection activeCell="J32" sqref="J32"/>
    </sheetView>
  </sheetViews>
  <sheetFormatPr defaultRowHeight="12.75" x14ac:dyDescent="0.2"/>
  <cols>
    <col min="1" max="1" width="11.5703125" style="241" customWidth="1"/>
    <col min="2" max="2" width="15.85546875" style="241" customWidth="1"/>
    <col min="3" max="13" width="9.140625" style="241"/>
    <col min="14" max="14" width="10.42578125" style="241" customWidth="1"/>
    <col min="15" max="256" width="9.140625" style="241"/>
    <col min="257" max="257" width="11.5703125" style="241" customWidth="1"/>
    <col min="258" max="258" width="15.85546875" style="241" customWidth="1"/>
    <col min="259" max="512" width="9.140625" style="241"/>
    <col min="513" max="513" width="11.5703125" style="241" customWidth="1"/>
    <col min="514" max="514" width="15.85546875" style="241" customWidth="1"/>
    <col min="515" max="768" width="9.140625" style="241"/>
    <col min="769" max="769" width="11.5703125" style="241" customWidth="1"/>
    <col min="770" max="770" width="15.85546875" style="241" customWidth="1"/>
    <col min="771" max="1024" width="9.140625" style="241"/>
    <col min="1025" max="1025" width="11.5703125" style="241" customWidth="1"/>
    <col min="1026" max="1026" width="15.85546875" style="241" customWidth="1"/>
    <col min="1027" max="1280" width="9.140625" style="241"/>
    <col min="1281" max="1281" width="11.5703125" style="241" customWidth="1"/>
    <col min="1282" max="1282" width="15.85546875" style="241" customWidth="1"/>
    <col min="1283" max="1536" width="9.140625" style="241"/>
    <col min="1537" max="1537" width="11.5703125" style="241" customWidth="1"/>
    <col min="1538" max="1538" width="15.85546875" style="241" customWidth="1"/>
    <col min="1539" max="1792" width="9.140625" style="241"/>
    <col min="1793" max="1793" width="11.5703125" style="241" customWidth="1"/>
    <col min="1794" max="1794" width="15.85546875" style="241" customWidth="1"/>
    <col min="1795" max="2048" width="9.140625" style="241"/>
    <col min="2049" max="2049" width="11.5703125" style="241" customWidth="1"/>
    <col min="2050" max="2050" width="15.85546875" style="241" customWidth="1"/>
    <col min="2051" max="2304" width="9.140625" style="241"/>
    <col min="2305" max="2305" width="11.5703125" style="241" customWidth="1"/>
    <col min="2306" max="2306" width="15.85546875" style="241" customWidth="1"/>
    <col min="2307" max="2560" width="9.140625" style="241"/>
    <col min="2561" max="2561" width="11.5703125" style="241" customWidth="1"/>
    <col min="2562" max="2562" width="15.85546875" style="241" customWidth="1"/>
    <col min="2563" max="2816" width="9.140625" style="241"/>
    <col min="2817" max="2817" width="11.5703125" style="241" customWidth="1"/>
    <col min="2818" max="2818" width="15.85546875" style="241" customWidth="1"/>
    <col min="2819" max="3072" width="9.140625" style="241"/>
    <col min="3073" max="3073" width="11.5703125" style="241" customWidth="1"/>
    <col min="3074" max="3074" width="15.85546875" style="241" customWidth="1"/>
    <col min="3075" max="3328" width="9.140625" style="241"/>
    <col min="3329" max="3329" width="11.5703125" style="241" customWidth="1"/>
    <col min="3330" max="3330" width="15.85546875" style="241" customWidth="1"/>
    <col min="3331" max="3584" width="9.140625" style="241"/>
    <col min="3585" max="3585" width="11.5703125" style="241" customWidth="1"/>
    <col min="3586" max="3586" width="15.85546875" style="241" customWidth="1"/>
    <col min="3587" max="3840" width="9.140625" style="241"/>
    <col min="3841" max="3841" width="11.5703125" style="241" customWidth="1"/>
    <col min="3842" max="3842" width="15.85546875" style="241" customWidth="1"/>
    <col min="3843" max="4096" width="9.140625" style="241"/>
    <col min="4097" max="4097" width="11.5703125" style="241" customWidth="1"/>
    <col min="4098" max="4098" width="15.85546875" style="241" customWidth="1"/>
    <col min="4099" max="4352" width="9.140625" style="241"/>
    <col min="4353" max="4353" width="11.5703125" style="241" customWidth="1"/>
    <col min="4354" max="4354" width="15.85546875" style="241" customWidth="1"/>
    <col min="4355" max="4608" width="9.140625" style="241"/>
    <col min="4609" max="4609" width="11.5703125" style="241" customWidth="1"/>
    <col min="4610" max="4610" width="15.85546875" style="241" customWidth="1"/>
    <col min="4611" max="4864" width="9.140625" style="241"/>
    <col min="4865" max="4865" width="11.5703125" style="241" customWidth="1"/>
    <col min="4866" max="4866" width="15.85546875" style="241" customWidth="1"/>
    <col min="4867" max="5120" width="9.140625" style="241"/>
    <col min="5121" max="5121" width="11.5703125" style="241" customWidth="1"/>
    <col min="5122" max="5122" width="15.85546875" style="241" customWidth="1"/>
    <col min="5123" max="5376" width="9.140625" style="241"/>
    <col min="5377" max="5377" width="11.5703125" style="241" customWidth="1"/>
    <col min="5378" max="5378" width="15.85546875" style="241" customWidth="1"/>
    <col min="5379" max="5632" width="9.140625" style="241"/>
    <col min="5633" max="5633" width="11.5703125" style="241" customWidth="1"/>
    <col min="5634" max="5634" width="15.85546875" style="241" customWidth="1"/>
    <col min="5635" max="5888" width="9.140625" style="241"/>
    <col min="5889" max="5889" width="11.5703125" style="241" customWidth="1"/>
    <col min="5890" max="5890" width="15.85546875" style="241" customWidth="1"/>
    <col min="5891" max="6144" width="9.140625" style="241"/>
    <col min="6145" max="6145" width="11.5703125" style="241" customWidth="1"/>
    <col min="6146" max="6146" width="15.85546875" style="241" customWidth="1"/>
    <col min="6147" max="6400" width="9.140625" style="241"/>
    <col min="6401" max="6401" width="11.5703125" style="241" customWidth="1"/>
    <col min="6402" max="6402" width="15.85546875" style="241" customWidth="1"/>
    <col min="6403" max="6656" width="9.140625" style="241"/>
    <col min="6657" max="6657" width="11.5703125" style="241" customWidth="1"/>
    <col min="6658" max="6658" width="15.85546875" style="241" customWidth="1"/>
    <col min="6659" max="6912" width="9.140625" style="241"/>
    <col min="6913" max="6913" width="11.5703125" style="241" customWidth="1"/>
    <col min="6914" max="6914" width="15.85546875" style="241" customWidth="1"/>
    <col min="6915" max="7168" width="9.140625" style="241"/>
    <col min="7169" max="7169" width="11.5703125" style="241" customWidth="1"/>
    <col min="7170" max="7170" width="15.85546875" style="241" customWidth="1"/>
    <col min="7171" max="7424" width="9.140625" style="241"/>
    <col min="7425" max="7425" width="11.5703125" style="241" customWidth="1"/>
    <col min="7426" max="7426" width="15.85546875" style="241" customWidth="1"/>
    <col min="7427" max="7680" width="9.140625" style="241"/>
    <col min="7681" max="7681" width="11.5703125" style="241" customWidth="1"/>
    <col min="7682" max="7682" width="15.85546875" style="241" customWidth="1"/>
    <col min="7683" max="7936" width="9.140625" style="241"/>
    <col min="7937" max="7937" width="11.5703125" style="241" customWidth="1"/>
    <col min="7938" max="7938" width="15.85546875" style="241" customWidth="1"/>
    <col min="7939" max="8192" width="9.140625" style="241"/>
    <col min="8193" max="8193" width="11.5703125" style="241" customWidth="1"/>
    <col min="8194" max="8194" width="15.85546875" style="241" customWidth="1"/>
    <col min="8195" max="8448" width="9.140625" style="241"/>
    <col min="8449" max="8449" width="11.5703125" style="241" customWidth="1"/>
    <col min="8450" max="8450" width="15.85546875" style="241" customWidth="1"/>
    <col min="8451" max="8704" width="9.140625" style="241"/>
    <col min="8705" max="8705" width="11.5703125" style="241" customWidth="1"/>
    <col min="8706" max="8706" width="15.85546875" style="241" customWidth="1"/>
    <col min="8707" max="8960" width="9.140625" style="241"/>
    <col min="8961" max="8961" width="11.5703125" style="241" customWidth="1"/>
    <col min="8962" max="8962" width="15.85546875" style="241" customWidth="1"/>
    <col min="8963" max="9216" width="9.140625" style="241"/>
    <col min="9217" max="9217" width="11.5703125" style="241" customWidth="1"/>
    <col min="9218" max="9218" width="15.85546875" style="241" customWidth="1"/>
    <col min="9219" max="9472" width="9.140625" style="241"/>
    <col min="9473" max="9473" width="11.5703125" style="241" customWidth="1"/>
    <col min="9474" max="9474" width="15.85546875" style="241" customWidth="1"/>
    <col min="9475" max="9728" width="9.140625" style="241"/>
    <col min="9729" max="9729" width="11.5703125" style="241" customWidth="1"/>
    <col min="9730" max="9730" width="15.85546875" style="241" customWidth="1"/>
    <col min="9731" max="9984" width="9.140625" style="241"/>
    <col min="9985" max="9985" width="11.5703125" style="241" customWidth="1"/>
    <col min="9986" max="9986" width="15.85546875" style="241" customWidth="1"/>
    <col min="9987" max="10240" width="9.140625" style="241"/>
    <col min="10241" max="10241" width="11.5703125" style="241" customWidth="1"/>
    <col min="10242" max="10242" width="15.85546875" style="241" customWidth="1"/>
    <col min="10243" max="10496" width="9.140625" style="241"/>
    <col min="10497" max="10497" width="11.5703125" style="241" customWidth="1"/>
    <col min="10498" max="10498" width="15.85546875" style="241" customWidth="1"/>
    <col min="10499" max="10752" width="9.140625" style="241"/>
    <col min="10753" max="10753" width="11.5703125" style="241" customWidth="1"/>
    <col min="10754" max="10754" width="15.85546875" style="241" customWidth="1"/>
    <col min="10755" max="11008" width="9.140625" style="241"/>
    <col min="11009" max="11009" width="11.5703125" style="241" customWidth="1"/>
    <col min="11010" max="11010" width="15.85546875" style="241" customWidth="1"/>
    <col min="11011" max="11264" width="9.140625" style="241"/>
    <col min="11265" max="11265" width="11.5703125" style="241" customWidth="1"/>
    <col min="11266" max="11266" width="15.85546875" style="241" customWidth="1"/>
    <col min="11267" max="11520" width="9.140625" style="241"/>
    <col min="11521" max="11521" width="11.5703125" style="241" customWidth="1"/>
    <col min="11522" max="11522" width="15.85546875" style="241" customWidth="1"/>
    <col min="11523" max="11776" width="9.140625" style="241"/>
    <col min="11777" max="11777" width="11.5703125" style="241" customWidth="1"/>
    <col min="11778" max="11778" width="15.85546875" style="241" customWidth="1"/>
    <col min="11779" max="12032" width="9.140625" style="241"/>
    <col min="12033" max="12033" width="11.5703125" style="241" customWidth="1"/>
    <col min="12034" max="12034" width="15.85546875" style="241" customWidth="1"/>
    <col min="12035" max="12288" width="9.140625" style="241"/>
    <col min="12289" max="12289" width="11.5703125" style="241" customWidth="1"/>
    <col min="12290" max="12290" width="15.85546875" style="241" customWidth="1"/>
    <col min="12291" max="12544" width="9.140625" style="241"/>
    <col min="12545" max="12545" width="11.5703125" style="241" customWidth="1"/>
    <col min="12546" max="12546" width="15.85546875" style="241" customWidth="1"/>
    <col min="12547" max="12800" width="9.140625" style="241"/>
    <col min="12801" max="12801" width="11.5703125" style="241" customWidth="1"/>
    <col min="12802" max="12802" width="15.85546875" style="241" customWidth="1"/>
    <col min="12803" max="13056" width="9.140625" style="241"/>
    <col min="13057" max="13057" width="11.5703125" style="241" customWidth="1"/>
    <col min="13058" max="13058" width="15.85546875" style="241" customWidth="1"/>
    <col min="13059" max="13312" width="9.140625" style="241"/>
    <col min="13313" max="13313" width="11.5703125" style="241" customWidth="1"/>
    <col min="13314" max="13314" width="15.85546875" style="241" customWidth="1"/>
    <col min="13315" max="13568" width="9.140625" style="241"/>
    <col min="13569" max="13569" width="11.5703125" style="241" customWidth="1"/>
    <col min="13570" max="13570" width="15.85546875" style="241" customWidth="1"/>
    <col min="13571" max="13824" width="9.140625" style="241"/>
    <col min="13825" max="13825" width="11.5703125" style="241" customWidth="1"/>
    <col min="13826" max="13826" width="15.85546875" style="241" customWidth="1"/>
    <col min="13827" max="14080" width="9.140625" style="241"/>
    <col min="14081" max="14081" width="11.5703125" style="241" customWidth="1"/>
    <col min="14082" max="14082" width="15.85546875" style="241" customWidth="1"/>
    <col min="14083" max="14336" width="9.140625" style="241"/>
    <col min="14337" max="14337" width="11.5703125" style="241" customWidth="1"/>
    <col min="14338" max="14338" width="15.85546875" style="241" customWidth="1"/>
    <col min="14339" max="14592" width="9.140625" style="241"/>
    <col min="14593" max="14593" width="11.5703125" style="241" customWidth="1"/>
    <col min="14594" max="14594" width="15.85546875" style="241" customWidth="1"/>
    <col min="14595" max="14848" width="9.140625" style="241"/>
    <col min="14849" max="14849" width="11.5703125" style="241" customWidth="1"/>
    <col min="14850" max="14850" width="15.85546875" style="241" customWidth="1"/>
    <col min="14851" max="15104" width="9.140625" style="241"/>
    <col min="15105" max="15105" width="11.5703125" style="241" customWidth="1"/>
    <col min="15106" max="15106" width="15.85546875" style="241" customWidth="1"/>
    <col min="15107" max="15360" width="9.140625" style="241"/>
    <col min="15361" max="15361" width="11.5703125" style="241" customWidth="1"/>
    <col min="15362" max="15362" width="15.85546875" style="241" customWidth="1"/>
    <col min="15363" max="15616" width="9.140625" style="241"/>
    <col min="15617" max="15617" width="11.5703125" style="241" customWidth="1"/>
    <col min="15618" max="15618" width="15.85546875" style="241" customWidth="1"/>
    <col min="15619" max="15872" width="9.140625" style="241"/>
    <col min="15873" max="15873" width="11.5703125" style="241" customWidth="1"/>
    <col min="15874" max="15874" width="15.85546875" style="241" customWidth="1"/>
    <col min="15875" max="16128" width="9.140625" style="241"/>
    <col min="16129" max="16129" width="11.5703125" style="241" customWidth="1"/>
    <col min="16130" max="16130" width="15.85546875" style="241" customWidth="1"/>
    <col min="16131" max="16384" width="9.140625" style="241"/>
  </cols>
  <sheetData>
    <row r="1" spans="1:19" ht="74.25" customHeight="1" thickBot="1" x14ac:dyDescent="0.25">
      <c r="A1" s="260" t="s">
        <v>171</v>
      </c>
      <c r="B1" s="259" t="s">
        <v>182</v>
      </c>
      <c r="C1" s="258" t="s">
        <v>183</v>
      </c>
      <c r="D1" s="257" t="s">
        <v>180</v>
      </c>
      <c r="E1" s="256" t="s">
        <v>162</v>
      </c>
      <c r="F1" s="255"/>
      <c r="G1" s="293" t="s">
        <v>188</v>
      </c>
      <c r="H1" s="293"/>
      <c r="I1" s="293"/>
      <c r="J1" s="293"/>
      <c r="K1" s="293"/>
    </row>
    <row r="2" spans="1:19" x14ac:dyDescent="0.2">
      <c r="A2" s="274">
        <v>1993</v>
      </c>
      <c r="B2" s="241">
        <v>195</v>
      </c>
      <c r="E2" s="267" t="s">
        <v>13</v>
      </c>
      <c r="H2" s="290" t="s">
        <v>158</v>
      </c>
      <c r="I2" s="290"/>
      <c r="J2" s="290"/>
      <c r="K2" s="290"/>
      <c r="L2" s="290"/>
      <c r="M2" s="290"/>
      <c r="N2" s="248"/>
      <c r="O2" s="248"/>
    </row>
    <row r="3" spans="1:19" x14ac:dyDescent="0.2">
      <c r="A3" s="274">
        <v>1994</v>
      </c>
      <c r="B3" s="241">
        <v>143</v>
      </c>
      <c r="E3" s="267" t="s">
        <v>13</v>
      </c>
      <c r="H3" s="246" t="s">
        <v>163</v>
      </c>
      <c r="I3" s="254" t="s">
        <v>184</v>
      </c>
      <c r="J3" s="291" t="s">
        <v>185</v>
      </c>
      <c r="K3" s="290"/>
      <c r="L3" s="290"/>
      <c r="M3" s="290"/>
      <c r="N3" s="248"/>
      <c r="O3" s="248"/>
    </row>
    <row r="4" spans="1:19" x14ac:dyDescent="0.2">
      <c r="A4" s="274">
        <v>1995</v>
      </c>
      <c r="B4" s="241">
        <v>112</v>
      </c>
      <c r="E4" s="267" t="s">
        <v>13</v>
      </c>
      <c r="H4" s="246"/>
      <c r="I4" s="246"/>
      <c r="J4" s="272">
        <v>1</v>
      </c>
      <c r="K4" s="272">
        <v>2</v>
      </c>
      <c r="L4" s="272">
        <v>3</v>
      </c>
      <c r="M4" s="272">
        <v>4</v>
      </c>
      <c r="N4" s="265"/>
      <c r="O4" s="265"/>
      <c r="P4" s="265"/>
      <c r="Q4" s="265"/>
      <c r="R4" s="265"/>
      <c r="S4" s="265"/>
    </row>
    <row r="5" spans="1:19" x14ac:dyDescent="0.2">
      <c r="A5" s="274">
        <v>1996</v>
      </c>
      <c r="B5" s="241">
        <v>107</v>
      </c>
      <c r="C5" s="241">
        <f>SUM(B3:B6)/4</f>
        <v>132.25</v>
      </c>
      <c r="D5" s="241">
        <f>(C5+C6)/2</f>
        <v>140</v>
      </c>
      <c r="E5" s="241">
        <f>D5-B5</f>
        <v>33</v>
      </c>
      <c r="H5" s="246"/>
      <c r="I5" s="246">
        <v>1</v>
      </c>
      <c r="J5" s="273" t="s">
        <v>13</v>
      </c>
      <c r="K5" s="272" t="s">
        <v>13</v>
      </c>
      <c r="L5" s="273" t="s">
        <v>13</v>
      </c>
      <c r="M5" s="272">
        <f>E5</f>
        <v>33</v>
      </c>
      <c r="N5" s="268"/>
      <c r="O5" s="248"/>
    </row>
    <row r="6" spans="1:19" x14ac:dyDescent="0.2">
      <c r="A6" s="274">
        <v>1997</v>
      </c>
      <c r="B6" s="241">
        <v>167</v>
      </c>
      <c r="C6" s="241">
        <f t="shared" ref="C6:C14" si="0">SUM(B4:B7)/4</f>
        <v>147.75</v>
      </c>
      <c r="D6" s="241">
        <f t="shared" ref="D6:D13" si="1">(C6+C7)/2</f>
        <v>156</v>
      </c>
      <c r="E6" s="241">
        <f t="shared" ref="E6:E13" si="2">D6-B6</f>
        <v>-11</v>
      </c>
      <c r="H6" s="246"/>
      <c r="I6" s="246">
        <v>2</v>
      </c>
      <c r="J6" s="272">
        <f>E6</f>
        <v>-11</v>
      </c>
      <c r="K6" s="272">
        <f>E7</f>
        <v>-34.625</v>
      </c>
      <c r="L6" s="272">
        <f>E8</f>
        <v>1.25</v>
      </c>
      <c r="M6" s="272">
        <f>E9</f>
        <v>29.75</v>
      </c>
      <c r="N6" s="248"/>
      <c r="O6" s="248"/>
    </row>
    <row r="7" spans="1:19" x14ac:dyDescent="0.2">
      <c r="A7" s="274">
        <v>1998</v>
      </c>
      <c r="B7" s="241">
        <v>205</v>
      </c>
      <c r="C7" s="241">
        <f t="shared" si="0"/>
        <v>164.25</v>
      </c>
      <c r="D7" s="241">
        <f t="shared" si="1"/>
        <v>170.375</v>
      </c>
      <c r="E7" s="241">
        <f t="shared" si="2"/>
        <v>-34.625</v>
      </c>
      <c r="H7" s="246"/>
      <c r="I7" s="246">
        <v>3</v>
      </c>
      <c r="J7" s="272">
        <f>E10</f>
        <v>3.625</v>
      </c>
      <c r="K7" s="272">
        <f>E11</f>
        <v>-25.375</v>
      </c>
      <c r="L7" s="272">
        <f>E12</f>
        <v>26.75</v>
      </c>
      <c r="M7" s="272">
        <f>E13</f>
        <v>-25.75</v>
      </c>
      <c r="N7" s="248"/>
      <c r="O7" s="248"/>
    </row>
    <row r="8" spans="1:19" x14ac:dyDescent="0.2">
      <c r="A8" s="274">
        <v>1999</v>
      </c>
      <c r="B8" s="241">
        <v>178</v>
      </c>
      <c r="C8" s="241">
        <f t="shared" si="0"/>
        <v>176.5</v>
      </c>
      <c r="D8" s="241">
        <f t="shared" si="1"/>
        <v>179.25</v>
      </c>
      <c r="E8" s="241">
        <f t="shared" si="2"/>
        <v>1.25</v>
      </c>
      <c r="H8" s="246"/>
      <c r="I8" s="246"/>
      <c r="J8" s="272"/>
      <c r="K8" s="272"/>
      <c r="L8" s="272"/>
      <c r="M8" s="272"/>
      <c r="N8" s="248"/>
      <c r="O8" s="248"/>
    </row>
    <row r="9" spans="1:19" ht="15" customHeight="1" x14ac:dyDescent="0.2">
      <c r="A9" s="274">
        <v>2000</v>
      </c>
      <c r="B9" s="241">
        <v>156</v>
      </c>
      <c r="C9" s="241">
        <f t="shared" si="0"/>
        <v>182</v>
      </c>
      <c r="D9" s="241">
        <f t="shared" si="1"/>
        <v>185.75</v>
      </c>
      <c r="E9" s="241">
        <f t="shared" si="2"/>
        <v>29.75</v>
      </c>
      <c r="H9" s="247" t="s">
        <v>166</v>
      </c>
      <c r="I9" s="246"/>
      <c r="J9" s="246">
        <f>J6+J7+J8</f>
        <v>-7.375</v>
      </c>
      <c r="K9" s="246">
        <f>K6+K7+K8</f>
        <v>-60</v>
      </c>
      <c r="L9" s="246">
        <f>L8+L6+L7</f>
        <v>28</v>
      </c>
      <c r="M9" s="246">
        <f>M5+M6+M7+M8</f>
        <v>37</v>
      </c>
      <c r="N9" s="248"/>
      <c r="O9" s="248"/>
    </row>
    <row r="10" spans="1:19" ht="18" customHeight="1" x14ac:dyDescent="0.2">
      <c r="A10" s="274">
        <v>2001</v>
      </c>
      <c r="B10" s="241">
        <v>189</v>
      </c>
      <c r="C10" s="241">
        <f t="shared" si="0"/>
        <v>189.5</v>
      </c>
      <c r="D10" s="241">
        <f t="shared" si="1"/>
        <v>192.625</v>
      </c>
      <c r="E10" s="241">
        <f t="shared" si="2"/>
        <v>3.625</v>
      </c>
      <c r="H10" s="247" t="s">
        <v>167</v>
      </c>
      <c r="I10" s="246"/>
      <c r="J10" s="249">
        <f>J9/3</f>
        <v>-2.4583333333333335</v>
      </c>
      <c r="K10" s="249">
        <f>K9/3</f>
        <v>-20</v>
      </c>
      <c r="L10" s="249">
        <f>L9/3</f>
        <v>9.3333333333333339</v>
      </c>
      <c r="M10" s="249">
        <f>M9/3</f>
        <v>12.333333333333334</v>
      </c>
      <c r="N10" s="261">
        <f>SUM(J10:M10)</f>
        <v>-0.7916666666666643</v>
      </c>
      <c r="O10" s="248" t="s">
        <v>90</v>
      </c>
    </row>
    <row r="11" spans="1:19" ht="18" customHeight="1" x14ac:dyDescent="0.2">
      <c r="A11" s="274">
        <v>2002</v>
      </c>
      <c r="B11" s="241">
        <v>235</v>
      </c>
      <c r="C11" s="241">
        <f t="shared" si="0"/>
        <v>195.75</v>
      </c>
      <c r="D11" s="241">
        <f t="shared" si="1"/>
        <v>209.625</v>
      </c>
      <c r="E11" s="241">
        <f t="shared" si="2"/>
        <v>-25.375</v>
      </c>
      <c r="H11" s="247" t="s">
        <v>168</v>
      </c>
      <c r="I11" s="246"/>
      <c r="J11" s="245">
        <f>J10-$N$11</f>
        <v>-2.2604166666666674</v>
      </c>
      <c r="K11" s="245">
        <f>K10-$N$11</f>
        <v>-19.802083333333336</v>
      </c>
      <c r="L11" s="245">
        <f>L10-$N$11</f>
        <v>9.53125</v>
      </c>
      <c r="M11" s="245">
        <f>M10-$N$11</f>
        <v>12.53125</v>
      </c>
      <c r="N11" s="244">
        <f>N10/4</f>
        <v>-0.19791666666666607</v>
      </c>
      <c r="O11" s="243" t="s">
        <v>169</v>
      </c>
    </row>
    <row r="12" spans="1:19" x14ac:dyDescent="0.2">
      <c r="A12" s="274">
        <v>2003</v>
      </c>
      <c r="B12" s="241">
        <v>203</v>
      </c>
      <c r="C12" s="241">
        <f t="shared" si="0"/>
        <v>223.5</v>
      </c>
      <c r="D12" s="241">
        <f t="shared" si="1"/>
        <v>229.75</v>
      </c>
      <c r="E12" s="241">
        <f t="shared" si="2"/>
        <v>26.75</v>
      </c>
    </row>
    <row r="13" spans="1:19" x14ac:dyDescent="0.2">
      <c r="A13" s="274">
        <v>2004</v>
      </c>
      <c r="B13" s="241">
        <v>267</v>
      </c>
      <c r="C13" s="241">
        <f t="shared" si="0"/>
        <v>236</v>
      </c>
      <c r="D13" s="241">
        <f t="shared" si="1"/>
        <v>241.25</v>
      </c>
      <c r="E13" s="241">
        <f t="shared" si="2"/>
        <v>-25.75</v>
      </c>
    </row>
    <row r="14" spans="1:19" x14ac:dyDescent="0.2">
      <c r="A14" s="274">
        <v>2005</v>
      </c>
      <c r="B14" s="241">
        <v>239</v>
      </c>
      <c r="C14" s="241">
        <f t="shared" si="0"/>
        <v>246.5</v>
      </c>
    </row>
    <row r="15" spans="1:19" x14ac:dyDescent="0.2">
      <c r="A15" s="274">
        <v>2006</v>
      </c>
      <c r="B15" s="241">
        <v>277</v>
      </c>
    </row>
    <row r="16" spans="1:19" x14ac:dyDescent="0.2">
      <c r="A16" s="274"/>
    </row>
    <row r="17" spans="1:11" x14ac:dyDescent="0.2">
      <c r="A17" s="274"/>
    </row>
    <row r="18" spans="1:11" x14ac:dyDescent="0.2">
      <c r="A18" s="274"/>
    </row>
    <row r="19" spans="1:11" x14ac:dyDescent="0.2">
      <c r="A19" s="274"/>
    </row>
    <row r="22" spans="1:11" x14ac:dyDescent="0.2">
      <c r="B22" s="292" t="s">
        <v>170</v>
      </c>
      <c r="C22" s="292"/>
      <c r="D22" s="292"/>
      <c r="E22" s="292"/>
      <c r="F22" s="292"/>
      <c r="G22" s="292"/>
      <c r="H22" s="292"/>
      <c r="I22" s="292"/>
      <c r="J22" s="248"/>
      <c r="K22" s="248"/>
    </row>
    <row r="23" spans="1:11" ht="18" x14ac:dyDescent="0.35">
      <c r="B23" s="263" t="s">
        <v>171</v>
      </c>
      <c r="C23" s="263" t="s">
        <v>160</v>
      </c>
      <c r="D23" s="263" t="s">
        <v>172</v>
      </c>
      <c r="E23" s="264" t="s">
        <v>173</v>
      </c>
      <c r="F23" s="264" t="s">
        <v>174</v>
      </c>
      <c r="G23" s="264" t="s">
        <v>175</v>
      </c>
      <c r="H23" s="264" t="s">
        <v>176</v>
      </c>
      <c r="I23" s="264" t="s">
        <v>177</v>
      </c>
      <c r="J23" s="248"/>
      <c r="K23" s="248"/>
    </row>
    <row r="24" spans="1:11" x14ac:dyDescent="0.2">
      <c r="B24" s="263">
        <v>1</v>
      </c>
      <c r="C24" s="269">
        <v>2</v>
      </c>
      <c r="D24" s="263">
        <v>3</v>
      </c>
      <c r="E24" s="263">
        <v>4</v>
      </c>
      <c r="F24" s="263">
        <v>5</v>
      </c>
      <c r="G24" s="263">
        <v>6</v>
      </c>
      <c r="H24" s="263">
        <v>7</v>
      </c>
      <c r="I24" s="263">
        <v>8</v>
      </c>
      <c r="J24" s="248"/>
      <c r="K24" s="248"/>
    </row>
    <row r="25" spans="1:11" x14ac:dyDescent="0.2">
      <c r="B25" s="263">
        <v>1</v>
      </c>
      <c r="C25" s="241">
        <v>195</v>
      </c>
      <c r="D25" s="261">
        <f>$J$11</f>
        <v>-2.2604166666666674</v>
      </c>
      <c r="E25" s="261">
        <f>C25-D25</f>
        <v>197.26041666666666</v>
      </c>
      <c r="F25" s="261">
        <f>12.686*B25+76.8</f>
        <v>89.48599999999999</v>
      </c>
      <c r="G25" s="261">
        <f>F25+D25</f>
        <v>87.225583333333319</v>
      </c>
      <c r="H25" s="261">
        <f>C25-G25</f>
        <v>107.77441666666668</v>
      </c>
      <c r="I25" s="248">
        <f>H25*H25</f>
        <v>11615.324887840281</v>
      </c>
      <c r="J25" s="248"/>
      <c r="K25" s="248"/>
    </row>
    <row r="26" spans="1:11" x14ac:dyDescent="0.2">
      <c r="B26" s="263">
        <v>2</v>
      </c>
      <c r="C26" s="241">
        <v>143</v>
      </c>
      <c r="D26" s="261">
        <f>$K$11</f>
        <v>-19.802083333333336</v>
      </c>
      <c r="E26" s="261">
        <f>C26-D26</f>
        <v>162.80208333333334</v>
      </c>
      <c r="F26" s="261">
        <f t="shared" ref="F26:F38" si="3">12.686*B26+76.8</f>
        <v>102.172</v>
      </c>
      <c r="G26" s="261">
        <f t="shared" ref="G26:G38" si="4">F26+D26</f>
        <v>82.369916666666654</v>
      </c>
      <c r="H26" s="261">
        <f t="shared" ref="H26:H38" si="5">C26-G26</f>
        <v>60.630083333333346</v>
      </c>
      <c r="I26" s="248">
        <f t="shared" ref="I26:I38" si="6">H26*H26</f>
        <v>3676.0070050069457</v>
      </c>
      <c r="J26" s="248"/>
      <c r="K26" s="248"/>
    </row>
    <row r="27" spans="1:11" x14ac:dyDescent="0.2">
      <c r="B27" s="263">
        <v>3</v>
      </c>
      <c r="C27" s="241">
        <v>112</v>
      </c>
      <c r="D27" s="261">
        <f>$L$11</f>
        <v>9.53125</v>
      </c>
      <c r="E27" s="261">
        <f t="shared" ref="E27:E38" si="7">C27-D27</f>
        <v>102.46875</v>
      </c>
      <c r="F27" s="261">
        <f t="shared" si="3"/>
        <v>114.858</v>
      </c>
      <c r="G27" s="261">
        <f t="shared" si="4"/>
        <v>124.38925</v>
      </c>
      <c r="H27" s="261">
        <f t="shared" si="5"/>
        <v>-12.389250000000004</v>
      </c>
      <c r="I27" s="248">
        <f t="shared" si="6"/>
        <v>153.49351556250011</v>
      </c>
      <c r="J27" s="248"/>
      <c r="K27" s="248"/>
    </row>
    <row r="28" spans="1:11" x14ac:dyDescent="0.2">
      <c r="B28" s="263">
        <v>4</v>
      </c>
      <c r="C28" s="241">
        <v>107</v>
      </c>
      <c r="D28" s="261">
        <f>$M$11</f>
        <v>12.53125</v>
      </c>
      <c r="E28" s="261">
        <f t="shared" si="7"/>
        <v>94.46875</v>
      </c>
      <c r="F28" s="261">
        <f t="shared" si="3"/>
        <v>127.544</v>
      </c>
      <c r="G28" s="261">
        <f t="shared" si="4"/>
        <v>140.07524999999998</v>
      </c>
      <c r="H28" s="261">
        <f t="shared" si="5"/>
        <v>-33.075249999999983</v>
      </c>
      <c r="I28" s="248">
        <f t="shared" si="6"/>
        <v>1093.9721625624989</v>
      </c>
      <c r="J28" s="248"/>
      <c r="K28" s="248"/>
    </row>
    <row r="29" spans="1:11" x14ac:dyDescent="0.2">
      <c r="B29" s="263">
        <v>5</v>
      </c>
      <c r="C29" s="241">
        <v>167</v>
      </c>
      <c r="D29" s="261">
        <f>$J$11</f>
        <v>-2.2604166666666674</v>
      </c>
      <c r="E29" s="261">
        <f t="shared" si="7"/>
        <v>169.26041666666666</v>
      </c>
      <c r="F29" s="261">
        <f t="shared" si="3"/>
        <v>140.22999999999999</v>
      </c>
      <c r="G29" s="261">
        <f t="shared" si="4"/>
        <v>137.96958333333333</v>
      </c>
      <c r="H29" s="261">
        <f t="shared" si="5"/>
        <v>29.030416666666667</v>
      </c>
      <c r="I29" s="248">
        <f t="shared" si="6"/>
        <v>842.76509184027782</v>
      </c>
      <c r="J29" s="248"/>
      <c r="K29" s="248"/>
    </row>
    <row r="30" spans="1:11" x14ac:dyDescent="0.2">
      <c r="B30" s="263">
        <v>6</v>
      </c>
      <c r="C30" s="241">
        <v>205</v>
      </c>
      <c r="D30" s="261">
        <f>$K$11</f>
        <v>-19.802083333333336</v>
      </c>
      <c r="E30" s="261">
        <f t="shared" si="7"/>
        <v>224.80208333333334</v>
      </c>
      <c r="F30" s="261">
        <f t="shared" si="3"/>
        <v>152.916</v>
      </c>
      <c r="G30" s="261">
        <f t="shared" si="4"/>
        <v>133.11391666666665</v>
      </c>
      <c r="H30" s="261">
        <f t="shared" si="5"/>
        <v>71.886083333333346</v>
      </c>
      <c r="I30" s="248">
        <f t="shared" si="6"/>
        <v>5167.6089770069466</v>
      </c>
      <c r="J30" s="248"/>
      <c r="K30" s="248"/>
    </row>
    <row r="31" spans="1:11" x14ac:dyDescent="0.2">
      <c r="B31" s="263">
        <v>7</v>
      </c>
      <c r="C31" s="241">
        <v>178</v>
      </c>
      <c r="D31" s="261">
        <f>$L$11</f>
        <v>9.53125</v>
      </c>
      <c r="E31" s="261">
        <f t="shared" si="7"/>
        <v>168.46875</v>
      </c>
      <c r="F31" s="261">
        <f t="shared" si="3"/>
        <v>165.60199999999998</v>
      </c>
      <c r="G31" s="261">
        <f t="shared" si="4"/>
        <v>175.13324999999998</v>
      </c>
      <c r="H31" s="261">
        <f t="shared" si="5"/>
        <v>2.8667500000000246</v>
      </c>
      <c r="I31" s="248">
        <f t="shared" si="6"/>
        <v>8.2182555625001417</v>
      </c>
      <c r="J31" s="248"/>
      <c r="K31" s="248"/>
    </row>
    <row r="32" spans="1:11" x14ac:dyDescent="0.2">
      <c r="B32" s="263">
        <v>8</v>
      </c>
      <c r="C32" s="241">
        <v>156</v>
      </c>
      <c r="D32" s="261">
        <f>$M$11</f>
        <v>12.53125</v>
      </c>
      <c r="E32" s="261">
        <f t="shared" si="7"/>
        <v>143.46875</v>
      </c>
      <c r="F32" s="261">
        <f t="shared" si="3"/>
        <v>178.28800000000001</v>
      </c>
      <c r="G32" s="261">
        <f t="shared" si="4"/>
        <v>190.81925000000001</v>
      </c>
      <c r="H32" s="261">
        <f t="shared" si="5"/>
        <v>-34.819250000000011</v>
      </c>
      <c r="I32" s="248">
        <f t="shared" si="6"/>
        <v>1212.3801705625008</v>
      </c>
      <c r="J32" s="248"/>
      <c r="K32" s="248"/>
    </row>
    <row r="33" spans="2:11" x14ac:dyDescent="0.2">
      <c r="B33" s="263">
        <v>9</v>
      </c>
      <c r="C33" s="241">
        <v>189</v>
      </c>
      <c r="D33" s="261">
        <f>$J$11</f>
        <v>-2.2604166666666674</v>
      </c>
      <c r="E33" s="261">
        <f t="shared" si="7"/>
        <v>191.26041666666666</v>
      </c>
      <c r="F33" s="261">
        <f t="shared" si="3"/>
        <v>190.97399999999999</v>
      </c>
      <c r="G33" s="261">
        <f t="shared" si="4"/>
        <v>188.71358333333333</v>
      </c>
      <c r="H33" s="261">
        <f t="shared" si="5"/>
        <v>0.28641666666666765</v>
      </c>
      <c r="I33" s="248">
        <f t="shared" si="6"/>
        <v>8.2034506944445015E-2</v>
      </c>
      <c r="J33" s="248"/>
      <c r="K33" s="248"/>
    </row>
    <row r="34" spans="2:11" x14ac:dyDescent="0.2">
      <c r="B34" s="263">
        <v>10</v>
      </c>
      <c r="C34" s="241">
        <v>235</v>
      </c>
      <c r="D34" s="261">
        <f>$K$11</f>
        <v>-19.802083333333336</v>
      </c>
      <c r="E34" s="261">
        <f t="shared" si="7"/>
        <v>254.80208333333334</v>
      </c>
      <c r="F34" s="261">
        <f t="shared" si="3"/>
        <v>203.66</v>
      </c>
      <c r="G34" s="261">
        <f t="shared" si="4"/>
        <v>183.85791666666665</v>
      </c>
      <c r="H34" s="261">
        <f t="shared" si="5"/>
        <v>51.142083333333346</v>
      </c>
      <c r="I34" s="248">
        <f t="shared" si="6"/>
        <v>2615.5126876736126</v>
      </c>
      <c r="J34" s="248"/>
      <c r="K34" s="248"/>
    </row>
    <row r="35" spans="2:11" x14ac:dyDescent="0.2">
      <c r="B35" s="263">
        <v>11</v>
      </c>
      <c r="C35" s="241">
        <v>203</v>
      </c>
      <c r="D35" s="261">
        <f>$L$11</f>
        <v>9.53125</v>
      </c>
      <c r="E35" s="261">
        <f t="shared" si="7"/>
        <v>193.46875</v>
      </c>
      <c r="F35" s="261">
        <f t="shared" si="3"/>
        <v>216.346</v>
      </c>
      <c r="G35" s="261">
        <f t="shared" si="4"/>
        <v>225.87725</v>
      </c>
      <c r="H35" s="261">
        <f t="shared" si="5"/>
        <v>-22.877250000000004</v>
      </c>
      <c r="I35" s="248">
        <f t="shared" si="6"/>
        <v>523.36856756250017</v>
      </c>
      <c r="J35" s="248"/>
      <c r="K35" s="248"/>
    </row>
    <row r="36" spans="2:11" x14ac:dyDescent="0.2">
      <c r="B36" s="263">
        <v>12</v>
      </c>
      <c r="C36" s="241">
        <v>267</v>
      </c>
      <c r="D36" s="261">
        <f>$M$11</f>
        <v>12.53125</v>
      </c>
      <c r="E36" s="261">
        <f t="shared" si="7"/>
        <v>254.46875</v>
      </c>
      <c r="F36" s="261">
        <f t="shared" si="3"/>
        <v>229.03199999999998</v>
      </c>
      <c r="G36" s="261">
        <f t="shared" si="4"/>
        <v>241.56324999999998</v>
      </c>
      <c r="H36" s="261">
        <f t="shared" si="5"/>
        <v>25.436750000000018</v>
      </c>
      <c r="I36" s="248">
        <f t="shared" si="6"/>
        <v>647.02825056250094</v>
      </c>
      <c r="J36" s="248"/>
      <c r="K36" s="248"/>
    </row>
    <row r="37" spans="2:11" x14ac:dyDescent="0.2">
      <c r="B37" s="263">
        <v>13</v>
      </c>
      <c r="C37" s="241">
        <v>239</v>
      </c>
      <c r="D37" s="261">
        <f>$J$11</f>
        <v>-2.2604166666666674</v>
      </c>
      <c r="E37" s="261">
        <f t="shared" si="7"/>
        <v>241.26041666666666</v>
      </c>
      <c r="F37" s="261">
        <f t="shared" si="3"/>
        <v>241.71800000000002</v>
      </c>
      <c r="G37" s="261">
        <f t="shared" si="4"/>
        <v>239.45758333333336</v>
      </c>
      <c r="H37" s="261">
        <f t="shared" si="5"/>
        <v>-0.45758333333336054</v>
      </c>
      <c r="I37" s="248">
        <f t="shared" si="6"/>
        <v>0.20938250694446933</v>
      </c>
      <c r="J37" s="248"/>
      <c r="K37" s="248"/>
    </row>
    <row r="38" spans="2:11" x14ac:dyDescent="0.2">
      <c r="B38" s="263">
        <v>14</v>
      </c>
      <c r="C38" s="241">
        <v>277</v>
      </c>
      <c r="D38" s="261">
        <f>$K$11</f>
        <v>-19.802083333333336</v>
      </c>
      <c r="E38" s="261">
        <f t="shared" si="7"/>
        <v>296.80208333333331</v>
      </c>
      <c r="F38" s="261">
        <f t="shared" si="3"/>
        <v>254.404</v>
      </c>
      <c r="G38" s="261">
        <f t="shared" si="4"/>
        <v>234.60191666666665</v>
      </c>
      <c r="H38" s="261">
        <f t="shared" si="5"/>
        <v>42.398083333333346</v>
      </c>
      <c r="I38" s="248">
        <f t="shared" si="6"/>
        <v>1797.597470340279</v>
      </c>
      <c r="J38" s="248"/>
      <c r="K38" s="248">
        <f>(1-I39/G39)*100</f>
        <v>53.664825028856711</v>
      </c>
    </row>
    <row r="39" spans="2:11" x14ac:dyDescent="0.2">
      <c r="B39" s="248" t="s">
        <v>90</v>
      </c>
      <c r="C39" s="248"/>
      <c r="D39" s="248"/>
      <c r="E39" s="248"/>
      <c r="F39" s="248"/>
      <c r="G39" s="248">
        <f>VAR(G24:G38)*14</f>
        <v>63350.507422013849</v>
      </c>
      <c r="H39" s="248"/>
      <c r="I39" s="248">
        <f>SUM(I25:I38)</f>
        <v>29353.568459097234</v>
      </c>
      <c r="J39" s="248"/>
      <c r="K39" s="248">
        <f>100-K38</f>
        <v>46.335174971143289</v>
      </c>
    </row>
    <row r="40" spans="2:11" x14ac:dyDescent="0.2">
      <c r="B40" s="263"/>
      <c r="D40" s="261"/>
      <c r="E40" s="261"/>
      <c r="F40" s="261"/>
      <c r="G40" s="261"/>
      <c r="H40" s="261"/>
      <c r="I40" s="248"/>
      <c r="J40" s="248"/>
      <c r="K40" s="248"/>
    </row>
    <row r="41" spans="2:11" x14ac:dyDescent="0.2">
      <c r="B41" s="265"/>
      <c r="D41" s="261"/>
      <c r="E41" s="261"/>
      <c r="F41" s="261"/>
      <c r="G41" s="261"/>
      <c r="H41" s="261"/>
      <c r="I41" s="248"/>
      <c r="J41" s="248"/>
      <c r="K41" s="248"/>
    </row>
    <row r="42" spans="2:11" x14ac:dyDescent="0.2">
      <c r="B42" s="265"/>
      <c r="D42" s="261"/>
      <c r="E42" s="261"/>
      <c r="F42" s="261"/>
      <c r="G42" s="261"/>
      <c r="H42" s="261"/>
      <c r="I42" s="248"/>
      <c r="J42" s="248"/>
      <c r="K42" s="248"/>
    </row>
    <row r="43" spans="2:11" x14ac:dyDescent="0.2">
      <c r="J43" s="248"/>
    </row>
    <row r="44" spans="2:11" x14ac:dyDescent="0.2">
      <c r="B44" s="248"/>
      <c r="C44" s="248"/>
      <c r="D44" s="248"/>
      <c r="E44" s="248"/>
      <c r="F44" s="248"/>
      <c r="G44" s="248"/>
      <c r="H44" s="248"/>
      <c r="I44" s="248"/>
      <c r="J44" s="248"/>
    </row>
  </sheetData>
  <mergeCells count="4">
    <mergeCell ref="G1:K1"/>
    <mergeCell ref="H2:M2"/>
    <mergeCell ref="J3:M3"/>
    <mergeCell ref="B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Врем.ряд (доллар)</vt:lpstr>
      <vt:lpstr>Врем.ряд(зп)</vt:lpstr>
      <vt:lpstr>Плохое зп</vt:lpstr>
      <vt:lpstr>Так себе зп</vt:lpstr>
      <vt:lpstr>Врем ряд</vt:lpstr>
      <vt:lpstr>Врем ряд (Дзюба)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2017-12-27T06:51:35Z</dcterms:modified>
</cp:coreProperties>
</file>