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画面設計書\"/>
    </mc:Choice>
  </mc:AlternateContent>
  <xr:revisionPtr revIDLastSave="0" documentId="13_ncr:1_{3CD82E34-1E6F-4D54-874E-150EDD77017A}" xr6:coauthVersionLast="44" xr6:coauthVersionMax="44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ﾊﾟﾀｰﾝ1'!$S$64</definedName>
    <definedName name="calculation_tariff" localSheetId="0">'ver.4.0.1 ﾊﾟﾀｰﾝ1'!$S$62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list_payoff_blank" localSheetId="0">'ver.4.0.1 ﾊﾟﾀｰﾝ1'!$P$99</definedName>
    <definedName name="hdn_main_product" localSheetId="0">'ver.4.0.1 ﾊﾟﾀｰﾝ1'!$U$100</definedName>
    <definedName name="hdn_payoff_circle" localSheetId="0">'ver.4.0.1 ﾊﾟﾀｰﾝ1'!$P$100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ﾊﾟﾀｰﾝ1'!$V$97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code" localSheetId="0">'ver.4.0.1 ﾊﾟﾀｰﾝ1'!$C$60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code" localSheetId="0">'ver.4.0.1 ﾊﾟﾀｰﾝ1'!$C$33</definedName>
    <definedName name="order_f_stocksubjectcode" localSheetId="0">'ver.4.0.1 ﾊﾟﾀｰﾝ1'!$A$33</definedName>
    <definedName name="order_f_subtotalprice" localSheetId="0">'ver.4.0.1 ﾊﾟﾀｰﾝ1'!$K$33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code" localSheetId="0">'ver.4.0.1 ﾊﾟﾀｰﾝ1'!$C$18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code" localSheetId="0">'ver.4.0.1 ﾊﾟﾀｰﾝ1'!$C$6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ariff_total" localSheetId="0">'ver.4.0.1 ﾊﾟﾀｰﾝ1'!$S$65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5" i="6" l="1"/>
  <c r="I84" i="6"/>
  <c r="I83" i="6"/>
  <c r="I80" i="6"/>
  <c r="I79" i="6"/>
  <c r="J7" i="6" l="1"/>
  <c r="K7" i="6" s="1"/>
  <c r="K35" i="6"/>
  <c r="K36" i="6"/>
  <c r="K37" i="6"/>
  <c r="K38" i="6"/>
  <c r="K40" i="6"/>
  <c r="K41" i="6"/>
  <c r="K42" i="6"/>
  <c r="K43" i="6"/>
  <c r="K44" i="6"/>
  <c r="K46" i="6"/>
  <c r="K47" i="6"/>
  <c r="K48" i="6"/>
  <c r="K49" i="6"/>
  <c r="K50" i="6"/>
  <c r="K51" i="6"/>
  <c r="K52" i="6"/>
  <c r="K53" i="6"/>
  <c r="K54" i="6"/>
  <c r="K55" i="6"/>
  <c r="K56" i="6"/>
  <c r="K57" i="6"/>
  <c r="K34" i="6"/>
  <c r="K20" i="6"/>
  <c r="K21" i="6"/>
  <c r="K22" i="6"/>
  <c r="K23" i="6"/>
  <c r="K24" i="6"/>
  <c r="K25" i="6"/>
  <c r="K26" i="6"/>
  <c r="K27" i="6"/>
  <c r="K28" i="6"/>
  <c r="K29" i="6"/>
  <c r="K30" i="6"/>
  <c r="K19" i="6"/>
  <c r="K8" i="6"/>
  <c r="K9" i="6"/>
  <c r="K10" i="6"/>
  <c r="K11" i="6"/>
  <c r="K12" i="6"/>
  <c r="K13" i="6"/>
  <c r="K14" i="6"/>
  <c r="K15" i="6"/>
  <c r="P4" i="6" l="1"/>
  <c r="J86" i="6"/>
  <c r="U77" i="6" l="1"/>
  <c r="U61" i="6"/>
  <c r="J82" i="6"/>
  <c r="G86" i="6" l="1"/>
  <c r="G77" i="6" l="1"/>
  <c r="G62" i="6"/>
  <c r="K62" i="6" s="1"/>
  <c r="G63" i="6"/>
  <c r="K63" i="6" s="1"/>
  <c r="G64" i="6"/>
  <c r="K64" i="6" s="1"/>
  <c r="G65" i="6"/>
  <c r="K65" i="6" s="1"/>
  <c r="G61" i="6"/>
  <c r="K61" i="6" s="1"/>
  <c r="G76" i="6"/>
  <c r="K76" i="6" s="1"/>
  <c r="G75" i="6"/>
  <c r="K75" i="6" s="1"/>
  <c r="G74" i="6"/>
  <c r="K74" i="6" s="1"/>
  <c r="G73" i="6"/>
  <c r="K73" i="6" s="1"/>
  <c r="G72" i="6"/>
  <c r="K72" i="6" s="1"/>
  <c r="G71" i="6"/>
  <c r="K71" i="6" s="1"/>
  <c r="G70" i="6"/>
  <c r="K70" i="6" s="1"/>
  <c r="G69" i="6"/>
  <c r="K69" i="6" s="1"/>
  <c r="G68" i="6"/>
  <c r="K68" i="6" s="1"/>
  <c r="G67" i="6"/>
  <c r="K67" i="6" s="1"/>
  <c r="G66" i="6"/>
  <c r="K66" i="6" s="1"/>
  <c r="G79" i="6"/>
  <c r="K79" i="6" s="1"/>
  <c r="G80" i="6"/>
  <c r="K80" i="6" s="1"/>
  <c r="G81" i="6"/>
  <c r="K81" i="6" s="1"/>
  <c r="G82" i="6"/>
  <c r="K82" i="6" s="1"/>
  <c r="G83" i="6"/>
  <c r="K83" i="6" s="1"/>
  <c r="G84" i="6"/>
  <c r="K84" i="6" s="1"/>
  <c r="G85" i="6"/>
  <c r="K85" i="6" s="1"/>
  <c r="G78" i="6"/>
  <c r="K78" i="6" s="1"/>
  <c r="J85" i="6" l="1"/>
  <c r="J84" i="6"/>
  <c r="J83" i="6"/>
  <c r="J81" i="6"/>
  <c r="J80" i="6"/>
  <c r="Q86" i="6"/>
  <c r="Q85" i="6"/>
  <c r="Q84" i="6"/>
  <c r="Q82" i="6"/>
  <c r="Q81" i="6"/>
  <c r="J76" i="6" l="1"/>
  <c r="J75" i="6"/>
  <c r="J74" i="6"/>
  <c r="J73" i="6"/>
  <c r="J72" i="6"/>
  <c r="J71" i="6"/>
  <c r="J70" i="6"/>
  <c r="J69" i="6"/>
  <c r="J68" i="6"/>
  <c r="J67" i="6"/>
  <c r="J66" i="6"/>
  <c r="J65" i="6"/>
  <c r="J64" i="6"/>
  <c r="J57" i="6"/>
  <c r="J56" i="6"/>
  <c r="J55" i="6"/>
  <c r="J54" i="6"/>
  <c r="J53" i="6"/>
  <c r="J52" i="6"/>
  <c r="J51" i="6"/>
  <c r="J50" i="6"/>
  <c r="J48" i="6"/>
  <c r="J44" i="6"/>
  <c r="J43" i="6"/>
  <c r="J42" i="6"/>
  <c r="J41" i="6"/>
  <c r="J40" i="6"/>
  <c r="J38" i="6"/>
  <c r="J37" i="6"/>
  <c r="J36" i="6"/>
  <c r="J35" i="6"/>
  <c r="J34" i="6"/>
  <c r="J30" i="6"/>
  <c r="J29" i="6"/>
  <c r="J28" i="6"/>
  <c r="J27" i="6"/>
  <c r="J26" i="6"/>
  <c r="J25" i="6"/>
  <c r="J24" i="6"/>
  <c r="J23" i="6"/>
  <c r="J22" i="6"/>
  <c r="J21" i="6"/>
  <c r="J20" i="6"/>
  <c r="J15" i="6"/>
  <c r="J14" i="6"/>
  <c r="J13" i="6"/>
  <c r="J10" i="6"/>
  <c r="J9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U78" i="6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W61" i="6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U7" i="6"/>
  <c r="W7" i="6" s="1"/>
  <c r="U34" i="6"/>
  <c r="W34" i="6" s="1"/>
  <c r="N58" i="6" l="1"/>
  <c r="W77" i="6"/>
  <c r="J77" i="6"/>
  <c r="W78" i="6"/>
  <c r="J78" i="6"/>
  <c r="W79" i="6"/>
  <c r="J79" i="6"/>
  <c r="J39" i="6"/>
  <c r="K39" i="6" s="1"/>
  <c r="J47" i="6"/>
  <c r="W47" i="6"/>
  <c r="J62" i="6"/>
  <c r="J63" i="6"/>
  <c r="J11" i="6"/>
  <c r="J45" i="6"/>
  <c r="K45" i="6" s="1"/>
  <c r="J49" i="6"/>
  <c r="W39" i="6"/>
  <c r="J12" i="6"/>
  <c r="J19" i="6"/>
  <c r="J46" i="6"/>
  <c r="J61" i="6"/>
  <c r="W62" i="6"/>
  <c r="J8" i="6"/>
  <c r="W8" i="6"/>
  <c r="K93" i="6" l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I185" i="6" l="1"/>
  <c r="H185" i="6"/>
  <c r="G185" i="6"/>
  <c r="F185" i="6"/>
  <c r="E185" i="6"/>
  <c r="C185" i="6"/>
  <c r="A158" i="6"/>
  <c r="C158" i="6" s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/>
  <c r="I31" i="6" l="1"/>
  <c r="H88" i="6" s="1"/>
  <c r="I16" i="6"/>
  <c r="C88" i="6" s="1"/>
  <c r="G93" i="6"/>
  <c r="I93" i="6" s="1"/>
  <c r="G92" i="6"/>
  <c r="E158" i="6"/>
  <c r="I58" i="6"/>
  <c r="O94" i="6"/>
  <c r="S62" i="6" l="1"/>
  <c r="I77" i="6" s="1"/>
  <c r="N88" i="6"/>
  <c r="N90" i="6" s="1"/>
  <c r="S61" i="6"/>
  <c r="C159" i="6"/>
  <c r="E159" i="6"/>
  <c r="F158" i="6"/>
  <c r="H89" i="6"/>
  <c r="K89" i="6" s="1"/>
  <c r="K77" i="6" l="1"/>
  <c r="E160" i="6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S65" i="6" l="1"/>
  <c r="S64" i="6" s="1"/>
  <c r="I86" i="6" s="1"/>
  <c r="J93" i="4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F161" i="6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E163" i="6" l="1"/>
  <c r="C163" i="6"/>
  <c r="F162" i="6"/>
  <c r="C162" i="4"/>
  <c r="F162" i="4" s="1"/>
  <c r="I92" i="4"/>
  <c r="J94" i="4"/>
  <c r="E164" i="4"/>
  <c r="F163" i="6" l="1"/>
  <c r="E164" i="6"/>
  <c r="C164" i="6"/>
  <c r="C163" i="4"/>
  <c r="C164" i="4" s="1"/>
  <c r="F164" i="4" s="1"/>
  <c r="I94" i="4"/>
  <c r="C89" i="4"/>
  <c r="E165" i="4"/>
  <c r="F164" i="6" l="1"/>
  <c r="C165" i="6"/>
  <c r="E165" i="6"/>
  <c r="C165" i="4"/>
  <c r="F165" i="4" s="1"/>
  <c r="F163" i="4"/>
  <c r="E166" i="4"/>
  <c r="M89" i="4"/>
  <c r="D89" i="4"/>
  <c r="E166" i="6" l="1"/>
  <c r="C166" i="6"/>
  <c r="F165" i="6"/>
  <c r="C166" i="4"/>
  <c r="F166" i="4" s="1"/>
  <c r="O89" i="4"/>
  <c r="M91" i="4"/>
  <c r="O91" i="4" s="1"/>
  <c r="E167" i="4"/>
  <c r="F166" i="6" l="1"/>
  <c r="C167" i="6"/>
  <c r="E167" i="6"/>
  <c r="C167" i="4"/>
  <c r="F167" i="4" s="1"/>
  <c r="E168" i="4"/>
  <c r="E168" i="6" l="1"/>
  <c r="C168" i="6"/>
  <c r="F167" i="6"/>
  <c r="C168" i="4"/>
  <c r="F168" i="4" s="1"/>
  <c r="E169" i="4"/>
  <c r="F168" i="6" l="1"/>
  <c r="E169" i="6"/>
  <c r="C169" i="6"/>
  <c r="C169" i="4"/>
  <c r="C170" i="4" s="1"/>
  <c r="E170" i="4"/>
  <c r="F169" i="6" l="1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0" i="6" l="1"/>
  <c r="S63" i="6"/>
  <c r="K92" i="6" l="1"/>
  <c r="K94" i="6" l="1"/>
  <c r="I94" i="6" s="1"/>
  <c r="I92" i="6"/>
  <c r="C89" i="6" l="1"/>
  <c r="N89" i="6" s="1"/>
  <c r="N91" i="6" s="1"/>
  <c r="P91" i="6" s="1"/>
  <c r="P89" i="6" l="1"/>
  <c r="D8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<sst xmlns="http://schemas.openxmlformats.org/spreadsheetml/2006/main" count="975" uniqueCount="306">
  <si>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</si>
  <si>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</si>
  <si>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</si>
  <si>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</si>
  <si>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</si>
  <si>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</si>
  <si>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</si>
  <si>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</si>
  <si>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</si>
  <si>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</si>
  <si>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</si>
  <si>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</si>
  <si>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</si>
  <si>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</si>
  <si>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</si>
  <si>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</si>
  <si>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</si>
  <si>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</si>
  <si>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</si>
  <si>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</si>
  <si>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</si>
  <si>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</si>
  <si>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</si>
  <si>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</si>
  <si>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</si>
  <si>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</si>
  <si>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</si>
  <si>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</si>
  <si>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</si>
  <si>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</si>
  <si>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</si>
  <si>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</si>
  <si>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</si>
  <si>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</si>
  <si>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</si>
  <si>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</si>
  <si>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</si>
  <si>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</si>
  <si>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</si>
  <si>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</si>
  <si>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</si>
  <si>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</si>
  <si>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</si>
  <si>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</si>
  <si>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</si>
  <si>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</si>
  <si>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</si>
  <si>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</si>
  <si>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</si>
  <si>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</si>
  <si>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</si>
  <si>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</si>
  <si>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</si>
  <si>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</si>
  <si>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</si>
  <si>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</si>
  <si>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</si>
  <si>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</si>
  <si>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</si>
  <si>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</si>
  <si>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</si>
  <si>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</si>
  <si>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</si>
  <si>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</si>
  <si>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</si>
  <si>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</si>
  <si>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</si>
  <si>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</si>
  <si>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</si>
  <si>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</si>
  <si>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</si>
  <si>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</si>
  <si>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</si>
  <si>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</si>
  <si>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</si>
  <si>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</si>
  <si>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</si>
  <si>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</si>
  <si>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</si>
  <si>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</si>
  <si>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</si>
  <si>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</si>
  <si>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</si>
  <si>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</si>
  <si>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</si>
  <si>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</si>
  <si>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</si>
  <si>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</si>
  <si>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</si>
  <si>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</si>
  <si>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</si>
  <si>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</si>
  <si>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</si>
  <si>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</si>
  <si>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</si>
  <si>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</si>
  <si>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</si>
  <si>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</si>
  <si>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</si>
  <si>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</si>
  <si>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</si>
  <si>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</si>
  <si>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</si>
  <si>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</si>
  <si>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</si>
  <si>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</si>
  <si>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</si>
  <si>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</si>
  <si>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</si>
  <si>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</si>
  <si>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</si>
  <si>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</si>
  <si>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</si>
  <si>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</si>
  <si>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</si>
  <si>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</si>
  <si>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</si>
  <si>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</si>
  <si>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</si>
  <si>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</si>
  <si>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</si>
  <si>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</si>
  <si>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</si>
  <si>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</si>
  <si>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</si>
  <si>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</si>
  <si>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</si>
  <si>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</si>
  <si>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</si>
  <si>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</si>
  <si>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</si>
  <si>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</si>
  <si>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</si>
  <si>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</si>
  <si>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</si>
  <si>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</si>
  <si>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</si>
  <si>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</si>
  <si>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</si>
  <si>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</si>
  <si>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</si>
  <si>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</si>
  <si>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</si>
  <si>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</si>
  <si>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</si>
  <si>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</si>
  <si>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</si>
  <si>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</si>
  <si>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</si>
  <si>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</si>
  <si>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</si>
  <si>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</si>
  <si>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</si>
  <si>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</si>
  <si>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</si>
  <si>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</si>
  <si>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</si>
  <si>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</si>
  <si>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</si>
  <si>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</si>
  <si>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</si>
  <si>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</si>
  <si>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</si>
  <si>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</si>
  <si>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</si>
  <si>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</si>
  <si>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</si>
  <si>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</si>
  <si>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</si>
  <si>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</si>
  <si>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</si>
  <si>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</si>
  <si>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</si>
  <si>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</si>
  <si>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</si>
  <si>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</si>
  <si>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</si>
  <si>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</si>
  <si>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</si>
  <si>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</si>
  <si>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</si>
  <si>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</si>
  <si>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</si>
  <si>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</si>
  <si>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</si>
  <si>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</si>
  <si>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</si>
  <si>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</si>
  <si>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</si>
  <si>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</si>
  <si>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</si>
  <si>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</si>
  <si>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</si>
  <si>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</si>
  <si>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</si>
  <si>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</si>
  <si>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</si>
  <si>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</si>
  <si>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</si>
  <si>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</si>
  <si>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</si>
  <si>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</si>
  <si>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</si>
  <si>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</si>
  <si>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</si>
  <si>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</si>
  <si>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</si>
  <si>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</si>
  <si>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</si>
  <si>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</si>
  <si>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</si>
  <si>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</si>
  <si>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</si>
  <si>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</si>
  <si>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</si>
  <si>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</si>
  <si>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</si>
  <si>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</si>
  <si>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</si>
  <si>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</si>
  <si>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</si>
  <si>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</si>
  <si>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</si>
  <si>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</si>
  <si>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</si>
  <si>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</si>
  <si>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</si>
  <si>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</si>
  <si>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</si>
  <si>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</si>
  <si>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</si>
  <si>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</si>
  <si>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</si>
  <si>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</si>
  <si>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</si>
  <si>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</si>
  <si>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</si>
  <si>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</si>
  <si>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</si>
  <si>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</si>
  <si>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</si>
  <si>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</si>
  <si>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</si>
  <si>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</si>
  <si>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</si>
  <si>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</si>
  <si>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</si>
  <si>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</si>
  <si>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</si>
  <si>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</si>
  <si>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</si>
  <si>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</si>
  <si>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</si>
  <si>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</si>
  <si>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</si>
  <si>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</si>
  <si>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</si>
  <si>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</si>
  <si>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</si>
  <si>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</si>
  <si>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</si>
  <si>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test</t>
    <phoneticPr fontId="3"/>
  </si>
  <si>
    <t>1:製造経費</t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</si>
  <si>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</si>
  <si>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</si>
  <si>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</si>
  <si>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</si>
  <si>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</si>
  <si>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</si>
  <si>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</si>
  <si>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</si>
  <si>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</si>
  <si>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</si>
  <si>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</si>
  <si>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</si>
  <si>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</si>
  <si>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</si>
  <si>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</si>
  <si>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</si>
  <si>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</si>
  <si>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</si>
  <si>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</si>
  <si>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</si>
  <si>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</si>
  <si>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</si>
  <si>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</si>
  <si>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</si>
  <si>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</si>
  <si>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</si>
  <si>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</si>
  <si>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</si>
  <si>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</si>
  <si>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</si>
  <si>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</si>
  <si>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</si>
  <si>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</si>
  <si>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</si>
  <si>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</si>
  <si>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</si>
  <si>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</si>
  <si>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</si>
  <si>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</si>
  <si>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</si>
  <si>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2:輸入費用</t>
  </si>
  <si>
    <t>固定　％で可　単価も可</t>
  </si>
  <si>
    <t>aaa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</si>
</sst>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10" fontId="10" fillId="0" borderId="36" xfId="0" applyNumberFormat="1" applyFont="1" applyBorder="1" applyAlignment="1"/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0" xfId="0" applyNumberFormat="1" applyFont="1" applyFill="1" applyBorder="1" applyAlignment="1">
      <alignment horizontal="right"/>
    </xf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Z189"/>
  <sheetViews>
    <sheetView showZeros="0" tabSelected="1" showOutlineSymbols="0" view="pageBreakPreview" zoomScaleNormal="100" zoomScaleSheetLayoutView="100" workbookViewId="0">
      <selection activeCell="N12" sqref="N12:P12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6" ht="10.5" customHeight="1">
      <c r="P1" s="60" t="s">
        <v>213</v>
      </c>
    </row>
    <row r="2" spans="1:26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457"/>
      <c r="L2" s="111"/>
      <c r="M2" s="111"/>
      <c r="N2" s="111"/>
      <c r="O2" s="111"/>
      <c r="P2" s="111"/>
    </row>
    <row r="3" spans="1:26" ht="28.65" customHeight="1">
      <c r="A3" s="239" t="s">
        <v>2</v>
      </c>
      <c r="B3" s="240"/>
      <c r="C3" s="241" t="s">
        <v>3</v>
      </c>
      <c r="D3" s="458" t="s">
        <v>205</v>
      </c>
      <c r="E3" s="459"/>
      <c r="F3" s="459"/>
      <c r="G3" s="459"/>
      <c r="H3" s="460"/>
      <c r="I3" s="241" t="s">
        <v>260</v>
      </c>
      <c r="J3" s="458" t="s">
        <v>261</v>
      </c>
      <c r="K3" s="459"/>
      <c r="L3" s="459"/>
      <c r="M3" s="459"/>
      <c r="N3" s="460"/>
      <c r="O3" s="242" t="s">
        <v>64</v>
      </c>
      <c r="P3" s="289">
        <v>1250</v>
      </c>
    </row>
    <row r="4" spans="1:26" ht="14.25" customHeight="1" thickBot="1">
      <c r="A4" s="5" t="s">
        <v>201</v>
      </c>
      <c r="B4" s="461" t="s">
        <v>294</v>
      </c>
      <c r="C4" s="461"/>
      <c r="D4" s="234" t="s">
        <v>256</v>
      </c>
      <c r="E4" s="462" t="s">
        <v>225</v>
      </c>
      <c r="F4" s="463"/>
      <c r="G4" s="464"/>
      <c r="H4" s="465" t="s">
        <v>202</v>
      </c>
      <c r="I4" s="466"/>
      <c r="J4" s="467" t="s">
        <v>218</v>
      </c>
      <c r="K4" s="467"/>
      <c r="L4" s="465" t="s">
        <v>4</v>
      </c>
      <c r="M4" s="466"/>
      <c r="N4" s="220">
        <v>100</v>
      </c>
      <c r="O4" s="233" t="s">
        <v>255</v>
      </c>
      <c r="P4" s="290" t="e">
        <f>SUMPRODUCT(($A7:$B15=$S$100)*($C7:$C15=$U$100)*($K7:$K15&lt;&gt;"")*($I7:$I15&lt;&gt;"")*($M7:$M15&lt;&gt;"")*$G7:$G15)</f>
        <v>#VALUE!</v>
      </c>
    </row>
    <row r="5" spans="1:26" ht="6.75" customHeight="1" thickBot="1">
      <c r="A5" s="468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70"/>
    </row>
    <row r="6" spans="1:26" ht="18" customHeight="1">
      <c r="A6" s="451" t="s">
        <v>5</v>
      </c>
      <c r="B6" s="452"/>
      <c r="C6" s="204" t="s">
        <v>6</v>
      </c>
      <c r="D6" s="453" t="s">
        <v>7</v>
      </c>
      <c r="E6" s="454"/>
      <c r="F6" s="452"/>
      <c r="G6" s="205" t="s">
        <v>8</v>
      </c>
      <c r="H6" s="206" t="s">
        <v>9</v>
      </c>
      <c r="I6" s="207" t="s">
        <v>10</v>
      </c>
      <c r="J6" s="222" t="s">
        <v>259</v>
      </c>
      <c r="K6" s="455" t="s">
        <v>11</v>
      </c>
      <c r="L6" s="456"/>
      <c r="M6" s="208" t="s">
        <v>238</v>
      </c>
      <c r="N6" s="436" t="s">
        <v>257</v>
      </c>
      <c r="O6" s="437"/>
      <c r="P6" s="438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V6" s="272" t="s">
        <v>285</v>
      </c>
      <c r="W6" s="272" t="s">
        <v>286</v>
      </c>
      <c r="X6" s="272" t="s">
        <v>287</v>
      </c>
      <c r="Y6" s="272" t="s">
        <v>288</v>
      </c>
      <c r="Z6" s="272" t="s">
        <v>289</v>
      </c>
    </row>
    <row r="7" spans="1:26" ht="14.1" customHeight="1">
      <c r="A7" s="439" t="s">
        <v>266</v>
      </c>
      <c r="B7" s="440"/>
      <c r="C7" s="185" t="s">
        <v>233</v>
      </c>
      <c r="D7" s="441"/>
      <c r="E7" s="442"/>
      <c r="F7" s="443"/>
      <c r="G7" s="146">
        <v>10000</v>
      </c>
      <c r="H7" s="187" t="s">
        <v>14</v>
      </c>
      <c r="I7" s="148">
        <v>0</v>
      </c>
      <c r="J7" s="223">
        <f t="shared" ref="J7:J15" si="0">IF(ISBLANK(M7),0,IF(ISBLANK(H7),1,SUMIFS($X$98:$X$110,$V$98:$V$110,V7,$W$98:$W$110,U7,$Y$98:$Y$110,Y7,$Z$98:$Z$110,Z7)))</f>
        <v>1</v>
      </c>
      <c r="K7" s="410">
        <f>IFERROR(G7*I7*J7,"")</f>
        <v>0</v>
      </c>
      <c r="L7" s="411"/>
      <c r="M7" s="214">
        <v>43646</v>
      </c>
      <c r="N7" s="448"/>
      <c r="O7" s="449"/>
      <c r="P7" s="450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  <c r="U7" s="1">
        <f t="shared" ref="U7:U15" si="1"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&lt;=43646</v>
      </c>
      <c r="Z7" s="1" t="str">
        <f>CONCATENATE("&gt;=",M7)</f>
        <v>&gt;=43646</v>
      </c>
    </row>
    <row r="8" spans="1:26" ht="14.1" customHeight="1">
      <c r="A8" s="439" t="s">
        <v>266</v>
      </c>
      <c r="B8" s="440"/>
      <c r="C8" s="185" t="s">
        <v>233</v>
      </c>
      <c r="D8" s="441"/>
      <c r="E8" s="442"/>
      <c r="F8" s="443"/>
      <c r="G8" s="149" t="s">
        <v>305</v>
      </c>
      <c r="H8" s="188" t="s">
        <v>148</v>
      </c>
      <c r="I8" s="151">
        <v>10</v>
      </c>
      <c r="J8" s="223">
        <f t="shared" si="0"/>
        <v>110</v>
      </c>
      <c r="K8" s="410" t="str">
        <f t="shared" ref="K8:K15" si="2">IFERROR(G8*I8*J8,"")</f>
        <v/>
      </c>
      <c r="L8" s="411"/>
      <c r="M8" s="214">
        <v>43646</v>
      </c>
      <c r="N8" s="448"/>
      <c r="O8" s="449"/>
      <c r="P8" s="450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  <c r="U8" s="1">
        <f t="shared" si="1"/>
        <v>2</v>
      </c>
      <c r="V8" s="1">
        <v>2</v>
      </c>
      <c r="W8" s="1">
        <f t="shared" ref="W8:W15" si="3">U8</f>
        <v>2</v>
      </c>
      <c r="Y8" s="1" t="str">
        <f>CONCATENATE("&lt;=",M8)</f>
        <v>&lt;=43646</v>
      </c>
      <c r="Z8" s="1" t="str">
        <f>CONCATENATE("&gt;=",M8)</f>
        <v>&gt;=43646</v>
      </c>
    </row>
    <row r="9" spans="1:26" ht="14.1" customHeight="1">
      <c r="A9" s="439" t="s">
        <v>266</v>
      </c>
      <c r="B9" s="440"/>
      <c r="C9" s="185" t="s">
        <v>233</v>
      </c>
      <c r="D9" s="441"/>
      <c r="E9" s="442"/>
      <c r="F9" s="443"/>
      <c r="G9" s="149"/>
      <c r="H9" s="188" t="s">
        <v>14</v>
      </c>
      <c r="I9" s="151"/>
      <c r="J9" s="224">
        <f t="shared" si="0"/>
        <v>0</v>
      </c>
      <c r="K9" s="410">
        <f t="shared" si="2"/>
        <v>0</v>
      </c>
      <c r="L9" s="411"/>
      <c r="M9" s="213"/>
      <c r="N9" s="444"/>
      <c r="O9" s="444"/>
      <c r="P9" s="445"/>
      <c r="Q9" s="1">
        <f>IF(C9&lt;&gt;0,IF(A9=$A$98,VLOOKUP(C9,$A$100:$A$108,1,TRUE),IF(A9=$C$98,VLOOKUP(C9,$C$100:$C$110,1,TRUE),IF(A9=$E$98,VLOOKUP(C9,$E$100:$E$108,1,TRUE),))),)</f>
        <v>0</v>
      </c>
      <c r="U9" s="1">
        <f t="shared" si="1"/>
        <v>1</v>
      </c>
      <c r="V9" s="1">
        <v>2</v>
      </c>
      <c r="W9" s="1">
        <f t="shared" si="3"/>
        <v>1</v>
      </c>
      <c r="X9" s="15"/>
      <c r="Y9" s="1" t="str">
        <f t="shared" ref="Y9:Y15" si="4">CONCATENATE("&lt;=",M9)</f>
        <v>&lt;=</v>
      </c>
      <c r="Z9" s="1" t="str">
        <f t="shared" ref="Z9:Z15" si="5">CONCATENATE("&gt;=",M9)</f>
        <v>&gt;=</v>
      </c>
    </row>
    <row r="10" spans="1:26" ht="14.1" customHeight="1">
      <c r="A10" s="439" t="s">
        <v>266</v>
      </c>
      <c r="B10" s="440"/>
      <c r="C10" s="185" t="s">
        <v>234</v>
      </c>
      <c r="D10" s="441"/>
      <c r="E10" s="442"/>
      <c r="F10" s="443"/>
      <c r="G10" s="149"/>
      <c r="H10" s="188" t="s">
        <v>14</v>
      </c>
      <c r="I10" s="151"/>
      <c r="J10" s="224">
        <f t="shared" si="0"/>
        <v>0</v>
      </c>
      <c r="K10" s="410">
        <f t="shared" si="2"/>
        <v>0</v>
      </c>
      <c r="L10" s="411"/>
      <c r="M10" s="213"/>
      <c r="N10" s="444"/>
      <c r="O10" s="444"/>
      <c r="P10" s="445"/>
      <c r="T10" s="15"/>
      <c r="U10" s="1">
        <f t="shared" si="1"/>
        <v>1</v>
      </c>
      <c r="V10" s="1">
        <v>2</v>
      </c>
      <c r="W10" s="1">
        <f t="shared" si="3"/>
        <v>1</v>
      </c>
      <c r="X10" s="15"/>
      <c r="Y10" s="1" t="str">
        <f t="shared" si="4"/>
        <v>&lt;=</v>
      </c>
      <c r="Z10" s="1" t="str">
        <f t="shared" si="5"/>
        <v>&gt;=</v>
      </c>
    </row>
    <row r="11" spans="1:26" ht="14.1" customHeight="1">
      <c r="A11" s="439" t="s">
        <v>266</v>
      </c>
      <c r="B11" s="440"/>
      <c r="C11" s="185" t="s">
        <v>235</v>
      </c>
      <c r="D11" s="441"/>
      <c r="E11" s="442"/>
      <c r="F11" s="443"/>
      <c r="G11" s="149">
        <v>24</v>
      </c>
      <c r="H11" s="188" t="s">
        <v>14</v>
      </c>
      <c r="I11" s="151">
        <v>1200</v>
      </c>
      <c r="J11" s="224">
        <f t="shared" si="0"/>
        <v>1</v>
      </c>
      <c r="K11" s="410">
        <f t="shared" si="2"/>
        <v>28800</v>
      </c>
      <c r="L11" s="411"/>
      <c r="M11" s="213">
        <v>43070</v>
      </c>
      <c r="N11" s="444"/>
      <c r="O11" s="444"/>
      <c r="P11" s="445"/>
      <c r="T11" s="15"/>
      <c r="U11" s="1">
        <f t="shared" si="1"/>
        <v>1</v>
      </c>
      <c r="V11" s="1">
        <v>2</v>
      </c>
      <c r="W11" s="1">
        <f t="shared" si="3"/>
        <v>1</v>
      </c>
      <c r="X11" s="15"/>
      <c r="Y11" s="1" t="str">
        <f t="shared" si="4"/>
        <v>&lt;=43070</v>
      </c>
      <c r="Z11" s="1" t="str">
        <f t="shared" si="5"/>
        <v>&gt;=43070</v>
      </c>
    </row>
    <row r="12" spans="1:26" ht="14.1" customHeight="1">
      <c r="A12" s="439" t="s">
        <v>266</v>
      </c>
      <c r="B12" s="440"/>
      <c r="C12" s="185" t="s">
        <v>236</v>
      </c>
      <c r="D12" s="441"/>
      <c r="E12" s="442"/>
      <c r="F12" s="443"/>
      <c r="G12" s="149">
        <v>96</v>
      </c>
      <c r="H12" s="188" t="s">
        <v>14</v>
      </c>
      <c r="I12" s="151">
        <v>1200</v>
      </c>
      <c r="J12" s="224">
        <f t="shared" si="0"/>
        <v>1</v>
      </c>
      <c r="K12" s="410">
        <f t="shared" si="2"/>
        <v>115200</v>
      </c>
      <c r="L12" s="411"/>
      <c r="M12" s="213">
        <v>43062</v>
      </c>
      <c r="N12" s="444"/>
      <c r="O12" s="444"/>
      <c r="P12" s="445"/>
      <c r="T12" s="15"/>
      <c r="U12" s="1">
        <f t="shared" si="1"/>
        <v>1</v>
      </c>
      <c r="V12" s="1">
        <v>2</v>
      </c>
      <c r="W12" s="1">
        <f t="shared" si="3"/>
        <v>1</v>
      </c>
      <c r="X12" s="15"/>
      <c r="Y12" s="1" t="str">
        <f t="shared" si="4"/>
        <v>&lt;=43062</v>
      </c>
      <c r="Z12" s="1" t="str">
        <f t="shared" si="5"/>
        <v>&gt;=43062</v>
      </c>
    </row>
    <row r="13" spans="1:26" ht="14.1" customHeight="1">
      <c r="A13" s="439" t="s">
        <v>266</v>
      </c>
      <c r="B13" s="440"/>
      <c r="C13" s="185"/>
      <c r="D13" s="441"/>
      <c r="E13" s="442"/>
      <c r="F13" s="443"/>
      <c r="G13" s="149"/>
      <c r="H13" s="188" t="s">
        <v>14</v>
      </c>
      <c r="I13" s="151"/>
      <c r="J13" s="224">
        <f t="shared" si="0"/>
        <v>0</v>
      </c>
      <c r="K13" s="410">
        <f t="shared" si="2"/>
        <v>0</v>
      </c>
      <c r="L13" s="411"/>
      <c r="M13" s="213"/>
      <c r="N13" s="444"/>
      <c r="O13" s="444"/>
      <c r="P13" s="445"/>
      <c r="T13" s="15"/>
      <c r="U13" s="1">
        <f t="shared" si="1"/>
        <v>1</v>
      </c>
      <c r="V13" s="1">
        <v>2</v>
      </c>
      <c r="W13" s="1">
        <f t="shared" si="3"/>
        <v>1</v>
      </c>
      <c r="X13" s="15"/>
      <c r="Y13" s="1" t="str">
        <f t="shared" si="4"/>
        <v>&lt;=</v>
      </c>
      <c r="Z13" s="1" t="str">
        <f t="shared" si="5"/>
        <v>&gt;=</v>
      </c>
    </row>
    <row r="14" spans="1:26" ht="14.1" customHeight="1">
      <c r="A14" s="439" t="s">
        <v>266</v>
      </c>
      <c r="B14" s="440"/>
      <c r="C14" s="185"/>
      <c r="D14" s="441"/>
      <c r="E14" s="442"/>
      <c r="F14" s="443"/>
      <c r="G14" s="149"/>
      <c r="H14" s="188" t="s">
        <v>14</v>
      </c>
      <c r="I14" s="151"/>
      <c r="J14" s="224">
        <f t="shared" si="0"/>
        <v>0</v>
      </c>
      <c r="K14" s="410">
        <f t="shared" si="2"/>
        <v>0</v>
      </c>
      <c r="L14" s="411"/>
      <c r="M14" s="213"/>
      <c r="N14" s="444"/>
      <c r="O14" s="444"/>
      <c r="P14" s="445"/>
      <c r="T14" s="15"/>
      <c r="U14" s="1">
        <f t="shared" si="1"/>
        <v>1</v>
      </c>
      <c r="V14" s="1">
        <v>2</v>
      </c>
      <c r="W14" s="1">
        <f t="shared" si="3"/>
        <v>1</v>
      </c>
      <c r="X14" s="15"/>
      <c r="Y14" s="1" t="str">
        <f t="shared" si="4"/>
        <v>&lt;=</v>
      </c>
      <c r="Z14" s="1" t="str">
        <f t="shared" si="5"/>
        <v>&gt;=</v>
      </c>
    </row>
    <row r="15" spans="1:26" ht="14.1" customHeight="1" thickBot="1">
      <c r="A15" s="439" t="s">
        <v>266</v>
      </c>
      <c r="B15" s="440"/>
      <c r="C15" s="186"/>
      <c r="D15" s="441"/>
      <c r="E15" s="442"/>
      <c r="F15" s="443"/>
      <c r="G15" s="153"/>
      <c r="H15" s="189" t="s">
        <v>14</v>
      </c>
      <c r="I15" s="155"/>
      <c r="J15" s="225">
        <f t="shared" si="0"/>
        <v>0</v>
      </c>
      <c r="K15" s="410">
        <f t="shared" si="2"/>
        <v>0</v>
      </c>
      <c r="L15" s="411"/>
      <c r="M15" s="215"/>
      <c r="N15" s="446"/>
      <c r="O15" s="446"/>
      <c r="P15" s="447"/>
      <c r="Q15" s="1">
        <f>IF(C15&lt;&gt;0,IF(A15=$A$98,VLOOKUP(C15,$A$100:$A$108,1,TRUE),IF(A15=$C$98,VLOOKUP(C15,$C$100:$C$110,1,TRUE),IF(A15=$E$98,VLOOKUP(C15,$E$100:$E$108,1,TRUE),))),)</f>
        <v>0</v>
      </c>
      <c r="T15" s="15"/>
      <c r="U15" s="1">
        <f t="shared" si="1"/>
        <v>1</v>
      </c>
      <c r="V15" s="1">
        <v>2</v>
      </c>
      <c r="W15" s="1">
        <f t="shared" si="3"/>
        <v>1</v>
      </c>
      <c r="X15" s="15"/>
      <c r="Y15" s="1" t="str">
        <f t="shared" si="4"/>
        <v>&lt;=</v>
      </c>
      <c r="Z15" s="1" t="str">
        <f t="shared" si="5"/>
        <v>&gt;=</v>
      </c>
    </row>
    <row r="16" spans="1:26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10120</v>
      </c>
      <c r="H16" s="156"/>
      <c r="I16" s="425">
        <f>SUM(K7:K15)</f>
        <v>144000</v>
      </c>
      <c r="J16" s="426"/>
      <c r="K16" s="426"/>
      <c r="L16" s="427"/>
      <c r="M16" s="216"/>
      <c r="N16" s="428"/>
      <c r="O16" s="428"/>
      <c r="P16" s="429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6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4"/>
      <c r="S17" s="15"/>
      <c r="T17" s="15"/>
      <c r="U17" s="15"/>
      <c r="V17" s="15"/>
      <c r="W17" s="15"/>
      <c r="X17" s="15"/>
      <c r="Y17" s="15"/>
    </row>
    <row r="18" spans="1:26" ht="18" customHeight="1">
      <c r="A18" s="430" t="s">
        <v>5</v>
      </c>
      <c r="B18" s="431"/>
      <c r="C18" s="209" t="s">
        <v>6</v>
      </c>
      <c r="D18" s="432" t="s">
        <v>7</v>
      </c>
      <c r="E18" s="433"/>
      <c r="F18" s="431"/>
      <c r="G18" s="210" t="s">
        <v>8</v>
      </c>
      <c r="H18" s="211" t="s">
        <v>9</v>
      </c>
      <c r="I18" s="212" t="s">
        <v>10</v>
      </c>
      <c r="J18" s="222" t="s">
        <v>259</v>
      </c>
      <c r="K18" s="434" t="s">
        <v>11</v>
      </c>
      <c r="L18" s="435"/>
      <c r="M18" s="208" t="s">
        <v>238</v>
      </c>
      <c r="N18" s="436" t="s">
        <v>257</v>
      </c>
      <c r="O18" s="437"/>
      <c r="P18" s="438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72" t="s">
        <v>285</v>
      </c>
      <c r="W18" s="272" t="s">
        <v>286</v>
      </c>
      <c r="X18" s="272" t="s">
        <v>287</v>
      </c>
      <c r="Y18" s="272" t="s">
        <v>288</v>
      </c>
      <c r="Z18" s="272" t="s">
        <v>289</v>
      </c>
    </row>
    <row r="19" spans="1:26" ht="14.1" customHeight="1">
      <c r="A19" s="405" t="s">
        <v>12</v>
      </c>
      <c r="B19" s="406"/>
      <c r="C19" s="190" t="s">
        <v>13</v>
      </c>
      <c r="D19" s="407"/>
      <c r="E19" s="408"/>
      <c r="F19" s="409"/>
      <c r="G19" s="10">
        <v>1</v>
      </c>
      <c r="H19" s="191" t="s">
        <v>14</v>
      </c>
      <c r="I19" s="11">
        <v>85000</v>
      </c>
      <c r="J19" s="226">
        <f t="shared" ref="J19:J30" si="6">IF(ISBLANK(M19),0,IF(ISBLANK(H19),1,SUMIFS($X$98:$X$110,$V$98:$V$110,V19,$W$98:$W$110,U19,$Y$98:$Y$110,Y19,$Z$98:$Z$110,Z19)))</f>
        <v>1</v>
      </c>
      <c r="K19" s="410">
        <f>IFERROR(G19*I19*J19,"")</f>
        <v>85000</v>
      </c>
      <c r="L19" s="411"/>
      <c r="M19" s="214">
        <v>43089</v>
      </c>
      <c r="N19" s="419"/>
      <c r="O19" s="420"/>
      <c r="P19" s="421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  <c r="U19" s="1">
        <f t="shared" ref="U19:U30" si="7">IFERROR(VLOOKUP(H19,$Q$99:$R$101,2,FALSE),1)</f>
        <v>1</v>
      </c>
      <c r="V19" s="1">
        <v>2</v>
      </c>
      <c r="W19" s="1">
        <f t="shared" ref="W19:W30" si="8">U19</f>
        <v>1</v>
      </c>
      <c r="Y19" s="1" t="str">
        <f t="shared" ref="Y19:Y30" si="9">CONCATENATE("&lt;=",M19)</f>
        <v>&lt;=43089</v>
      </c>
      <c r="Z19" s="1" t="str">
        <f t="shared" ref="Z19:Z30" si="10">CONCATENATE("&gt;=",M19)</f>
        <v>&gt;=43089</v>
      </c>
    </row>
    <row r="20" spans="1:26" ht="14.1" customHeight="1">
      <c r="A20" s="405" t="s">
        <v>12</v>
      </c>
      <c r="B20" s="406"/>
      <c r="C20" s="190" t="s">
        <v>15</v>
      </c>
      <c r="D20" s="407"/>
      <c r="E20" s="408"/>
      <c r="F20" s="409"/>
      <c r="G20" s="12"/>
      <c r="H20" s="192" t="s">
        <v>14</v>
      </c>
      <c r="I20" s="13"/>
      <c r="J20" s="227">
        <f t="shared" si="6"/>
        <v>0</v>
      </c>
      <c r="K20" s="410">
        <f t="shared" ref="K20:K30" si="11">IFERROR(G20*I20*J20,"")</f>
        <v>0</v>
      </c>
      <c r="L20" s="411"/>
      <c r="M20" s="214"/>
      <c r="N20" s="419"/>
      <c r="O20" s="420"/>
      <c r="P20" s="421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  <c r="U20" s="1">
        <f t="shared" si="7"/>
        <v>1</v>
      </c>
      <c r="V20" s="1">
        <v>2</v>
      </c>
      <c r="W20" s="1">
        <f t="shared" si="8"/>
        <v>1</v>
      </c>
      <c r="Y20" s="1" t="str">
        <f t="shared" si="9"/>
        <v>&lt;=</v>
      </c>
      <c r="Z20" s="1" t="str">
        <f t="shared" si="10"/>
        <v>&gt;=</v>
      </c>
    </row>
    <row r="21" spans="1:26" ht="14.1" customHeight="1">
      <c r="A21" s="405" t="s">
        <v>12</v>
      </c>
      <c r="B21" s="406"/>
      <c r="C21" s="190" t="s">
        <v>16</v>
      </c>
      <c r="D21" s="407"/>
      <c r="E21" s="408"/>
      <c r="F21" s="409"/>
      <c r="G21" s="12"/>
      <c r="H21" s="192" t="s">
        <v>14</v>
      </c>
      <c r="I21" s="13"/>
      <c r="J21" s="227">
        <f t="shared" si="6"/>
        <v>0</v>
      </c>
      <c r="K21" s="410">
        <f t="shared" si="11"/>
        <v>0</v>
      </c>
      <c r="L21" s="411"/>
      <c r="M21" s="214"/>
      <c r="N21" s="364"/>
      <c r="O21" s="364"/>
      <c r="P21" s="365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7"/>
        <v>1</v>
      </c>
      <c r="V21" s="1">
        <v>2</v>
      </c>
      <c r="W21" s="1">
        <f t="shared" si="8"/>
        <v>1</v>
      </c>
      <c r="X21" s="15"/>
      <c r="Y21" s="1" t="str">
        <f t="shared" si="9"/>
        <v>&lt;=</v>
      </c>
      <c r="Z21" s="1" t="str">
        <f t="shared" si="10"/>
        <v>&gt;=</v>
      </c>
    </row>
    <row r="22" spans="1:26" ht="14.1" customHeight="1">
      <c r="A22" s="405" t="s">
        <v>12</v>
      </c>
      <c r="B22" s="406"/>
      <c r="C22" s="190" t="s">
        <v>17</v>
      </c>
      <c r="D22" s="407"/>
      <c r="E22" s="408"/>
      <c r="F22" s="409"/>
      <c r="G22" s="12"/>
      <c r="H22" s="192" t="s">
        <v>14</v>
      </c>
      <c r="I22" s="13"/>
      <c r="J22" s="227">
        <f t="shared" si="6"/>
        <v>0</v>
      </c>
      <c r="K22" s="410">
        <f t="shared" si="11"/>
        <v>0</v>
      </c>
      <c r="L22" s="411"/>
      <c r="M22" s="214"/>
      <c r="N22" s="364"/>
      <c r="O22" s="364"/>
      <c r="P22" s="365"/>
      <c r="S22" s="14"/>
      <c r="T22" s="15"/>
      <c r="U22" s="1">
        <f t="shared" si="7"/>
        <v>1</v>
      </c>
      <c r="V22" s="1">
        <v>2</v>
      </c>
      <c r="W22" s="1">
        <f t="shared" si="8"/>
        <v>1</v>
      </c>
      <c r="X22" s="15"/>
      <c r="Y22" s="1" t="str">
        <f t="shared" si="9"/>
        <v>&lt;=</v>
      </c>
      <c r="Z22" s="1" t="str">
        <f t="shared" si="10"/>
        <v>&gt;=</v>
      </c>
    </row>
    <row r="23" spans="1:26" ht="14.1" customHeight="1">
      <c r="A23" s="405" t="s">
        <v>12</v>
      </c>
      <c r="B23" s="406"/>
      <c r="C23" s="190" t="s">
        <v>18</v>
      </c>
      <c r="D23" s="407"/>
      <c r="E23" s="408"/>
      <c r="F23" s="409"/>
      <c r="G23" s="12"/>
      <c r="H23" s="192" t="s">
        <v>14</v>
      </c>
      <c r="I23" s="13"/>
      <c r="J23" s="227">
        <f t="shared" si="6"/>
        <v>0</v>
      </c>
      <c r="K23" s="410">
        <f t="shared" si="11"/>
        <v>0</v>
      </c>
      <c r="L23" s="411"/>
      <c r="M23" s="214"/>
      <c r="N23" s="364"/>
      <c r="O23" s="364"/>
      <c r="P23" s="365"/>
      <c r="S23" s="14"/>
      <c r="T23" s="15"/>
      <c r="U23" s="1">
        <f t="shared" si="7"/>
        <v>1</v>
      </c>
      <c r="V23" s="1">
        <v>2</v>
      </c>
      <c r="W23" s="1">
        <f t="shared" si="8"/>
        <v>1</v>
      </c>
      <c r="X23" s="15"/>
      <c r="Y23" s="1" t="str">
        <f t="shared" si="9"/>
        <v>&lt;=</v>
      </c>
      <c r="Z23" s="1" t="str">
        <f t="shared" si="10"/>
        <v>&gt;=</v>
      </c>
    </row>
    <row r="24" spans="1:26" ht="14.1" customHeight="1">
      <c r="A24" s="405" t="s">
        <v>12</v>
      </c>
      <c r="B24" s="406"/>
      <c r="C24" s="190" t="s">
        <v>19</v>
      </c>
      <c r="D24" s="407"/>
      <c r="E24" s="408"/>
      <c r="F24" s="409"/>
      <c r="G24" s="12"/>
      <c r="H24" s="192" t="s">
        <v>14</v>
      </c>
      <c r="I24" s="13"/>
      <c r="J24" s="227">
        <f t="shared" si="6"/>
        <v>0</v>
      </c>
      <c r="K24" s="410">
        <f t="shared" si="11"/>
        <v>0</v>
      </c>
      <c r="L24" s="411"/>
      <c r="M24" s="214"/>
      <c r="N24" s="364"/>
      <c r="O24" s="364"/>
      <c r="P24" s="365"/>
      <c r="S24" s="14"/>
      <c r="T24" s="15"/>
      <c r="U24" s="1">
        <f t="shared" si="7"/>
        <v>1</v>
      </c>
      <c r="V24" s="1">
        <v>2</v>
      </c>
      <c r="W24" s="1">
        <f t="shared" si="8"/>
        <v>1</v>
      </c>
      <c r="X24" s="15"/>
      <c r="Y24" s="1" t="str">
        <f t="shared" si="9"/>
        <v>&lt;=</v>
      </c>
      <c r="Z24" s="1" t="str">
        <f t="shared" si="10"/>
        <v>&gt;=</v>
      </c>
    </row>
    <row r="25" spans="1:26" ht="14.1" customHeight="1">
      <c r="A25" s="405" t="s">
        <v>270</v>
      </c>
      <c r="B25" s="406"/>
      <c r="C25" s="190" t="s">
        <v>20</v>
      </c>
      <c r="D25" s="407"/>
      <c r="E25" s="408"/>
      <c r="F25" s="409"/>
      <c r="G25" s="12"/>
      <c r="H25" s="192" t="s">
        <v>14</v>
      </c>
      <c r="I25" s="13"/>
      <c r="J25" s="227">
        <f t="shared" si="6"/>
        <v>0</v>
      </c>
      <c r="K25" s="410">
        <f t="shared" si="11"/>
        <v>0</v>
      </c>
      <c r="L25" s="411"/>
      <c r="M25" s="214"/>
      <c r="N25" s="364"/>
      <c r="O25" s="364"/>
      <c r="P25" s="365"/>
      <c r="S25" s="14"/>
      <c r="T25" s="15"/>
      <c r="U25" s="1">
        <f t="shared" si="7"/>
        <v>1</v>
      </c>
      <c r="V25" s="1">
        <v>2</v>
      </c>
      <c r="W25" s="1">
        <f t="shared" si="8"/>
        <v>1</v>
      </c>
      <c r="X25" s="15"/>
      <c r="Y25" s="1" t="str">
        <f t="shared" si="9"/>
        <v>&lt;=</v>
      </c>
      <c r="Z25" s="1" t="str">
        <f t="shared" si="10"/>
        <v>&gt;=</v>
      </c>
    </row>
    <row r="26" spans="1:26" ht="14.1" customHeight="1">
      <c r="A26" s="405" t="s">
        <v>12</v>
      </c>
      <c r="B26" s="406"/>
      <c r="C26" s="190"/>
      <c r="D26" s="407"/>
      <c r="E26" s="408"/>
      <c r="F26" s="409"/>
      <c r="G26" s="12"/>
      <c r="H26" s="192" t="s">
        <v>14</v>
      </c>
      <c r="I26" s="13"/>
      <c r="J26" s="227">
        <f t="shared" si="6"/>
        <v>0</v>
      </c>
      <c r="K26" s="410">
        <f t="shared" si="11"/>
        <v>0</v>
      </c>
      <c r="L26" s="411"/>
      <c r="M26" s="214"/>
      <c r="N26" s="364"/>
      <c r="O26" s="364"/>
      <c r="P26" s="365"/>
      <c r="S26" s="14"/>
      <c r="T26" s="15"/>
      <c r="U26" s="1">
        <f t="shared" si="7"/>
        <v>1</v>
      </c>
      <c r="V26" s="1">
        <v>2</v>
      </c>
      <c r="W26" s="1">
        <f t="shared" si="8"/>
        <v>1</v>
      </c>
      <c r="X26" s="15"/>
      <c r="Y26" s="1" t="str">
        <f t="shared" si="9"/>
        <v>&lt;=</v>
      </c>
      <c r="Z26" s="1" t="str">
        <f t="shared" si="10"/>
        <v>&gt;=</v>
      </c>
    </row>
    <row r="27" spans="1:26" ht="14.1" customHeight="1">
      <c r="A27" s="405" t="s">
        <v>12</v>
      </c>
      <c r="B27" s="406"/>
      <c r="C27" s="190"/>
      <c r="D27" s="407"/>
      <c r="E27" s="408"/>
      <c r="F27" s="409"/>
      <c r="G27" s="12"/>
      <c r="H27" s="192" t="s">
        <v>14</v>
      </c>
      <c r="I27" s="13"/>
      <c r="J27" s="227">
        <f t="shared" si="6"/>
        <v>0</v>
      </c>
      <c r="K27" s="410">
        <f t="shared" si="11"/>
        <v>0</v>
      </c>
      <c r="L27" s="411"/>
      <c r="M27" s="214"/>
      <c r="N27" s="364"/>
      <c r="O27" s="364"/>
      <c r="P27" s="365"/>
      <c r="S27" s="14"/>
      <c r="T27" s="15"/>
      <c r="U27" s="1">
        <f t="shared" si="7"/>
        <v>1</v>
      </c>
      <c r="V27" s="1">
        <v>2</v>
      </c>
      <c r="W27" s="1">
        <f t="shared" si="8"/>
        <v>1</v>
      </c>
      <c r="X27" s="15"/>
      <c r="Y27" s="1" t="str">
        <f t="shared" si="9"/>
        <v>&lt;=</v>
      </c>
      <c r="Z27" s="1" t="str">
        <f t="shared" si="10"/>
        <v>&gt;=</v>
      </c>
    </row>
    <row r="28" spans="1:26" ht="14.1" customHeight="1">
      <c r="A28" s="405" t="s">
        <v>12</v>
      </c>
      <c r="B28" s="406"/>
      <c r="C28" s="190"/>
      <c r="D28" s="407"/>
      <c r="E28" s="408"/>
      <c r="F28" s="409"/>
      <c r="G28" s="12"/>
      <c r="H28" s="192" t="s">
        <v>14</v>
      </c>
      <c r="I28" s="13"/>
      <c r="J28" s="227">
        <f t="shared" si="6"/>
        <v>0</v>
      </c>
      <c r="K28" s="410">
        <f t="shared" si="11"/>
        <v>0</v>
      </c>
      <c r="L28" s="411"/>
      <c r="M28" s="214"/>
      <c r="N28" s="364"/>
      <c r="O28" s="364"/>
      <c r="P28" s="365"/>
      <c r="S28" s="14"/>
      <c r="T28" s="15"/>
      <c r="U28" s="1">
        <f t="shared" si="7"/>
        <v>1</v>
      </c>
      <c r="V28" s="1">
        <v>2</v>
      </c>
      <c r="W28" s="1">
        <f t="shared" si="8"/>
        <v>1</v>
      </c>
      <c r="X28" s="15"/>
      <c r="Y28" s="1" t="str">
        <f t="shared" si="9"/>
        <v>&lt;=</v>
      </c>
      <c r="Z28" s="1" t="str">
        <f t="shared" si="10"/>
        <v>&gt;=</v>
      </c>
    </row>
    <row r="29" spans="1:26" ht="14.1" customHeight="1">
      <c r="A29" s="405" t="s">
        <v>12</v>
      </c>
      <c r="B29" s="406"/>
      <c r="C29" s="190"/>
      <c r="D29" s="407"/>
      <c r="E29" s="408"/>
      <c r="F29" s="409"/>
      <c r="G29" s="12"/>
      <c r="H29" s="192" t="s">
        <v>14</v>
      </c>
      <c r="I29" s="13"/>
      <c r="J29" s="227">
        <f t="shared" si="6"/>
        <v>0</v>
      </c>
      <c r="K29" s="410">
        <f t="shared" si="11"/>
        <v>0</v>
      </c>
      <c r="L29" s="411"/>
      <c r="M29" s="214"/>
      <c r="N29" s="364"/>
      <c r="O29" s="364"/>
      <c r="P29" s="365"/>
      <c r="S29" s="14"/>
      <c r="T29" s="15"/>
      <c r="U29" s="1">
        <f t="shared" si="7"/>
        <v>1</v>
      </c>
      <c r="V29" s="1">
        <v>2</v>
      </c>
      <c r="W29" s="1">
        <f t="shared" si="8"/>
        <v>1</v>
      </c>
      <c r="X29" s="15"/>
      <c r="Y29" s="1" t="str">
        <f t="shared" si="9"/>
        <v>&lt;=</v>
      </c>
      <c r="Z29" s="1" t="str">
        <f t="shared" si="10"/>
        <v>&gt;=</v>
      </c>
    </row>
    <row r="30" spans="1:26" ht="14.1" customHeight="1" thickBot="1">
      <c r="A30" s="412" t="s">
        <v>12</v>
      </c>
      <c r="B30" s="413"/>
      <c r="C30" s="184" t="s">
        <v>153</v>
      </c>
      <c r="D30" s="414"/>
      <c r="E30" s="415"/>
      <c r="F30" s="416"/>
      <c r="G30" s="101"/>
      <c r="H30" s="193" t="s">
        <v>14</v>
      </c>
      <c r="I30" s="97"/>
      <c r="J30" s="228">
        <f t="shared" si="6"/>
        <v>0</v>
      </c>
      <c r="K30" s="410">
        <f t="shared" si="11"/>
        <v>0</v>
      </c>
      <c r="L30" s="411"/>
      <c r="M30" s="218"/>
      <c r="N30" s="417"/>
      <c r="O30" s="417"/>
      <c r="P30" s="418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7"/>
        <v>1</v>
      </c>
      <c r="V30" s="1">
        <v>2</v>
      </c>
      <c r="W30" s="1">
        <f t="shared" si="8"/>
        <v>1</v>
      </c>
      <c r="X30" s="15"/>
      <c r="Y30" s="1" t="str">
        <f t="shared" si="9"/>
        <v>&lt;=</v>
      </c>
      <c r="Z30" s="1" t="str">
        <f t="shared" si="10"/>
        <v>&gt;=</v>
      </c>
    </row>
    <row r="31" spans="1:26" ht="14.1" customHeight="1" thickBot="1">
      <c r="A31" s="397" t="s">
        <v>21</v>
      </c>
      <c r="B31" s="398"/>
      <c r="C31" s="398"/>
      <c r="D31" s="398"/>
      <c r="E31" s="398"/>
      <c r="F31" s="399"/>
      <c r="G31" s="168">
        <f>SUM(G19:G30)</f>
        <v>1</v>
      </c>
      <c r="H31" s="102"/>
      <c r="I31" s="376">
        <f>SUM(K19:K30)</f>
        <v>85000</v>
      </c>
      <c r="J31" s="377"/>
      <c r="K31" s="377"/>
      <c r="L31" s="378"/>
      <c r="M31" s="217"/>
      <c r="N31" s="400"/>
      <c r="O31" s="400"/>
      <c r="P31" s="40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6" ht="6" customHeight="1" thickBot="1">
      <c r="A32" s="402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4"/>
      <c r="S32" s="15"/>
      <c r="T32" s="15"/>
      <c r="U32" s="15"/>
      <c r="V32" s="15"/>
      <c r="W32" s="15"/>
      <c r="X32" s="15"/>
      <c r="Y32" s="15"/>
    </row>
    <row r="33" spans="1:26" ht="20.25" customHeight="1">
      <c r="A33" s="385" t="s">
        <v>22</v>
      </c>
      <c r="B33" s="386"/>
      <c r="C33" s="201" t="s">
        <v>23</v>
      </c>
      <c r="D33" s="387" t="s">
        <v>24</v>
      </c>
      <c r="E33" s="386"/>
      <c r="F33" s="201" t="s">
        <v>25</v>
      </c>
      <c r="G33" s="201" t="s">
        <v>26</v>
      </c>
      <c r="H33" s="201" t="s">
        <v>9</v>
      </c>
      <c r="I33" s="201" t="s">
        <v>27</v>
      </c>
      <c r="J33" s="221" t="s">
        <v>259</v>
      </c>
      <c r="K33" s="387" t="s">
        <v>28</v>
      </c>
      <c r="L33" s="386"/>
      <c r="M33" s="202" t="s">
        <v>238</v>
      </c>
      <c r="N33" s="387" t="s">
        <v>258</v>
      </c>
      <c r="O33" s="388"/>
      <c r="P33" s="389"/>
      <c r="R33" s="79" t="s">
        <v>200</v>
      </c>
      <c r="V33" s="272" t="s">
        <v>285</v>
      </c>
      <c r="W33" s="272" t="s">
        <v>286</v>
      </c>
      <c r="X33" s="272" t="s">
        <v>287</v>
      </c>
      <c r="Y33" s="272" t="s">
        <v>288</v>
      </c>
      <c r="Z33" s="272" t="s">
        <v>289</v>
      </c>
    </row>
    <row r="34" spans="1:26" ht="14.1" customHeight="1">
      <c r="A34" s="368" t="s">
        <v>33</v>
      </c>
      <c r="B34" s="369"/>
      <c r="C34" s="194" t="s">
        <v>34</v>
      </c>
      <c r="D34" s="370"/>
      <c r="E34" s="369"/>
      <c r="F34" s="195"/>
      <c r="G34" s="12">
        <v>1</v>
      </c>
      <c r="H34" s="198"/>
      <c r="I34" s="13">
        <v>80000</v>
      </c>
      <c r="J34" s="227">
        <f t="shared" ref="J34:J57" si="12">IF(ISBLANK(M34),0,IF(ISBLANK(H34),1,SUMIFS($X$98:$X$110,$V$98:$V$110,V34,$W$98:$W$110,U34,$Y$98:$Y$110,Y34,$Z$98:$Z$110,Z34)))</f>
        <v>1</v>
      </c>
      <c r="K34" s="371">
        <f>IFERROR(G34*I34*J34,"")</f>
        <v>80000</v>
      </c>
      <c r="L34" s="372"/>
      <c r="M34" s="214">
        <v>43013</v>
      </c>
      <c r="N34" s="390"/>
      <c r="O34" s="390"/>
      <c r="P34" s="391"/>
      <c r="Q34" s="1" t="str">
        <f t="shared" ref="Q34:Q56" si="13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">
        <f t="shared" ref="U34:U57" si="14">IFERROR(VLOOKUP(H34,$Q$99:$R$101,2,FALSE),1)</f>
        <v>1</v>
      </c>
      <c r="V34" s="1">
        <v>2</v>
      </c>
      <c r="W34" s="1">
        <f t="shared" ref="W34:W57" si="15">U34</f>
        <v>1</v>
      </c>
      <c r="X34" s="15"/>
      <c r="Y34" s="1" t="str">
        <f t="shared" ref="Y34:Y57" si="16">CONCATENATE("&lt;=",M34)</f>
        <v>&lt;=43013</v>
      </c>
      <c r="Z34" s="1" t="str">
        <f t="shared" ref="Z34:Z57" si="17">CONCATENATE("&gt;=",M34)</f>
        <v>&gt;=43013</v>
      </c>
    </row>
    <row r="35" spans="1:26" ht="14.1" customHeight="1">
      <c r="A35" s="368" t="s">
        <v>33</v>
      </c>
      <c r="B35" s="369"/>
      <c r="C35" s="194" t="s">
        <v>35</v>
      </c>
      <c r="D35" s="370"/>
      <c r="E35" s="369"/>
      <c r="F35" s="195"/>
      <c r="G35" s="12"/>
      <c r="H35" s="198"/>
      <c r="I35" s="13"/>
      <c r="J35" s="227">
        <f t="shared" si="12"/>
        <v>0</v>
      </c>
      <c r="K35" s="371">
        <f t="shared" ref="K35:K57" si="18">IFERROR(G35*I35*J35,"")</f>
        <v>0</v>
      </c>
      <c r="L35" s="372"/>
      <c r="M35" s="214"/>
      <c r="N35" s="390"/>
      <c r="O35" s="390"/>
      <c r="P35" s="391"/>
      <c r="Q35" s="1" t="str">
        <f t="shared" si="13"/>
        <v>4:版下・製版代</v>
      </c>
      <c r="R35" s="76"/>
      <c r="S35" s="15"/>
      <c r="T35" s="15"/>
      <c r="U35" s="1">
        <f t="shared" si="14"/>
        <v>1</v>
      </c>
      <c r="V35" s="1">
        <v>2</v>
      </c>
      <c r="W35" s="1">
        <f t="shared" si="15"/>
        <v>1</v>
      </c>
      <c r="X35" s="15"/>
      <c r="Y35" s="1" t="str">
        <f t="shared" si="16"/>
        <v>&lt;=</v>
      </c>
      <c r="Z35" s="1" t="str">
        <f t="shared" si="17"/>
        <v>&gt;=</v>
      </c>
    </row>
    <row r="36" spans="1:26" ht="14.1" customHeight="1">
      <c r="A36" s="368" t="s">
        <v>33</v>
      </c>
      <c r="B36" s="369"/>
      <c r="C36" s="194" t="s">
        <v>35</v>
      </c>
      <c r="D36" s="370"/>
      <c r="E36" s="369"/>
      <c r="F36" s="195"/>
      <c r="G36" s="12"/>
      <c r="H36" s="198"/>
      <c r="I36" s="13"/>
      <c r="J36" s="227">
        <f t="shared" si="12"/>
        <v>0</v>
      </c>
      <c r="K36" s="371">
        <f t="shared" si="18"/>
        <v>0</v>
      </c>
      <c r="L36" s="372"/>
      <c r="M36" s="214"/>
      <c r="N36" s="390"/>
      <c r="O36" s="390"/>
      <c r="P36" s="391"/>
      <c r="Q36" s="1" t="str">
        <f t="shared" si="13"/>
        <v>4:版下・製版代</v>
      </c>
      <c r="R36" s="76"/>
      <c r="S36" s="15"/>
      <c r="T36" s="15"/>
      <c r="U36" s="1">
        <f t="shared" si="14"/>
        <v>1</v>
      </c>
      <c r="V36" s="1">
        <v>2</v>
      </c>
      <c r="W36" s="1">
        <f t="shared" si="15"/>
        <v>1</v>
      </c>
      <c r="X36" s="15"/>
      <c r="Y36" s="1" t="str">
        <f t="shared" si="16"/>
        <v>&lt;=</v>
      </c>
      <c r="Z36" s="1" t="str">
        <f t="shared" si="17"/>
        <v>&gt;=</v>
      </c>
    </row>
    <row r="37" spans="1:26" ht="14.1" customHeight="1">
      <c r="A37" s="368" t="s">
        <v>33</v>
      </c>
      <c r="B37" s="369"/>
      <c r="C37" s="194" t="s">
        <v>35</v>
      </c>
      <c r="D37" s="370"/>
      <c r="E37" s="369"/>
      <c r="F37" s="195"/>
      <c r="G37" s="12"/>
      <c r="H37" s="198"/>
      <c r="I37" s="13"/>
      <c r="J37" s="227">
        <f t="shared" si="12"/>
        <v>0</v>
      </c>
      <c r="K37" s="371">
        <f t="shared" si="18"/>
        <v>0</v>
      </c>
      <c r="L37" s="372"/>
      <c r="M37" s="214"/>
      <c r="N37" s="390"/>
      <c r="O37" s="390"/>
      <c r="P37" s="391"/>
      <c r="Q37" s="1" t="str">
        <f t="shared" si="13"/>
        <v>4:版下・製版代</v>
      </c>
      <c r="R37" s="76"/>
      <c r="S37" s="15"/>
      <c r="T37" s="15"/>
      <c r="U37" s="1">
        <f t="shared" si="14"/>
        <v>1</v>
      </c>
      <c r="V37" s="1">
        <v>2</v>
      </c>
      <c r="W37" s="1">
        <f t="shared" si="15"/>
        <v>1</v>
      </c>
      <c r="X37" s="15"/>
      <c r="Y37" s="1" t="str">
        <f t="shared" si="16"/>
        <v>&lt;=</v>
      </c>
      <c r="Z37" s="1" t="str">
        <f t="shared" si="17"/>
        <v>&gt;=</v>
      </c>
    </row>
    <row r="38" spans="1:26" ht="14.1" customHeight="1">
      <c r="A38" s="368"/>
      <c r="B38" s="369"/>
      <c r="C38" s="194"/>
      <c r="D38" s="370"/>
      <c r="E38" s="369"/>
      <c r="F38" s="195"/>
      <c r="G38" s="12"/>
      <c r="H38" s="198"/>
      <c r="I38" s="13"/>
      <c r="J38" s="227">
        <f t="shared" si="12"/>
        <v>0</v>
      </c>
      <c r="K38" s="371">
        <f t="shared" si="18"/>
        <v>0</v>
      </c>
      <c r="L38" s="372"/>
      <c r="M38" s="214"/>
      <c r="N38" s="390"/>
      <c r="O38" s="390"/>
      <c r="P38" s="391"/>
      <c r="Q38" s="1">
        <f t="shared" si="13"/>
        <v>0</v>
      </c>
      <c r="R38" s="76"/>
      <c r="S38" s="15"/>
      <c r="T38" s="15"/>
      <c r="U38" s="1">
        <f t="shared" si="14"/>
        <v>1</v>
      </c>
      <c r="V38" s="1">
        <v>2</v>
      </c>
      <c r="W38" s="1">
        <f t="shared" si="15"/>
        <v>1</v>
      </c>
      <c r="X38" s="15"/>
      <c r="Y38" s="1" t="str">
        <f t="shared" si="16"/>
        <v>&lt;=</v>
      </c>
      <c r="Z38" s="1" t="str">
        <f t="shared" si="17"/>
        <v>&gt;=</v>
      </c>
    </row>
    <row r="39" spans="1:26" ht="14.1" customHeight="1">
      <c r="A39" s="368" t="s">
        <v>29</v>
      </c>
      <c r="B39" s="369"/>
      <c r="C39" s="194" t="s">
        <v>30</v>
      </c>
      <c r="D39" s="370"/>
      <c r="E39" s="369"/>
      <c r="F39" s="195" t="s">
        <v>147</v>
      </c>
      <c r="G39" s="12">
        <v>1</v>
      </c>
      <c r="H39" s="198" t="s">
        <v>14</v>
      </c>
      <c r="I39" s="13">
        <v>200000</v>
      </c>
      <c r="J39" s="227">
        <f t="shared" si="12"/>
        <v>1</v>
      </c>
      <c r="K39" s="371">
        <f t="shared" si="18"/>
        <v>200000</v>
      </c>
      <c r="L39" s="372"/>
      <c r="M39" s="214">
        <v>43013</v>
      </c>
      <c r="N39" s="390"/>
      <c r="O39" s="390"/>
      <c r="P39" s="391"/>
      <c r="Q39" s="1" t="str">
        <f t="shared" si="13"/>
        <v>1:原型</v>
      </c>
      <c r="R39" s="76"/>
      <c r="S39" s="15"/>
      <c r="T39" s="15"/>
      <c r="U39" s="1">
        <f t="shared" si="14"/>
        <v>1</v>
      </c>
      <c r="V39" s="1">
        <v>2</v>
      </c>
      <c r="W39" s="1">
        <f t="shared" si="15"/>
        <v>1</v>
      </c>
      <c r="X39" s="15"/>
      <c r="Y39" s="1" t="str">
        <f t="shared" si="16"/>
        <v>&lt;=43013</v>
      </c>
      <c r="Z39" s="1" t="str">
        <f t="shared" si="17"/>
        <v>&gt;=43013</v>
      </c>
    </row>
    <row r="40" spans="1:26" ht="14.1" customHeight="1">
      <c r="A40" s="368" t="s">
        <v>29</v>
      </c>
      <c r="B40" s="369"/>
      <c r="C40" s="194" t="s">
        <v>30</v>
      </c>
      <c r="D40" s="370"/>
      <c r="E40" s="369"/>
      <c r="F40" s="195"/>
      <c r="G40" s="12"/>
      <c r="H40" s="198"/>
      <c r="I40" s="13"/>
      <c r="J40" s="227">
        <f t="shared" si="12"/>
        <v>0</v>
      </c>
      <c r="K40" s="371">
        <f t="shared" si="18"/>
        <v>0</v>
      </c>
      <c r="L40" s="372"/>
      <c r="M40" s="214"/>
      <c r="N40" s="390"/>
      <c r="O40" s="390"/>
      <c r="P40" s="391"/>
      <c r="Q40" s="1" t="str">
        <f t="shared" si="13"/>
        <v>1:原型</v>
      </c>
      <c r="R40" s="76"/>
      <c r="S40" s="15"/>
      <c r="T40" s="15"/>
      <c r="U40" s="1">
        <f t="shared" si="14"/>
        <v>1</v>
      </c>
      <c r="V40" s="1">
        <v>2</v>
      </c>
      <c r="W40" s="1">
        <f t="shared" si="15"/>
        <v>1</v>
      </c>
      <c r="X40" s="15"/>
      <c r="Y40" s="1" t="str">
        <f t="shared" si="16"/>
        <v>&lt;=</v>
      </c>
      <c r="Z40" s="1" t="str">
        <f t="shared" si="17"/>
        <v>&gt;=</v>
      </c>
    </row>
    <row r="41" spans="1:26" ht="14.1" customHeight="1">
      <c r="A41" s="368" t="s">
        <v>29</v>
      </c>
      <c r="B41" s="369"/>
      <c r="C41" s="194" t="s">
        <v>30</v>
      </c>
      <c r="D41" s="370"/>
      <c r="E41" s="369"/>
      <c r="F41" s="195"/>
      <c r="G41" s="12"/>
      <c r="H41" s="198"/>
      <c r="I41" s="13"/>
      <c r="J41" s="227">
        <f t="shared" si="12"/>
        <v>0</v>
      </c>
      <c r="K41" s="371">
        <f t="shared" si="18"/>
        <v>0</v>
      </c>
      <c r="L41" s="372"/>
      <c r="M41" s="214"/>
      <c r="N41" s="390"/>
      <c r="O41" s="390"/>
      <c r="P41" s="391"/>
      <c r="Q41" s="1" t="str">
        <f t="shared" si="13"/>
        <v>1:原型</v>
      </c>
      <c r="R41" s="76"/>
      <c r="S41" s="15"/>
      <c r="T41" s="15"/>
      <c r="U41" s="1">
        <f t="shared" si="14"/>
        <v>1</v>
      </c>
      <c r="V41" s="1">
        <v>2</v>
      </c>
      <c r="W41" s="1">
        <f t="shared" si="15"/>
        <v>1</v>
      </c>
      <c r="X41" s="15"/>
      <c r="Y41" s="1" t="str">
        <f t="shared" si="16"/>
        <v>&lt;=</v>
      </c>
      <c r="Z41" s="1" t="str">
        <f t="shared" si="17"/>
        <v>&gt;=</v>
      </c>
    </row>
    <row r="42" spans="1:26" ht="14.1" customHeight="1">
      <c r="A42" s="368" t="s">
        <v>29</v>
      </c>
      <c r="B42" s="369"/>
      <c r="C42" s="194" t="s">
        <v>31</v>
      </c>
      <c r="D42" s="370"/>
      <c r="E42" s="369"/>
      <c r="F42" s="195"/>
      <c r="G42" s="12"/>
      <c r="H42" s="198"/>
      <c r="I42" s="13"/>
      <c r="J42" s="227">
        <f t="shared" si="12"/>
        <v>0</v>
      </c>
      <c r="K42" s="371">
        <f t="shared" si="18"/>
        <v>0</v>
      </c>
      <c r="L42" s="372"/>
      <c r="M42" s="214"/>
      <c r="N42" s="394"/>
      <c r="O42" s="395"/>
      <c r="P42" s="396"/>
      <c r="Q42" s="1" t="str">
        <f t="shared" si="13"/>
        <v>4:シリコン</v>
      </c>
      <c r="R42" s="76"/>
      <c r="S42" s="15"/>
      <c r="T42" s="15"/>
      <c r="U42" s="1">
        <f t="shared" si="14"/>
        <v>1</v>
      </c>
      <c r="V42" s="1">
        <v>2</v>
      </c>
      <c r="W42" s="1">
        <f t="shared" si="15"/>
        <v>1</v>
      </c>
      <c r="X42" s="15"/>
      <c r="Y42" s="1" t="str">
        <f t="shared" si="16"/>
        <v>&lt;=</v>
      </c>
      <c r="Z42" s="1" t="str">
        <f t="shared" si="17"/>
        <v>&gt;=</v>
      </c>
    </row>
    <row r="43" spans="1:26" ht="14.1" customHeight="1">
      <c r="A43" s="368" t="s">
        <v>29</v>
      </c>
      <c r="B43" s="369"/>
      <c r="C43" s="194" t="s">
        <v>32</v>
      </c>
      <c r="D43" s="370"/>
      <c r="E43" s="369"/>
      <c r="F43" s="195"/>
      <c r="G43" s="12"/>
      <c r="H43" s="198"/>
      <c r="I43" s="13"/>
      <c r="J43" s="227">
        <f t="shared" si="12"/>
        <v>0</v>
      </c>
      <c r="K43" s="371">
        <f t="shared" si="18"/>
        <v>0</v>
      </c>
      <c r="L43" s="372"/>
      <c r="M43" s="214"/>
      <c r="N43" s="390"/>
      <c r="O43" s="390"/>
      <c r="P43" s="391"/>
      <c r="Q43" s="1" t="str">
        <f t="shared" si="13"/>
        <v>3:キャスト</v>
      </c>
      <c r="R43" s="76"/>
      <c r="S43" s="15"/>
      <c r="T43" s="15"/>
      <c r="U43" s="1">
        <f t="shared" si="14"/>
        <v>1</v>
      </c>
      <c r="V43" s="1">
        <v>2</v>
      </c>
      <c r="W43" s="1">
        <f t="shared" si="15"/>
        <v>1</v>
      </c>
      <c r="X43" s="15"/>
      <c r="Y43" s="1" t="str">
        <f t="shared" si="16"/>
        <v>&lt;=</v>
      </c>
      <c r="Z43" s="1" t="str">
        <f t="shared" si="17"/>
        <v>&gt;=</v>
      </c>
    </row>
    <row r="44" spans="1:26" ht="14.1" customHeight="1">
      <c r="A44" s="368"/>
      <c r="B44" s="369"/>
      <c r="C44" s="194"/>
      <c r="D44" s="370"/>
      <c r="E44" s="369"/>
      <c r="F44" s="195"/>
      <c r="G44" s="12"/>
      <c r="H44" s="198"/>
      <c r="I44" s="13"/>
      <c r="J44" s="227">
        <f t="shared" si="12"/>
        <v>0</v>
      </c>
      <c r="K44" s="371">
        <f t="shared" si="18"/>
        <v>0</v>
      </c>
      <c r="L44" s="372"/>
      <c r="M44" s="214"/>
      <c r="N44" s="390"/>
      <c r="O44" s="390"/>
      <c r="P44" s="391"/>
      <c r="Q44" s="1">
        <f t="shared" si="13"/>
        <v>0</v>
      </c>
      <c r="R44" s="76"/>
      <c r="S44" s="15"/>
      <c r="T44" s="15"/>
      <c r="U44" s="1">
        <f t="shared" si="14"/>
        <v>1</v>
      </c>
      <c r="V44" s="1">
        <v>2</v>
      </c>
      <c r="W44" s="1">
        <f t="shared" si="15"/>
        <v>1</v>
      </c>
      <c r="X44" s="15"/>
      <c r="Y44" s="1" t="str">
        <f t="shared" si="16"/>
        <v>&lt;=</v>
      </c>
      <c r="Z44" s="1" t="str">
        <f t="shared" si="17"/>
        <v>&gt;=</v>
      </c>
    </row>
    <row r="45" spans="1:26" ht="14.1" customHeight="1">
      <c r="A45" s="368" t="s">
        <v>36</v>
      </c>
      <c r="B45" s="369"/>
      <c r="C45" s="194" t="s">
        <v>37</v>
      </c>
      <c r="D45" s="370" t="s">
        <v>57</v>
      </c>
      <c r="E45" s="369"/>
      <c r="F45" s="195" t="s">
        <v>147</v>
      </c>
      <c r="G45" s="12">
        <v>1</v>
      </c>
      <c r="H45" s="198" t="s">
        <v>148</v>
      </c>
      <c r="I45" s="13">
        <v>10000</v>
      </c>
      <c r="J45" s="227">
        <f t="shared" si="12"/>
        <v>110</v>
      </c>
      <c r="K45" s="371">
        <f t="shared" si="18"/>
        <v>1100000</v>
      </c>
      <c r="L45" s="372"/>
      <c r="M45" s="214">
        <v>43646</v>
      </c>
      <c r="N45" s="394"/>
      <c r="O45" s="395"/>
      <c r="P45" s="396"/>
      <c r="Q45" s="1" t="str">
        <f t="shared" si="13"/>
        <v>1:Injection Mold</v>
      </c>
      <c r="R45" s="76"/>
      <c r="S45" s="15"/>
      <c r="T45" s="15"/>
      <c r="U45" s="1">
        <f t="shared" si="14"/>
        <v>2</v>
      </c>
      <c r="V45" s="1">
        <v>2</v>
      </c>
      <c r="W45" s="1">
        <f t="shared" si="15"/>
        <v>2</v>
      </c>
      <c r="X45" s="15"/>
      <c r="Y45" s="1" t="str">
        <f t="shared" si="16"/>
        <v>&lt;=43646</v>
      </c>
      <c r="Z45" s="1" t="str">
        <f t="shared" si="17"/>
        <v>&gt;=43646</v>
      </c>
    </row>
    <row r="46" spans="1:26" ht="14.1" customHeight="1">
      <c r="A46" s="368" t="s">
        <v>36</v>
      </c>
      <c r="B46" s="369"/>
      <c r="C46" s="194" t="s">
        <v>37</v>
      </c>
      <c r="D46" s="370" t="s">
        <v>57</v>
      </c>
      <c r="E46" s="369"/>
      <c r="F46" s="195" t="s">
        <v>147</v>
      </c>
      <c r="G46" s="12">
        <v>1</v>
      </c>
      <c r="H46" s="198" t="s">
        <v>148</v>
      </c>
      <c r="I46" s="13">
        <v>8700</v>
      </c>
      <c r="J46" s="227">
        <f t="shared" si="12"/>
        <v>110</v>
      </c>
      <c r="K46" s="371">
        <f t="shared" si="18"/>
        <v>957000</v>
      </c>
      <c r="L46" s="372"/>
      <c r="M46" s="214">
        <v>43646</v>
      </c>
      <c r="N46" s="394"/>
      <c r="O46" s="395"/>
      <c r="P46" s="396"/>
      <c r="Q46" s="1" t="str">
        <f t="shared" si="13"/>
        <v>1:Injection Mold</v>
      </c>
      <c r="R46" s="76"/>
      <c r="S46" s="15"/>
      <c r="T46" s="15"/>
      <c r="U46" s="1">
        <f t="shared" si="14"/>
        <v>2</v>
      </c>
      <c r="V46" s="1">
        <v>2</v>
      </c>
      <c r="W46" s="1">
        <f t="shared" si="15"/>
        <v>2</v>
      </c>
      <c r="X46" s="15"/>
      <c r="Y46" s="1" t="str">
        <f t="shared" si="16"/>
        <v>&lt;=43646</v>
      </c>
      <c r="Z46" s="1" t="str">
        <f t="shared" si="17"/>
        <v>&gt;=43646</v>
      </c>
    </row>
    <row r="47" spans="1:26" ht="14.1" customHeight="1">
      <c r="A47" s="368" t="s">
        <v>36</v>
      </c>
      <c r="B47" s="369"/>
      <c r="C47" s="194" t="s">
        <v>37</v>
      </c>
      <c r="D47" s="370" t="s">
        <v>57</v>
      </c>
      <c r="E47" s="369"/>
      <c r="F47" s="195" t="s">
        <v>147</v>
      </c>
      <c r="G47" s="12">
        <v>1</v>
      </c>
      <c r="H47" s="198" t="s">
        <v>148</v>
      </c>
      <c r="I47" s="13">
        <v>8700</v>
      </c>
      <c r="J47" s="227">
        <f t="shared" si="12"/>
        <v>110</v>
      </c>
      <c r="K47" s="371">
        <f t="shared" si="18"/>
        <v>957000</v>
      </c>
      <c r="L47" s="372"/>
      <c r="M47" s="214">
        <v>43646</v>
      </c>
      <c r="N47" s="394"/>
      <c r="O47" s="395"/>
      <c r="P47" s="396"/>
      <c r="Q47" s="1" t="str">
        <f t="shared" si="13"/>
        <v>1:Injection Mold</v>
      </c>
      <c r="R47" s="76"/>
      <c r="S47" s="15"/>
      <c r="T47" s="15"/>
      <c r="U47" s="1">
        <f t="shared" si="14"/>
        <v>2</v>
      </c>
      <c r="V47" s="1">
        <v>2</v>
      </c>
      <c r="W47" s="1">
        <f t="shared" si="15"/>
        <v>2</v>
      </c>
      <c r="X47" s="15"/>
      <c r="Y47" s="1" t="str">
        <f t="shared" si="16"/>
        <v>&lt;=43646</v>
      </c>
      <c r="Z47" s="1" t="str">
        <f t="shared" si="17"/>
        <v>&gt;=43646</v>
      </c>
    </row>
    <row r="48" spans="1:26" ht="14.1" customHeight="1">
      <c r="A48" s="368" t="s">
        <v>36</v>
      </c>
      <c r="B48" s="369"/>
      <c r="C48" s="194" t="s">
        <v>37</v>
      </c>
      <c r="D48" s="370"/>
      <c r="E48" s="369"/>
      <c r="F48" s="195"/>
      <c r="G48" s="12"/>
      <c r="H48" s="198"/>
      <c r="I48" s="13"/>
      <c r="J48" s="227">
        <f t="shared" si="12"/>
        <v>0</v>
      </c>
      <c r="K48" s="371">
        <f t="shared" si="18"/>
        <v>0</v>
      </c>
      <c r="L48" s="372"/>
      <c r="M48" s="214"/>
      <c r="N48" s="394"/>
      <c r="O48" s="395"/>
      <c r="P48" s="396"/>
      <c r="Q48" s="1" t="str">
        <f t="shared" si="13"/>
        <v>1:Injection Mold</v>
      </c>
      <c r="R48" s="76"/>
      <c r="S48" s="15"/>
      <c r="T48" s="15"/>
      <c r="U48" s="1">
        <f t="shared" si="14"/>
        <v>1</v>
      </c>
      <c r="V48" s="1">
        <v>2</v>
      </c>
      <c r="W48" s="1">
        <f t="shared" si="15"/>
        <v>1</v>
      </c>
      <c r="X48" s="15"/>
      <c r="Y48" s="1" t="str">
        <f t="shared" si="16"/>
        <v>&lt;=</v>
      </c>
      <c r="Z48" s="1" t="str">
        <f t="shared" si="17"/>
        <v>&gt;=</v>
      </c>
    </row>
    <row r="49" spans="1:26" ht="14.1" customHeight="1">
      <c r="A49" s="368" t="s">
        <v>36</v>
      </c>
      <c r="B49" s="369"/>
      <c r="C49" s="194" t="s">
        <v>38</v>
      </c>
      <c r="D49" s="370" t="s">
        <v>57</v>
      </c>
      <c r="E49" s="369"/>
      <c r="F49" s="195" t="s">
        <v>147</v>
      </c>
      <c r="G49" s="12">
        <v>1</v>
      </c>
      <c r="H49" s="198" t="s">
        <v>148</v>
      </c>
      <c r="I49" s="13">
        <v>350</v>
      </c>
      <c r="J49" s="227">
        <f t="shared" si="12"/>
        <v>110</v>
      </c>
      <c r="K49" s="371">
        <f t="shared" si="18"/>
        <v>38500</v>
      </c>
      <c r="L49" s="372"/>
      <c r="M49" s="214">
        <v>43646</v>
      </c>
      <c r="N49" s="394"/>
      <c r="O49" s="395"/>
      <c r="P49" s="396"/>
      <c r="Q49" s="1" t="str">
        <f t="shared" si="13"/>
        <v>2:Spray Mask Mold</v>
      </c>
      <c r="R49" s="76"/>
      <c r="S49" s="15"/>
      <c r="T49" s="15"/>
      <c r="U49" s="1">
        <f t="shared" si="14"/>
        <v>2</v>
      </c>
      <c r="V49" s="1">
        <v>2</v>
      </c>
      <c r="W49" s="1">
        <f t="shared" si="15"/>
        <v>2</v>
      </c>
      <c r="X49" s="15"/>
      <c r="Y49" s="1" t="str">
        <f t="shared" si="16"/>
        <v>&lt;=43646</v>
      </c>
      <c r="Z49" s="1" t="str">
        <f t="shared" si="17"/>
        <v>&gt;=43646</v>
      </c>
    </row>
    <row r="50" spans="1:26" ht="14.1" customHeight="1">
      <c r="A50" s="368" t="s">
        <v>36</v>
      </c>
      <c r="B50" s="369"/>
      <c r="C50" s="194" t="s">
        <v>38</v>
      </c>
      <c r="D50" s="370"/>
      <c r="E50" s="369"/>
      <c r="F50" s="195"/>
      <c r="G50" s="12"/>
      <c r="H50" s="198"/>
      <c r="I50" s="13"/>
      <c r="J50" s="227">
        <f t="shared" si="12"/>
        <v>0</v>
      </c>
      <c r="K50" s="371">
        <f t="shared" si="18"/>
        <v>0</v>
      </c>
      <c r="L50" s="372"/>
      <c r="M50" s="214"/>
      <c r="N50" s="394"/>
      <c r="O50" s="395"/>
      <c r="P50" s="396"/>
      <c r="Q50" s="1" t="str">
        <f t="shared" si="13"/>
        <v>2:Spray Mask Mold</v>
      </c>
      <c r="R50" s="76"/>
      <c r="S50" s="15"/>
      <c r="T50" s="15"/>
      <c r="U50" s="1">
        <f t="shared" si="14"/>
        <v>1</v>
      </c>
      <c r="V50" s="1">
        <v>2</v>
      </c>
      <c r="W50" s="1">
        <f t="shared" si="15"/>
        <v>1</v>
      </c>
      <c r="X50" s="15"/>
      <c r="Y50" s="1" t="str">
        <f t="shared" si="16"/>
        <v>&lt;=</v>
      </c>
      <c r="Z50" s="1" t="str">
        <f t="shared" si="17"/>
        <v>&gt;=</v>
      </c>
    </row>
    <row r="51" spans="1:26" ht="14.1" customHeight="1">
      <c r="A51" s="368" t="s">
        <v>36</v>
      </c>
      <c r="B51" s="369"/>
      <c r="C51" s="194" t="s">
        <v>39</v>
      </c>
      <c r="D51" s="370"/>
      <c r="E51" s="369"/>
      <c r="F51" s="195"/>
      <c r="G51" s="12"/>
      <c r="H51" s="198"/>
      <c r="I51" s="13"/>
      <c r="J51" s="227">
        <f t="shared" si="12"/>
        <v>0</v>
      </c>
      <c r="K51" s="371">
        <f t="shared" si="18"/>
        <v>0</v>
      </c>
      <c r="L51" s="372"/>
      <c r="M51" s="214"/>
      <c r="N51" s="390"/>
      <c r="O51" s="390"/>
      <c r="P51" s="391"/>
      <c r="Q51" s="1" t="str">
        <f t="shared" si="13"/>
        <v>99:－</v>
      </c>
      <c r="R51" s="76"/>
      <c r="S51" s="15"/>
      <c r="T51" s="15"/>
      <c r="U51" s="1">
        <f t="shared" si="14"/>
        <v>1</v>
      </c>
      <c r="V51" s="1">
        <v>2</v>
      </c>
      <c r="W51" s="1">
        <f t="shared" si="15"/>
        <v>1</v>
      </c>
      <c r="X51" s="15"/>
      <c r="Y51" s="1" t="str">
        <f t="shared" si="16"/>
        <v>&lt;=</v>
      </c>
      <c r="Z51" s="1" t="str">
        <f t="shared" si="17"/>
        <v>&gt;=</v>
      </c>
    </row>
    <row r="52" spans="1:26" ht="14.1" customHeight="1">
      <c r="A52" s="368" t="s">
        <v>36</v>
      </c>
      <c r="B52" s="369"/>
      <c r="C52" s="194" t="s">
        <v>39</v>
      </c>
      <c r="D52" s="370"/>
      <c r="E52" s="369"/>
      <c r="F52" s="195"/>
      <c r="G52" s="12"/>
      <c r="H52" s="198"/>
      <c r="I52" s="13"/>
      <c r="J52" s="227">
        <f t="shared" si="12"/>
        <v>0</v>
      </c>
      <c r="K52" s="371">
        <f t="shared" si="18"/>
        <v>0</v>
      </c>
      <c r="L52" s="372"/>
      <c r="M52" s="214"/>
      <c r="N52" s="390"/>
      <c r="O52" s="390"/>
      <c r="P52" s="391"/>
      <c r="Q52" s="1" t="str">
        <f t="shared" si="13"/>
        <v>99:－</v>
      </c>
      <c r="R52" s="76"/>
      <c r="S52" s="15"/>
      <c r="T52" s="15"/>
      <c r="U52" s="1">
        <f t="shared" si="14"/>
        <v>1</v>
      </c>
      <c r="V52" s="1">
        <v>2</v>
      </c>
      <c r="W52" s="1">
        <f t="shared" si="15"/>
        <v>1</v>
      </c>
      <c r="X52" s="15"/>
      <c r="Y52" s="1" t="str">
        <f t="shared" si="16"/>
        <v>&lt;=</v>
      </c>
      <c r="Z52" s="1" t="str">
        <f t="shared" si="17"/>
        <v>&gt;=</v>
      </c>
    </row>
    <row r="53" spans="1:26" ht="14.1" customHeight="1">
      <c r="A53" s="368" t="s">
        <v>36</v>
      </c>
      <c r="B53" s="369"/>
      <c r="C53" s="194" t="s">
        <v>39</v>
      </c>
      <c r="D53" s="370"/>
      <c r="E53" s="369"/>
      <c r="F53" s="195"/>
      <c r="G53" s="12"/>
      <c r="H53" s="198"/>
      <c r="I53" s="13"/>
      <c r="J53" s="227">
        <f t="shared" si="12"/>
        <v>0</v>
      </c>
      <c r="K53" s="371">
        <f t="shared" si="18"/>
        <v>0</v>
      </c>
      <c r="L53" s="372"/>
      <c r="M53" s="214"/>
      <c r="N53" s="390"/>
      <c r="O53" s="390"/>
      <c r="P53" s="391"/>
      <c r="Q53" s="1" t="str">
        <f t="shared" si="13"/>
        <v>99:－</v>
      </c>
      <c r="R53" s="76"/>
      <c r="S53" s="15"/>
      <c r="T53" s="15"/>
      <c r="U53" s="1">
        <f t="shared" si="14"/>
        <v>1</v>
      </c>
      <c r="V53" s="1">
        <v>2</v>
      </c>
      <c r="W53" s="1">
        <f t="shared" si="15"/>
        <v>1</v>
      </c>
      <c r="X53" s="15"/>
      <c r="Y53" s="1" t="str">
        <f t="shared" si="16"/>
        <v>&lt;=</v>
      </c>
      <c r="Z53" s="1" t="str">
        <f t="shared" si="17"/>
        <v>&gt;=</v>
      </c>
    </row>
    <row r="54" spans="1:26" ht="14.1" customHeight="1">
      <c r="A54" s="368"/>
      <c r="B54" s="369"/>
      <c r="C54" s="194"/>
      <c r="D54" s="370"/>
      <c r="E54" s="369"/>
      <c r="F54" s="195"/>
      <c r="G54" s="12"/>
      <c r="H54" s="198"/>
      <c r="I54" s="13"/>
      <c r="J54" s="227">
        <f t="shared" si="12"/>
        <v>0</v>
      </c>
      <c r="K54" s="371">
        <f t="shared" si="18"/>
        <v>0</v>
      </c>
      <c r="L54" s="372"/>
      <c r="M54" s="214"/>
      <c r="N54" s="390"/>
      <c r="O54" s="390"/>
      <c r="P54" s="391"/>
      <c r="Q54" s="1">
        <f t="shared" si="13"/>
        <v>0</v>
      </c>
      <c r="R54" s="76"/>
      <c r="S54" s="15"/>
      <c r="T54" s="15"/>
      <c r="U54" s="1">
        <f t="shared" si="14"/>
        <v>1</v>
      </c>
      <c r="V54" s="1">
        <v>2</v>
      </c>
      <c r="W54" s="1">
        <f t="shared" si="15"/>
        <v>1</v>
      </c>
      <c r="X54" s="15"/>
      <c r="Y54" s="1" t="str">
        <f t="shared" si="16"/>
        <v>&lt;=</v>
      </c>
      <c r="Z54" s="1" t="str">
        <f t="shared" si="17"/>
        <v>&gt;=</v>
      </c>
    </row>
    <row r="55" spans="1:26" ht="14.1" customHeight="1">
      <c r="A55" s="368"/>
      <c r="B55" s="369"/>
      <c r="C55" s="194"/>
      <c r="D55" s="370"/>
      <c r="E55" s="369"/>
      <c r="F55" s="195"/>
      <c r="G55" s="12"/>
      <c r="H55" s="198"/>
      <c r="I55" s="13"/>
      <c r="J55" s="227">
        <f t="shared" si="12"/>
        <v>0</v>
      </c>
      <c r="K55" s="371">
        <f t="shared" si="18"/>
        <v>0</v>
      </c>
      <c r="L55" s="372"/>
      <c r="M55" s="214"/>
      <c r="N55" s="390"/>
      <c r="O55" s="390"/>
      <c r="P55" s="391"/>
      <c r="Q55" s="1">
        <f t="shared" si="13"/>
        <v>0</v>
      </c>
      <c r="R55" s="76"/>
      <c r="S55" s="15"/>
      <c r="T55" s="15"/>
      <c r="U55" s="1">
        <f t="shared" si="14"/>
        <v>1</v>
      </c>
      <c r="V55" s="1">
        <v>2</v>
      </c>
      <c r="W55" s="1">
        <f t="shared" si="15"/>
        <v>1</v>
      </c>
      <c r="X55" s="15"/>
      <c r="Y55" s="1" t="str">
        <f t="shared" si="16"/>
        <v>&lt;=</v>
      </c>
      <c r="Z55" s="1" t="str">
        <f t="shared" si="17"/>
        <v>&gt;=</v>
      </c>
    </row>
    <row r="56" spans="1:26" ht="14.1" customHeight="1">
      <c r="A56" s="368"/>
      <c r="B56" s="369"/>
      <c r="C56" s="194"/>
      <c r="D56" s="370"/>
      <c r="E56" s="369"/>
      <c r="F56" s="195"/>
      <c r="G56" s="12"/>
      <c r="H56" s="198"/>
      <c r="I56" s="13"/>
      <c r="J56" s="227">
        <f t="shared" si="12"/>
        <v>0</v>
      </c>
      <c r="K56" s="371">
        <f t="shared" si="18"/>
        <v>0</v>
      </c>
      <c r="L56" s="372"/>
      <c r="M56" s="214"/>
      <c r="N56" s="390"/>
      <c r="O56" s="390"/>
      <c r="P56" s="391"/>
      <c r="Q56" s="1">
        <f t="shared" si="13"/>
        <v>0</v>
      </c>
      <c r="R56" s="76"/>
      <c r="S56" s="14"/>
      <c r="T56" s="15"/>
      <c r="U56" s="1">
        <f t="shared" si="14"/>
        <v>1</v>
      </c>
      <c r="V56" s="1">
        <v>2</v>
      </c>
      <c r="W56" s="1">
        <f t="shared" si="15"/>
        <v>1</v>
      </c>
      <c r="X56" s="15"/>
      <c r="Y56" s="1" t="str">
        <f t="shared" si="16"/>
        <v>&lt;=</v>
      </c>
      <c r="Z56" s="1" t="str">
        <f t="shared" si="17"/>
        <v>&gt;=</v>
      </c>
    </row>
    <row r="57" spans="1:26" ht="15" customHeight="1" thickBot="1">
      <c r="A57" s="368"/>
      <c r="B57" s="369"/>
      <c r="C57" s="196"/>
      <c r="D57" s="370"/>
      <c r="E57" s="369"/>
      <c r="F57" s="197"/>
      <c r="G57" s="20"/>
      <c r="H57" s="199"/>
      <c r="I57" s="97"/>
      <c r="J57" s="228">
        <f t="shared" si="12"/>
        <v>0</v>
      </c>
      <c r="K57" s="371">
        <f t="shared" si="18"/>
        <v>0</v>
      </c>
      <c r="L57" s="372"/>
      <c r="M57" s="218"/>
      <c r="N57" s="392"/>
      <c r="O57" s="392"/>
      <c r="P57" s="393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4"/>
        <v>1</v>
      </c>
      <c r="V57" s="1">
        <v>2</v>
      </c>
      <c r="W57" s="1">
        <f t="shared" si="15"/>
        <v>1</v>
      </c>
      <c r="X57" s="15"/>
      <c r="Y57" s="1" t="str">
        <f t="shared" si="16"/>
        <v>&lt;=</v>
      </c>
      <c r="Z57" s="1" t="str">
        <f t="shared" si="17"/>
        <v>&gt;=</v>
      </c>
    </row>
    <row r="58" spans="1:26" ht="15" customHeight="1" thickBot="1">
      <c r="A58" s="373" t="s">
        <v>40</v>
      </c>
      <c r="B58" s="374"/>
      <c r="C58" s="374"/>
      <c r="D58" s="374"/>
      <c r="E58" s="374"/>
      <c r="F58" s="375"/>
      <c r="G58" s="22"/>
      <c r="H58" s="23"/>
      <c r="I58" s="376">
        <f>SUM(K34:K57)</f>
        <v>3332500</v>
      </c>
      <c r="J58" s="377"/>
      <c r="K58" s="377"/>
      <c r="L58" s="378"/>
      <c r="M58" s="219"/>
      <c r="N58" s="379">
        <f>SUMIF(F34:F57,"&lt;&gt;"&amp;$P$100,K34:K57)</f>
        <v>80000</v>
      </c>
      <c r="O58" s="380"/>
      <c r="P58" s="381"/>
      <c r="R58" s="77"/>
      <c r="S58" s="21"/>
      <c r="T58" s="15"/>
      <c r="U58" s="15"/>
      <c r="V58" s="15"/>
      <c r="W58" s="15"/>
      <c r="X58" s="15"/>
      <c r="Y58" s="15"/>
    </row>
    <row r="59" spans="1:26" ht="8.25" customHeight="1" thickBot="1">
      <c r="A59" s="382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4"/>
      <c r="R59" s="77"/>
      <c r="S59" s="21"/>
      <c r="T59" s="15"/>
      <c r="U59" s="15"/>
      <c r="V59" s="15"/>
      <c r="W59" s="15"/>
      <c r="X59" s="15"/>
      <c r="Y59" s="15"/>
    </row>
    <row r="60" spans="1:26" ht="19.5" customHeight="1">
      <c r="A60" s="385" t="s">
        <v>22</v>
      </c>
      <c r="B60" s="386"/>
      <c r="C60" s="201" t="s">
        <v>23</v>
      </c>
      <c r="D60" s="387" t="s">
        <v>24</v>
      </c>
      <c r="E60" s="386"/>
      <c r="F60" s="203" t="s">
        <v>25</v>
      </c>
      <c r="G60" s="203" t="s">
        <v>26</v>
      </c>
      <c r="H60" s="203" t="s">
        <v>9</v>
      </c>
      <c r="I60" s="203" t="s">
        <v>27</v>
      </c>
      <c r="J60" s="221" t="s">
        <v>259</v>
      </c>
      <c r="K60" s="387" t="s">
        <v>28</v>
      </c>
      <c r="L60" s="386"/>
      <c r="M60" s="202" t="s">
        <v>238</v>
      </c>
      <c r="N60" s="387" t="s">
        <v>258</v>
      </c>
      <c r="O60" s="388"/>
      <c r="P60" s="389"/>
      <c r="R60" s="79" t="s">
        <v>200</v>
      </c>
      <c r="S60" s="67">
        <f>SUMIF(A34:A57,E98,K34:K57)+SUMIF(A61:A83,H98,K61:K83)</f>
        <v>3052500</v>
      </c>
      <c r="T60" s="15" t="s">
        <v>163</v>
      </c>
      <c r="U60" s="15"/>
      <c r="V60" s="272" t="s">
        <v>285</v>
      </c>
      <c r="W60" s="272" t="s">
        <v>286</v>
      </c>
      <c r="X60" s="272" t="s">
        <v>287</v>
      </c>
      <c r="Y60" s="272" t="s">
        <v>288</v>
      </c>
      <c r="Z60" s="272" t="s">
        <v>289</v>
      </c>
    </row>
    <row r="61" spans="1:26" ht="14.1" customHeight="1">
      <c r="A61" s="368" t="s">
        <v>41</v>
      </c>
      <c r="B61" s="369"/>
      <c r="C61" s="194" t="s">
        <v>42</v>
      </c>
      <c r="D61" s="370"/>
      <c r="E61" s="369"/>
      <c r="F61" s="195"/>
      <c r="G61" s="200" t="e">
        <f>IF(A61&lt;&gt;"",$P$4,0)</f>
        <v>#VALUE!</v>
      </c>
      <c r="H61" s="198" t="s">
        <v>148</v>
      </c>
      <c r="I61" s="13">
        <v>5.8376999999999999</v>
      </c>
      <c r="J61" s="227">
        <f t="shared" ref="J61:J76" si="19">IF(ISBLANK(M61),0,IF(ISBLANK(H61),1,SUMIFS($X$98:$X$110,$V$98:$V$110,V61,$W$98:$W$110,U61,$Y$98:$Y$110,Y61,$Z$98:$Z$110,Z61)))</f>
        <v>110</v>
      </c>
      <c r="K61" s="371" t="str">
        <f>IFERROR(G61*I61*J61,"")</f>
        <v/>
      </c>
      <c r="L61" s="372"/>
      <c r="M61" s="214">
        <v>43646</v>
      </c>
      <c r="N61" s="364"/>
      <c r="O61" s="364"/>
      <c r="P61" s="365"/>
      <c r="Q61" s="1" t="str">
        <f t="shared" ref="Q61:Q86" si="20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S61" s="67">
        <f>SUMIF(A61:A79,G98,K61:K79)+SUMIF(A61:A79,H98,K61:K79)+SUMIF(A34:A56,A98,K34:K56)</f>
        <v>80000</v>
      </c>
      <c r="T61" s="15" t="s">
        <v>156</v>
      </c>
      <c r="U61" s="1">
        <f t="shared" ref="U61:U86" si="21">IFERROR(VLOOKUP(H61,$Q$99:$R$101,2,FALSE),1)</f>
        <v>2</v>
      </c>
      <c r="V61" s="1">
        <v>2</v>
      </c>
      <c r="W61" s="1">
        <f t="shared" ref="W61:W86" si="22">U61</f>
        <v>2</v>
      </c>
      <c r="Y61" s="1" t="str">
        <f t="shared" ref="Y61:Y86" si="23">CONCATENATE("&lt;=",M61)</f>
        <v>&lt;=43646</v>
      </c>
      <c r="Z61" s="1" t="str">
        <f t="shared" ref="Z61:Z86" si="24">CONCATENATE("&gt;=",M61)</f>
        <v>&gt;=43646</v>
      </c>
    </row>
    <row r="62" spans="1:26" ht="14.1" customHeight="1">
      <c r="A62" s="368" t="s">
        <v>41</v>
      </c>
      <c r="B62" s="369"/>
      <c r="C62" s="194" t="s">
        <v>243</v>
      </c>
      <c r="D62" s="370"/>
      <c r="E62" s="369"/>
      <c r="F62" s="195"/>
      <c r="G62" s="200" t="e">
        <f t="shared" ref="G62:G65" si="25">IF(A62&lt;&gt;"",$P$4,0)</f>
        <v>#VALUE!</v>
      </c>
      <c r="H62" s="198" t="s">
        <v>148</v>
      </c>
      <c r="I62" s="13">
        <v>5.83</v>
      </c>
      <c r="J62" s="227">
        <f t="shared" si="19"/>
        <v>110</v>
      </c>
      <c r="K62" s="371" t="str">
        <f t="shared" ref="K62:K86" si="26">IFERROR(G62*I62*J62,"")</f>
        <v/>
      </c>
      <c r="L62" s="372"/>
      <c r="M62" s="214">
        <v>43646</v>
      </c>
      <c r="N62" s="364"/>
      <c r="O62" s="364"/>
      <c r="P62" s="365"/>
      <c r="Q62" s="1" t="str">
        <f t="shared" si="20"/>
        <v>2:Set Sample</v>
      </c>
      <c r="R62" s="76"/>
      <c r="S62" s="61">
        <f>SUMIF(A34:A57,E98,K34:K57)+SUMIF(A61:A76,H98,K61:K76)</f>
        <v>3052500</v>
      </c>
      <c r="T62" s="1" t="s">
        <v>199</v>
      </c>
      <c r="U62" s="1">
        <f t="shared" si="21"/>
        <v>2</v>
      </c>
      <c r="V62" s="1">
        <v>2</v>
      </c>
      <c r="W62" s="1">
        <f t="shared" si="22"/>
        <v>2</v>
      </c>
      <c r="Y62" s="1" t="str">
        <f t="shared" si="23"/>
        <v>&lt;=43646</v>
      </c>
      <c r="Z62" s="1" t="str">
        <f t="shared" si="24"/>
        <v>&gt;=43646</v>
      </c>
    </row>
    <row r="63" spans="1:26" ht="14.1" customHeight="1">
      <c r="A63" s="368" t="s">
        <v>49</v>
      </c>
      <c r="B63" s="369"/>
      <c r="C63" s="194" t="s">
        <v>155</v>
      </c>
      <c r="D63" s="370"/>
      <c r="E63" s="369"/>
      <c r="F63" s="195"/>
      <c r="G63" s="200" t="e">
        <f t="shared" si="25"/>
        <v>#VALUE!</v>
      </c>
      <c r="H63" s="198" t="s">
        <v>148</v>
      </c>
      <c r="I63" s="13">
        <v>5.83</v>
      </c>
      <c r="J63" s="227">
        <f t="shared" si="19"/>
        <v>110</v>
      </c>
      <c r="K63" s="371" t="str">
        <f t="shared" si="26"/>
        <v/>
      </c>
      <c r="L63" s="372"/>
      <c r="M63" s="214">
        <v>43646</v>
      </c>
      <c r="N63" s="355"/>
      <c r="O63" s="356"/>
      <c r="P63" s="357"/>
      <c r="Q63" s="1" t="str">
        <f t="shared" si="20"/>
        <v>1:アッセンブリ代</v>
      </c>
      <c r="R63" s="76"/>
      <c r="S63" s="66">
        <f>SUMIF(C61:C83,H100,K61:K83)</f>
        <v>0</v>
      </c>
      <c r="T63" s="1" t="s">
        <v>295</v>
      </c>
      <c r="U63" s="1">
        <f t="shared" si="21"/>
        <v>2</v>
      </c>
      <c r="V63" s="1">
        <v>2</v>
      </c>
      <c r="W63" s="1">
        <f t="shared" si="22"/>
        <v>2</v>
      </c>
      <c r="Y63" s="1" t="str">
        <f t="shared" si="23"/>
        <v>&lt;=43646</v>
      </c>
      <c r="Z63" s="1" t="str">
        <f t="shared" si="24"/>
        <v>&gt;=43646</v>
      </c>
    </row>
    <row r="64" spans="1:26" ht="14.1" customHeight="1">
      <c r="A64" s="368"/>
      <c r="B64" s="369"/>
      <c r="C64" s="194"/>
      <c r="D64" s="370"/>
      <c r="E64" s="369"/>
      <c r="F64" s="195"/>
      <c r="G64" s="200">
        <f t="shared" si="25"/>
        <v>0</v>
      </c>
      <c r="H64" s="198"/>
      <c r="I64" s="13"/>
      <c r="J64" s="227">
        <f t="shared" si="19"/>
        <v>0</v>
      </c>
      <c r="K64" s="371">
        <f t="shared" si="26"/>
        <v>0</v>
      </c>
      <c r="L64" s="372"/>
      <c r="M64" s="214"/>
      <c r="N64" s="364"/>
      <c r="O64" s="364"/>
      <c r="P64" s="365"/>
      <c r="Q64" s="1">
        <f t="shared" si="20"/>
        <v>0</v>
      </c>
      <c r="R64" s="76"/>
      <c r="S64" s="283">
        <f>S62+S65</f>
        <v>3052500</v>
      </c>
      <c r="T64" s="1" t="s">
        <v>296</v>
      </c>
      <c r="U64" s="1">
        <f t="shared" si="21"/>
        <v>1</v>
      </c>
      <c r="V64" s="1">
        <v>2</v>
      </c>
      <c r="W64" s="1">
        <f t="shared" si="22"/>
        <v>1</v>
      </c>
      <c r="Y64" s="1" t="str">
        <f t="shared" si="23"/>
        <v>&lt;=</v>
      </c>
      <c r="Z64" s="1" t="str">
        <f t="shared" si="24"/>
        <v>&gt;=</v>
      </c>
    </row>
    <row r="65" spans="1:26" ht="14.1" customHeight="1">
      <c r="A65" s="368"/>
      <c r="B65" s="369"/>
      <c r="C65" s="194"/>
      <c r="D65" s="370"/>
      <c r="E65" s="369"/>
      <c r="F65" s="195"/>
      <c r="G65" s="200">
        <f t="shared" si="25"/>
        <v>0</v>
      </c>
      <c r="H65" s="198"/>
      <c r="I65" s="13"/>
      <c r="J65" s="227">
        <f t="shared" si="19"/>
        <v>0</v>
      </c>
      <c r="K65" s="371">
        <f t="shared" si="26"/>
        <v>0</v>
      </c>
      <c r="L65" s="372"/>
      <c r="M65" s="214"/>
      <c r="N65" s="364"/>
      <c r="O65" s="364"/>
      <c r="P65" s="365"/>
      <c r="Q65" s="1">
        <f t="shared" si="20"/>
        <v>0</v>
      </c>
      <c r="R65" s="76"/>
      <c r="S65" s="1">
        <f>SUMIF(C77:C85,$K$102,K77:L85)</f>
        <v>0</v>
      </c>
      <c r="U65" s="1">
        <f t="shared" si="21"/>
        <v>1</v>
      </c>
      <c r="V65" s="1">
        <v>2</v>
      </c>
      <c r="W65" s="1">
        <f t="shared" si="22"/>
        <v>1</v>
      </c>
      <c r="Y65" s="1" t="str">
        <f t="shared" si="23"/>
        <v>&lt;=</v>
      </c>
      <c r="Z65" s="1" t="str">
        <f t="shared" si="24"/>
        <v>&gt;=</v>
      </c>
    </row>
    <row r="66" spans="1:26" ht="14.1" customHeight="1">
      <c r="A66" s="368"/>
      <c r="B66" s="369"/>
      <c r="C66" s="194"/>
      <c r="D66" s="370"/>
      <c r="E66" s="369"/>
      <c r="F66" s="195"/>
      <c r="G66" s="200">
        <f t="shared" ref="G66:G77" si="27">IF(A66&lt;&gt;"",$P$4,0)</f>
        <v>0</v>
      </c>
      <c r="H66" s="198"/>
      <c r="I66" s="13"/>
      <c r="J66" s="227">
        <f t="shared" si="19"/>
        <v>0</v>
      </c>
      <c r="K66" s="371">
        <f t="shared" si="26"/>
        <v>0</v>
      </c>
      <c r="L66" s="372"/>
      <c r="M66" s="214"/>
      <c r="N66" s="364"/>
      <c r="O66" s="364"/>
      <c r="P66" s="365"/>
      <c r="Q66" s="1">
        <f t="shared" si="20"/>
        <v>0</v>
      </c>
      <c r="R66" s="76"/>
      <c r="U66" s="1">
        <f t="shared" si="21"/>
        <v>1</v>
      </c>
      <c r="V66" s="1">
        <v>2</v>
      </c>
      <c r="W66" s="1">
        <f t="shared" si="22"/>
        <v>1</v>
      </c>
      <c r="Y66" s="1" t="str">
        <f t="shared" si="23"/>
        <v>&lt;=</v>
      </c>
      <c r="Z66" s="1" t="str">
        <f t="shared" si="24"/>
        <v>&gt;=</v>
      </c>
    </row>
    <row r="67" spans="1:26" ht="14.1" customHeight="1">
      <c r="A67" s="368"/>
      <c r="B67" s="369"/>
      <c r="C67" s="194"/>
      <c r="D67" s="370"/>
      <c r="E67" s="369"/>
      <c r="F67" s="195"/>
      <c r="G67" s="200">
        <f t="shared" si="27"/>
        <v>0</v>
      </c>
      <c r="H67" s="198"/>
      <c r="I67" s="13"/>
      <c r="J67" s="227">
        <f t="shared" si="19"/>
        <v>0</v>
      </c>
      <c r="K67" s="371">
        <f t="shared" si="26"/>
        <v>0</v>
      </c>
      <c r="L67" s="372"/>
      <c r="M67" s="214"/>
      <c r="N67" s="364"/>
      <c r="O67" s="364"/>
      <c r="P67" s="365"/>
      <c r="Q67" s="1">
        <f t="shared" si="20"/>
        <v>0</v>
      </c>
      <c r="R67" s="76"/>
      <c r="U67" s="1">
        <f t="shared" si="21"/>
        <v>1</v>
      </c>
      <c r="V67" s="1">
        <v>2</v>
      </c>
      <c r="W67" s="1">
        <f t="shared" si="22"/>
        <v>1</v>
      </c>
      <c r="Y67" s="1" t="str">
        <f t="shared" si="23"/>
        <v>&lt;=</v>
      </c>
      <c r="Z67" s="1" t="str">
        <f t="shared" si="24"/>
        <v>&gt;=</v>
      </c>
    </row>
    <row r="68" spans="1:26" ht="14.1" customHeight="1">
      <c r="A68" s="368"/>
      <c r="B68" s="369"/>
      <c r="C68" s="194"/>
      <c r="D68" s="370"/>
      <c r="E68" s="369"/>
      <c r="F68" s="195"/>
      <c r="G68" s="200">
        <f t="shared" si="27"/>
        <v>0</v>
      </c>
      <c r="H68" s="198"/>
      <c r="I68" s="13"/>
      <c r="J68" s="227">
        <f t="shared" si="19"/>
        <v>0</v>
      </c>
      <c r="K68" s="371">
        <f t="shared" si="26"/>
        <v>0</v>
      </c>
      <c r="L68" s="372"/>
      <c r="M68" s="214"/>
      <c r="N68" s="364"/>
      <c r="O68" s="364"/>
      <c r="P68" s="365"/>
      <c r="Q68" s="1">
        <f t="shared" si="20"/>
        <v>0</v>
      </c>
      <c r="R68" s="76"/>
      <c r="U68" s="1">
        <f t="shared" si="21"/>
        <v>1</v>
      </c>
      <c r="V68" s="1">
        <v>2</v>
      </c>
      <c r="W68" s="1">
        <f t="shared" si="22"/>
        <v>1</v>
      </c>
      <c r="Y68" s="1" t="str">
        <f t="shared" si="23"/>
        <v>&lt;=</v>
      </c>
      <c r="Z68" s="1" t="str">
        <f t="shared" si="24"/>
        <v>&gt;=</v>
      </c>
    </row>
    <row r="69" spans="1:26" ht="14.1" customHeight="1">
      <c r="A69" s="368"/>
      <c r="B69" s="369"/>
      <c r="C69" s="194"/>
      <c r="D69" s="370"/>
      <c r="E69" s="369"/>
      <c r="F69" s="195"/>
      <c r="G69" s="200">
        <f t="shared" si="27"/>
        <v>0</v>
      </c>
      <c r="H69" s="198"/>
      <c r="I69" s="13"/>
      <c r="J69" s="227">
        <f t="shared" si="19"/>
        <v>0</v>
      </c>
      <c r="K69" s="371">
        <f t="shared" si="26"/>
        <v>0</v>
      </c>
      <c r="L69" s="372"/>
      <c r="M69" s="214"/>
      <c r="N69" s="364"/>
      <c r="O69" s="364"/>
      <c r="P69" s="365"/>
      <c r="Q69" s="1">
        <f t="shared" si="20"/>
        <v>0</v>
      </c>
      <c r="R69" s="76"/>
      <c r="U69" s="1">
        <f t="shared" si="21"/>
        <v>1</v>
      </c>
      <c r="V69" s="1">
        <v>2</v>
      </c>
      <c r="W69" s="1">
        <f t="shared" si="22"/>
        <v>1</v>
      </c>
      <c r="Y69" s="1" t="str">
        <f t="shared" si="23"/>
        <v>&lt;=</v>
      </c>
      <c r="Z69" s="1" t="str">
        <f t="shared" si="24"/>
        <v>&gt;=</v>
      </c>
    </row>
    <row r="70" spans="1:26" ht="14.1" customHeight="1">
      <c r="A70" s="368"/>
      <c r="B70" s="369"/>
      <c r="C70" s="194"/>
      <c r="D70" s="370"/>
      <c r="E70" s="369"/>
      <c r="F70" s="195"/>
      <c r="G70" s="200">
        <f t="shared" si="27"/>
        <v>0</v>
      </c>
      <c r="H70" s="198"/>
      <c r="I70" s="13"/>
      <c r="J70" s="227">
        <f t="shared" si="19"/>
        <v>0</v>
      </c>
      <c r="K70" s="371">
        <f t="shared" si="26"/>
        <v>0</v>
      </c>
      <c r="L70" s="372"/>
      <c r="M70" s="214"/>
      <c r="N70" s="364"/>
      <c r="O70" s="364"/>
      <c r="P70" s="365"/>
      <c r="Q70" s="1">
        <f t="shared" si="20"/>
        <v>0</v>
      </c>
      <c r="R70" s="76"/>
      <c r="U70" s="1">
        <f t="shared" si="21"/>
        <v>1</v>
      </c>
      <c r="V70" s="1">
        <v>2</v>
      </c>
      <c r="W70" s="1">
        <f t="shared" si="22"/>
        <v>1</v>
      </c>
      <c r="Y70" s="1" t="str">
        <f t="shared" si="23"/>
        <v>&lt;=</v>
      </c>
      <c r="Z70" s="1" t="str">
        <f t="shared" si="24"/>
        <v>&gt;=</v>
      </c>
    </row>
    <row r="71" spans="1:26" ht="14.1" customHeight="1">
      <c r="A71" s="368"/>
      <c r="B71" s="369"/>
      <c r="C71" s="194"/>
      <c r="D71" s="370"/>
      <c r="E71" s="369"/>
      <c r="F71" s="195"/>
      <c r="G71" s="200">
        <f t="shared" si="27"/>
        <v>0</v>
      </c>
      <c r="H71" s="198"/>
      <c r="I71" s="13"/>
      <c r="J71" s="227">
        <f t="shared" si="19"/>
        <v>0</v>
      </c>
      <c r="K71" s="371">
        <f t="shared" si="26"/>
        <v>0</v>
      </c>
      <c r="L71" s="372"/>
      <c r="M71" s="214"/>
      <c r="N71" s="364"/>
      <c r="O71" s="364"/>
      <c r="P71" s="365"/>
      <c r="Q71" s="1">
        <f t="shared" si="20"/>
        <v>0</v>
      </c>
      <c r="R71" s="76"/>
      <c r="U71" s="1">
        <f t="shared" si="21"/>
        <v>1</v>
      </c>
      <c r="V71" s="1">
        <v>2</v>
      </c>
      <c r="W71" s="1">
        <f t="shared" si="22"/>
        <v>1</v>
      </c>
      <c r="Y71" s="1" t="str">
        <f t="shared" si="23"/>
        <v>&lt;=</v>
      </c>
      <c r="Z71" s="1" t="str">
        <f t="shared" si="24"/>
        <v>&gt;=</v>
      </c>
    </row>
    <row r="72" spans="1:26" ht="14.1" customHeight="1">
      <c r="A72" s="368"/>
      <c r="B72" s="369"/>
      <c r="C72" s="194"/>
      <c r="D72" s="370"/>
      <c r="E72" s="369"/>
      <c r="F72" s="195"/>
      <c r="G72" s="200">
        <f t="shared" si="27"/>
        <v>0</v>
      </c>
      <c r="H72" s="198"/>
      <c r="I72" s="13"/>
      <c r="J72" s="227">
        <f t="shared" si="19"/>
        <v>0</v>
      </c>
      <c r="K72" s="371">
        <f t="shared" si="26"/>
        <v>0</v>
      </c>
      <c r="L72" s="372"/>
      <c r="M72" s="214"/>
      <c r="N72" s="364"/>
      <c r="O72" s="364"/>
      <c r="P72" s="365"/>
      <c r="Q72" s="1">
        <f t="shared" si="20"/>
        <v>0</v>
      </c>
      <c r="R72" s="76"/>
      <c r="U72" s="1">
        <f t="shared" si="21"/>
        <v>1</v>
      </c>
      <c r="V72" s="1">
        <v>2</v>
      </c>
      <c r="W72" s="1">
        <f t="shared" si="22"/>
        <v>1</v>
      </c>
      <c r="Y72" s="1" t="str">
        <f t="shared" si="23"/>
        <v>&lt;=</v>
      </c>
      <c r="Z72" s="1" t="str">
        <f t="shared" si="24"/>
        <v>&gt;=</v>
      </c>
    </row>
    <row r="73" spans="1:26" ht="14.1" customHeight="1">
      <c r="A73" s="368"/>
      <c r="B73" s="369"/>
      <c r="C73" s="194"/>
      <c r="D73" s="370"/>
      <c r="E73" s="369"/>
      <c r="F73" s="195"/>
      <c r="G73" s="200">
        <f t="shared" si="27"/>
        <v>0</v>
      </c>
      <c r="H73" s="198"/>
      <c r="I73" s="13"/>
      <c r="J73" s="227">
        <f t="shared" si="19"/>
        <v>0</v>
      </c>
      <c r="K73" s="371">
        <f t="shared" si="26"/>
        <v>0</v>
      </c>
      <c r="L73" s="372"/>
      <c r="M73" s="214"/>
      <c r="N73" s="364"/>
      <c r="O73" s="364"/>
      <c r="P73" s="365"/>
      <c r="Q73" s="1">
        <f t="shared" si="20"/>
        <v>0</v>
      </c>
      <c r="R73" s="76"/>
      <c r="U73" s="1">
        <f t="shared" si="21"/>
        <v>1</v>
      </c>
      <c r="V73" s="1">
        <v>2</v>
      </c>
      <c r="W73" s="1">
        <f t="shared" si="22"/>
        <v>1</v>
      </c>
      <c r="Y73" s="1" t="str">
        <f t="shared" si="23"/>
        <v>&lt;=</v>
      </c>
      <c r="Z73" s="1" t="str">
        <f t="shared" si="24"/>
        <v>&gt;=</v>
      </c>
    </row>
    <row r="74" spans="1:26" ht="14.1" customHeight="1">
      <c r="A74" s="368" t="s">
        <v>50</v>
      </c>
      <c r="B74" s="369"/>
      <c r="C74" s="194" t="s">
        <v>262</v>
      </c>
      <c r="D74" s="370"/>
      <c r="E74" s="369"/>
      <c r="F74" s="195"/>
      <c r="G74" s="200" t="e">
        <f t="shared" si="27"/>
        <v>#VALUE!</v>
      </c>
      <c r="H74" s="198"/>
      <c r="I74" s="13"/>
      <c r="J74" s="227">
        <f t="shared" si="19"/>
        <v>0</v>
      </c>
      <c r="K74" s="371" t="str">
        <f t="shared" si="26"/>
        <v/>
      </c>
      <c r="L74" s="372"/>
      <c r="M74" s="214"/>
      <c r="N74" s="364"/>
      <c r="O74" s="364"/>
      <c r="P74" s="365"/>
      <c r="Q74" s="1" t="str">
        <f t="shared" si="20"/>
        <v>1:製造経費</v>
      </c>
      <c r="R74" s="76"/>
      <c r="U74" s="1">
        <f t="shared" si="21"/>
        <v>1</v>
      </c>
      <c r="V74" s="1">
        <v>2</v>
      </c>
      <c r="W74" s="1">
        <f t="shared" si="22"/>
        <v>1</v>
      </c>
      <c r="Y74" s="1" t="str">
        <f t="shared" si="23"/>
        <v>&lt;=</v>
      </c>
      <c r="Z74" s="1" t="str">
        <f t="shared" si="24"/>
        <v>&gt;=</v>
      </c>
    </row>
    <row r="75" spans="1:26" ht="14.1" customHeight="1">
      <c r="A75" s="368"/>
      <c r="B75" s="369"/>
      <c r="C75" s="194"/>
      <c r="D75" s="370"/>
      <c r="E75" s="369"/>
      <c r="F75" s="195"/>
      <c r="G75" s="200">
        <f t="shared" si="27"/>
        <v>0</v>
      </c>
      <c r="H75" s="198"/>
      <c r="I75" s="13"/>
      <c r="J75" s="227">
        <f t="shared" si="19"/>
        <v>0</v>
      </c>
      <c r="K75" s="371">
        <f t="shared" si="26"/>
        <v>0</v>
      </c>
      <c r="L75" s="372"/>
      <c r="M75" s="214"/>
      <c r="N75" s="355"/>
      <c r="O75" s="356"/>
      <c r="P75" s="357"/>
      <c r="Q75" s="1">
        <f t="shared" si="20"/>
        <v>0</v>
      </c>
      <c r="R75" s="76"/>
      <c r="U75" s="1">
        <f t="shared" si="21"/>
        <v>1</v>
      </c>
      <c r="V75" s="1">
        <v>2</v>
      </c>
      <c r="W75" s="1">
        <f t="shared" si="22"/>
        <v>1</v>
      </c>
      <c r="Y75" s="1" t="str">
        <f t="shared" si="23"/>
        <v>&lt;=</v>
      </c>
      <c r="Z75" s="1" t="str">
        <f t="shared" si="24"/>
        <v>&gt;=</v>
      </c>
    </row>
    <row r="76" spans="1:26" ht="14.1" customHeight="1">
      <c r="A76" s="368"/>
      <c r="B76" s="369"/>
      <c r="C76" s="194"/>
      <c r="D76" s="370"/>
      <c r="E76" s="369"/>
      <c r="F76" s="195"/>
      <c r="G76" s="200">
        <f t="shared" si="27"/>
        <v>0</v>
      </c>
      <c r="H76" s="198"/>
      <c r="I76" s="13"/>
      <c r="J76" s="227">
        <f t="shared" si="19"/>
        <v>0</v>
      </c>
      <c r="K76" s="371">
        <f t="shared" si="26"/>
        <v>0</v>
      </c>
      <c r="L76" s="372"/>
      <c r="M76" s="214"/>
      <c r="N76" s="364"/>
      <c r="O76" s="364"/>
      <c r="P76" s="365"/>
      <c r="Q76" s="1">
        <f t="shared" si="20"/>
        <v>0</v>
      </c>
      <c r="R76" s="76"/>
      <c r="U76" s="1">
        <f t="shared" si="21"/>
        <v>1</v>
      </c>
      <c r="V76" s="1">
        <v>2</v>
      </c>
      <c r="W76" s="1">
        <f t="shared" si="22"/>
        <v>1</v>
      </c>
      <c r="Y76" s="1" t="str">
        <f t="shared" si="23"/>
        <v>&lt;=</v>
      </c>
      <c r="Z76" s="1" t="str">
        <f t="shared" si="24"/>
        <v>&gt;=</v>
      </c>
    </row>
    <row r="77" spans="1:26" ht="14.1" customHeight="1">
      <c r="A77" s="362" t="s">
        <v>45</v>
      </c>
      <c r="B77" s="363"/>
      <c r="C77" s="243" t="s">
        <v>152</v>
      </c>
      <c r="D77" s="366">
        <v>0.03</v>
      </c>
      <c r="E77" s="367"/>
      <c r="F77" s="251"/>
      <c r="G77" s="252" t="e">
        <f t="shared" si="27"/>
        <v>#VALUE!</v>
      </c>
      <c r="H77" s="253" t="s">
        <v>14</v>
      </c>
      <c r="I77" s="260" t="e">
        <f>IF(D77&lt;&gt;"",IF(G77&lt;&gt;"",ROUNDDOWN(IF(C77=$K$102,$S$62,0)*D77/G77,4),""),"")</f>
        <v>#VALUE!</v>
      </c>
      <c r="J77" s="261">
        <f t="shared" ref="J77:J85" si="28">IF(ISBLANK(M77),1,IF(ISBLANK(H77),1,SUMIFS($X$98:$X$110,$V$98:$V$110,V77,$W$98:$W$110,U77,$Y$98:$Y$110,Y77,$Z$98:$Z$110,Z77)))</f>
        <v>1</v>
      </c>
      <c r="K77" s="353" t="str">
        <f t="shared" si="26"/>
        <v/>
      </c>
      <c r="L77" s="354"/>
      <c r="M77" s="214">
        <v>43646</v>
      </c>
      <c r="N77" s="364" t="s">
        <v>210</v>
      </c>
      <c r="O77" s="364"/>
      <c r="P77" s="365"/>
      <c r="Q77" s="1" t="str">
        <f t="shared" si="20"/>
        <v>3:関税</v>
      </c>
      <c r="R77" s="76"/>
      <c r="U77" s="1">
        <f t="shared" si="21"/>
        <v>1</v>
      </c>
      <c r="V77" s="1">
        <v>2</v>
      </c>
      <c r="W77" s="1">
        <f t="shared" si="22"/>
        <v>1</v>
      </c>
      <c r="Y77" s="1" t="str">
        <f t="shared" si="23"/>
        <v>&lt;=43646</v>
      </c>
      <c r="Z77" s="1" t="str">
        <f t="shared" si="24"/>
        <v>&gt;=43646</v>
      </c>
    </row>
    <row r="78" spans="1:26" ht="14.1" customHeight="1">
      <c r="A78" s="362" t="s">
        <v>50</v>
      </c>
      <c r="B78" s="363"/>
      <c r="C78" s="243" t="s">
        <v>159</v>
      </c>
      <c r="D78" s="358"/>
      <c r="E78" s="359"/>
      <c r="F78" s="251"/>
      <c r="G78" s="252" t="e">
        <f>IF(A78&lt;&gt;"",$P$4,0)</f>
        <v>#VALUE!</v>
      </c>
      <c r="H78" s="253" t="s">
        <v>14</v>
      </c>
      <c r="I78" s="260">
        <v>20</v>
      </c>
      <c r="J78" s="261">
        <f t="shared" si="28"/>
        <v>1</v>
      </c>
      <c r="K78" s="353" t="str">
        <f t="shared" si="26"/>
        <v/>
      </c>
      <c r="L78" s="354"/>
      <c r="M78" s="214">
        <v>43646</v>
      </c>
      <c r="N78" s="364" t="s">
        <v>211</v>
      </c>
      <c r="O78" s="364"/>
      <c r="P78" s="365"/>
      <c r="Q78" s="1" t="str">
        <f t="shared" si="20"/>
        <v>4:検査費</v>
      </c>
      <c r="R78" s="76"/>
      <c r="U78" s="1">
        <f t="shared" si="21"/>
        <v>1</v>
      </c>
      <c r="V78" s="1">
        <v>2</v>
      </c>
      <c r="W78" s="1">
        <f t="shared" si="22"/>
        <v>1</v>
      </c>
      <c r="Y78" s="1" t="str">
        <f t="shared" si="23"/>
        <v>&lt;=43646</v>
      </c>
      <c r="Z78" s="1" t="str">
        <f t="shared" si="24"/>
        <v>&gt;=43646</v>
      </c>
    </row>
    <row r="79" spans="1:26" ht="14.1" customHeight="1">
      <c r="A79" s="362" t="s">
        <v>43</v>
      </c>
      <c r="B79" s="363"/>
      <c r="C79" s="243" t="s">
        <v>44</v>
      </c>
      <c r="D79" s="358"/>
      <c r="E79" s="359"/>
      <c r="F79" s="251"/>
      <c r="G79" s="252" t="e">
        <f t="shared" ref="G79:G85" si="29">IF(A79&lt;&gt;"",$P$4,0)</f>
        <v>#VALUE!</v>
      </c>
      <c r="H79" s="253" t="s">
        <v>14</v>
      </c>
      <c r="I79" s="260" t="str">
        <f>IF(D79&lt;&gt;"",IF(G79&lt;&gt;"",ROUNDDOWN(IF(C79=$K$102,$S$62,0)*D79/G79,4),""),"")</f>
        <v/>
      </c>
      <c r="J79" s="261">
        <f t="shared" si="28"/>
        <v>1</v>
      </c>
      <c r="K79" s="353" t="str">
        <f t="shared" si="26"/>
        <v/>
      </c>
      <c r="L79" s="354"/>
      <c r="M79" s="214">
        <v>43646</v>
      </c>
      <c r="N79" s="364" t="s">
        <v>212</v>
      </c>
      <c r="O79" s="364"/>
      <c r="P79" s="365"/>
      <c r="Q79" s="1" t="str">
        <f t="shared" si="20"/>
        <v>1:証紙</v>
      </c>
      <c r="R79" s="76"/>
      <c r="U79" s="1">
        <f t="shared" si="21"/>
        <v>1</v>
      </c>
      <c r="V79" s="1">
        <v>2</v>
      </c>
      <c r="W79" s="1">
        <f t="shared" si="22"/>
        <v>1</v>
      </c>
      <c r="Y79" s="1" t="str">
        <f t="shared" si="23"/>
        <v>&lt;=43646</v>
      </c>
      <c r="Z79" s="1" t="str">
        <f t="shared" si="24"/>
        <v>&gt;=43646</v>
      </c>
    </row>
    <row r="80" spans="1:26" ht="14.1" customHeight="1">
      <c r="A80" s="342"/>
      <c r="B80" s="343"/>
      <c r="C80" s="244"/>
      <c r="D80" s="360"/>
      <c r="E80" s="361"/>
      <c r="F80" s="251"/>
      <c r="G80" s="252">
        <f t="shared" si="29"/>
        <v>0</v>
      </c>
      <c r="H80" s="253" t="s">
        <v>14</v>
      </c>
      <c r="I80" s="260" t="str">
        <f>IF(D80&lt;&gt;"",IF(G80&lt;&gt;"",ROUNDDOWN(IF(C80=$K$102,$S$62,0)*D80/G80,4),""),"")</f>
        <v/>
      </c>
      <c r="J80" s="261">
        <f t="shared" si="28"/>
        <v>1</v>
      </c>
      <c r="K80" s="353" t="str">
        <f t="shared" si="26"/>
        <v/>
      </c>
      <c r="L80" s="354"/>
      <c r="M80" s="214"/>
      <c r="N80" s="355" t="s">
        <v>207</v>
      </c>
      <c r="O80" s="356"/>
      <c r="P80" s="357"/>
      <c r="Q80" s="1">
        <f t="shared" si="20"/>
        <v>0</v>
      </c>
      <c r="R80" s="76"/>
      <c r="U80" s="1">
        <f t="shared" si="21"/>
        <v>1</v>
      </c>
      <c r="V80" s="1">
        <v>2</v>
      </c>
      <c r="W80" s="1">
        <f t="shared" si="22"/>
        <v>1</v>
      </c>
      <c r="Y80" s="1" t="str">
        <f t="shared" si="23"/>
        <v>&lt;=</v>
      </c>
      <c r="Z80" s="1" t="str">
        <f t="shared" si="24"/>
        <v>&gt;=</v>
      </c>
    </row>
    <row r="81" spans="1:26" ht="14.1" customHeight="1">
      <c r="A81" s="342" t="s">
        <v>50</v>
      </c>
      <c r="B81" s="343"/>
      <c r="C81" s="244" t="s">
        <v>158</v>
      </c>
      <c r="D81" s="358"/>
      <c r="E81" s="359"/>
      <c r="F81" s="251"/>
      <c r="G81" s="252" t="e">
        <f t="shared" si="29"/>
        <v>#VALUE!</v>
      </c>
      <c r="H81" s="253" t="s">
        <v>14</v>
      </c>
      <c r="I81" s="260">
        <v>150000</v>
      </c>
      <c r="J81" s="261">
        <f t="shared" si="28"/>
        <v>1</v>
      </c>
      <c r="K81" s="353" t="str">
        <f t="shared" si="26"/>
        <v/>
      </c>
      <c r="L81" s="354"/>
      <c r="M81" s="263"/>
      <c r="N81" s="355"/>
      <c r="O81" s="356"/>
      <c r="P81" s="357"/>
      <c r="Q81" s="1" t="str">
        <f t="shared" si="20"/>
        <v>3:運賃(FEDEX、BLPなど)</v>
      </c>
      <c r="R81" s="235"/>
      <c r="U81" s="1">
        <f t="shared" si="21"/>
        <v>1</v>
      </c>
      <c r="V81" s="1">
        <v>2</v>
      </c>
      <c r="W81" s="1">
        <f t="shared" si="22"/>
        <v>1</v>
      </c>
      <c r="Y81" s="1" t="str">
        <f t="shared" si="23"/>
        <v>&lt;=</v>
      </c>
      <c r="Z81" s="1" t="str">
        <f t="shared" si="24"/>
        <v>&gt;=</v>
      </c>
    </row>
    <row r="82" spans="1:26" ht="14.1" customHeight="1">
      <c r="A82" s="342" t="s">
        <v>45</v>
      </c>
      <c r="B82" s="343"/>
      <c r="C82" s="244" t="s">
        <v>39</v>
      </c>
      <c r="D82" s="358"/>
      <c r="E82" s="359"/>
      <c r="F82" s="251"/>
      <c r="G82" s="252" t="e">
        <f t="shared" si="29"/>
        <v>#VALUE!</v>
      </c>
      <c r="H82" s="253" t="s">
        <v>14</v>
      </c>
      <c r="I82" s="260">
        <v>20</v>
      </c>
      <c r="J82" s="261">
        <f t="shared" si="28"/>
        <v>1</v>
      </c>
      <c r="K82" s="353" t="str">
        <f t="shared" si="26"/>
        <v/>
      </c>
      <c r="L82" s="354"/>
      <c r="M82" s="263"/>
      <c r="N82" s="355"/>
      <c r="O82" s="356"/>
      <c r="P82" s="357"/>
      <c r="Q82" s="1" t="str">
        <f t="shared" si="20"/>
        <v>99:－</v>
      </c>
      <c r="R82" s="235"/>
      <c r="U82" s="1">
        <f t="shared" si="21"/>
        <v>1</v>
      </c>
      <c r="V82" s="1">
        <v>2</v>
      </c>
      <c r="W82" s="1">
        <f t="shared" si="22"/>
        <v>1</v>
      </c>
      <c r="Y82" s="1" t="str">
        <f t="shared" si="23"/>
        <v>&lt;=</v>
      </c>
      <c r="Z82" s="1" t="str">
        <f t="shared" si="24"/>
        <v>&gt;=</v>
      </c>
    </row>
    <row r="83" spans="1:26" ht="14.1" customHeight="1" thickBot="1">
      <c r="A83" s="342"/>
      <c r="B83" s="343"/>
      <c r="C83" s="244"/>
      <c r="D83" s="360"/>
      <c r="E83" s="361"/>
      <c r="F83" s="251"/>
      <c r="G83" s="252">
        <f t="shared" si="29"/>
        <v>0</v>
      </c>
      <c r="H83" s="253" t="s">
        <v>14</v>
      </c>
      <c r="I83" s="260" t="str">
        <f t="shared" ref="I83:I85" si="30">IF(D83&lt;&gt;"",IF(G83&lt;&gt;"",ROUNDDOWN(IF(C83=$K$102,$S$62,0)*D83/G83,4),""),"")</f>
        <v/>
      </c>
      <c r="J83" s="261">
        <f t="shared" si="28"/>
        <v>1</v>
      </c>
      <c r="K83" s="353" t="str">
        <f t="shared" si="26"/>
        <v/>
      </c>
      <c r="L83" s="354"/>
      <c r="M83" s="214"/>
      <c r="N83" s="355" t="s">
        <v>208</v>
      </c>
      <c r="O83" s="356"/>
      <c r="P83" s="357"/>
      <c r="Q83" s="1">
        <f t="shared" si="20"/>
        <v>0</v>
      </c>
      <c r="R83" s="78"/>
      <c r="U83" s="1">
        <f t="shared" si="21"/>
        <v>1</v>
      </c>
      <c r="V83" s="1">
        <v>2</v>
      </c>
      <c r="W83" s="1">
        <f t="shared" si="22"/>
        <v>1</v>
      </c>
      <c r="Y83" s="1" t="str">
        <f t="shared" si="23"/>
        <v>&lt;=</v>
      </c>
      <c r="Z83" s="1" t="str">
        <f t="shared" si="24"/>
        <v>&gt;=</v>
      </c>
    </row>
    <row r="84" spans="1:26" ht="14.1" customHeight="1">
      <c r="A84" s="342"/>
      <c r="B84" s="343"/>
      <c r="C84" s="245"/>
      <c r="D84" s="358"/>
      <c r="E84" s="359"/>
      <c r="F84" s="254"/>
      <c r="G84" s="255">
        <f t="shared" si="29"/>
        <v>0</v>
      </c>
      <c r="H84" s="256"/>
      <c r="I84" s="260" t="str">
        <f t="shared" si="30"/>
        <v/>
      </c>
      <c r="J84" s="261">
        <f t="shared" si="28"/>
        <v>1</v>
      </c>
      <c r="K84" s="353" t="str">
        <f t="shared" si="26"/>
        <v/>
      </c>
      <c r="L84" s="354"/>
      <c r="M84" s="264"/>
      <c r="N84" s="355"/>
      <c r="O84" s="356"/>
      <c r="P84" s="357"/>
      <c r="Q84" s="1">
        <f t="shared" si="20"/>
        <v>0</v>
      </c>
      <c r="R84" s="236"/>
      <c r="U84" s="1">
        <f t="shared" si="21"/>
        <v>1</v>
      </c>
      <c r="V84" s="1">
        <v>2</v>
      </c>
      <c r="W84" s="1">
        <f t="shared" si="22"/>
        <v>1</v>
      </c>
      <c r="Y84" s="1" t="str">
        <f t="shared" si="23"/>
        <v>&lt;=</v>
      </c>
      <c r="Z84" s="1" t="str">
        <f t="shared" si="24"/>
        <v>&gt;=</v>
      </c>
    </row>
    <row r="85" spans="1:26" ht="14.1" customHeight="1">
      <c r="A85" s="342"/>
      <c r="B85" s="343"/>
      <c r="C85" s="245"/>
      <c r="D85" s="358"/>
      <c r="E85" s="359"/>
      <c r="F85" s="254"/>
      <c r="G85" s="255">
        <f t="shared" si="29"/>
        <v>0</v>
      </c>
      <c r="H85" s="256"/>
      <c r="I85" s="260" t="str">
        <f t="shared" si="30"/>
        <v/>
      </c>
      <c r="J85" s="261">
        <f t="shared" si="28"/>
        <v>1</v>
      </c>
      <c r="K85" s="353" t="str">
        <f t="shared" si="26"/>
        <v/>
      </c>
      <c r="L85" s="354"/>
      <c r="M85" s="264"/>
      <c r="N85" s="355"/>
      <c r="O85" s="356"/>
      <c r="P85" s="357"/>
      <c r="Q85" s="1">
        <f t="shared" si="20"/>
        <v>0</v>
      </c>
      <c r="R85" s="236"/>
      <c r="U85" s="1">
        <f t="shared" si="21"/>
        <v>1</v>
      </c>
      <c r="V85" s="1">
        <v>2</v>
      </c>
      <c r="W85" s="1">
        <f t="shared" si="22"/>
        <v>1</v>
      </c>
      <c r="Y85" s="1" t="str">
        <f t="shared" si="23"/>
        <v>&lt;=</v>
      </c>
      <c r="Z85" s="1" t="str">
        <f t="shared" si="24"/>
        <v>&gt;=</v>
      </c>
    </row>
    <row r="86" spans="1:26" ht="14.1" customHeight="1" thickBot="1">
      <c r="A86" s="344" t="s">
        <v>45</v>
      </c>
      <c r="B86" s="345"/>
      <c r="C86" s="246" t="s">
        <v>303</v>
      </c>
      <c r="D86" s="346">
        <v>0.03</v>
      </c>
      <c r="E86" s="347"/>
      <c r="F86" s="257"/>
      <c r="G86" s="258" t="e">
        <f t="shared" ref="G86" si="31">IF(A86&lt;&gt;"",$P$4,0)</f>
        <v>#VALUE!</v>
      </c>
      <c r="H86" s="259" t="s">
        <v>14</v>
      </c>
      <c r="I86" s="284" t="e">
        <f>IF(D86&lt;&gt;"",IF(G86&lt;&gt;"",ROUNDDOWN(IF(C86=$K$101,$S$64,IF(C86=$K$102,$S$62,0))*D86/G86,4),""),"")</f>
        <v>#VALUE!</v>
      </c>
      <c r="J86" s="262">
        <f t="shared" ref="J86" si="32">IF(ISBLANK(M86),1,IF(ISBLANK(H86),1,SUMIFS($X$98:$X$110,$V$98:$V$110,V86,$W$98:$W$110,U86,$Y$98:$Y$110,Y86,$Z$98:$Z$110,Z86)))</f>
        <v>1</v>
      </c>
      <c r="K86" s="348" t="str">
        <f t="shared" si="26"/>
        <v/>
      </c>
      <c r="L86" s="349"/>
      <c r="M86" s="265"/>
      <c r="N86" s="350" t="s">
        <v>304</v>
      </c>
      <c r="O86" s="351"/>
      <c r="P86" s="352"/>
      <c r="Q86" s="1" t="str">
        <f t="shared" si="20"/>
        <v>2:輸入費用</v>
      </c>
      <c r="U86" s="1">
        <f t="shared" si="21"/>
        <v>1</v>
      </c>
      <c r="V86" s="1">
        <v>2</v>
      </c>
      <c r="W86" s="1">
        <f t="shared" si="22"/>
        <v>1</v>
      </c>
      <c r="Y86" s="1" t="str">
        <f t="shared" si="23"/>
        <v>&lt;=</v>
      </c>
      <c r="Z86" s="1" t="str">
        <f t="shared" si="24"/>
        <v>&gt;=</v>
      </c>
    </row>
    <row r="87" spans="1:26" ht="6" customHeight="1" thickBot="1">
      <c r="A87" s="247"/>
      <c r="B87" s="248"/>
      <c r="C87" s="248"/>
      <c r="D87" s="248"/>
      <c r="E87" s="248"/>
      <c r="F87" s="248"/>
      <c r="G87" s="249"/>
      <c r="H87" s="249"/>
      <c r="I87" s="250"/>
      <c r="J87" s="250"/>
      <c r="K87" s="250"/>
      <c r="L87" s="250"/>
      <c r="M87" s="29"/>
      <c r="N87" s="293"/>
      <c r="O87" s="293"/>
      <c r="P87" s="331"/>
    </row>
    <row r="88" spans="1:26" ht="16.5" customHeight="1">
      <c r="A88" s="332" t="s">
        <v>240</v>
      </c>
      <c r="B88" s="333"/>
      <c r="C88" s="287">
        <f>I16</f>
        <v>144000</v>
      </c>
      <c r="D88" s="129"/>
      <c r="E88" s="334" t="s">
        <v>239</v>
      </c>
      <c r="F88" s="335"/>
      <c r="G88" s="333"/>
      <c r="H88" s="336">
        <f>I31</f>
        <v>85000</v>
      </c>
      <c r="I88" s="337"/>
      <c r="J88" s="266"/>
      <c r="K88" s="130"/>
      <c r="L88" s="338" t="s">
        <v>241</v>
      </c>
      <c r="M88" s="339"/>
      <c r="N88" s="340">
        <f>C88+H88</f>
        <v>229000</v>
      </c>
      <c r="O88" s="341"/>
      <c r="P88" s="131"/>
    </row>
    <row r="89" spans="1:26" ht="16.5" customHeight="1">
      <c r="A89" s="317" t="s">
        <v>264</v>
      </c>
      <c r="B89" s="318"/>
      <c r="C89" s="288">
        <f>C88-K94</f>
        <v>-3108500</v>
      </c>
      <c r="D89" s="158">
        <f>C89/C88</f>
        <v>-21.586805555555557</v>
      </c>
      <c r="E89" s="319" t="s">
        <v>265</v>
      </c>
      <c r="F89" s="320"/>
      <c r="G89" s="321"/>
      <c r="H89" s="322">
        <f>H88-N58</f>
        <v>5000</v>
      </c>
      <c r="I89" s="323"/>
      <c r="J89" s="267"/>
      <c r="K89" s="158">
        <f>H89/H88</f>
        <v>5.8823529411764705E-2</v>
      </c>
      <c r="L89" s="319" t="s">
        <v>250</v>
      </c>
      <c r="M89" s="321"/>
      <c r="N89" s="324">
        <f>C89+H89</f>
        <v>-3103500</v>
      </c>
      <c r="O89" s="325"/>
      <c r="P89" s="286">
        <f>N89/N88</f>
        <v>-13.552401746724891</v>
      </c>
    </row>
    <row r="90" spans="1:26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9"/>
      <c r="K90" s="326" t="s">
        <v>242</v>
      </c>
      <c r="L90" s="327"/>
      <c r="M90" s="328"/>
      <c r="N90" s="329">
        <f>ROUNDDOWN((N88*P90),0)</f>
        <v>13923</v>
      </c>
      <c r="O90" s="330"/>
      <c r="P90" s="183">
        <v>6.08E-2</v>
      </c>
    </row>
    <row r="91" spans="1:26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30"/>
      <c r="K91" s="306" t="s">
        <v>248</v>
      </c>
      <c r="L91" s="309"/>
      <c r="M91" s="307"/>
      <c r="N91" s="310">
        <f>N89-N90</f>
        <v>-3117423</v>
      </c>
      <c r="O91" s="311"/>
      <c r="P91" s="127">
        <f>N91/N88</f>
        <v>-13.613200873362445</v>
      </c>
    </row>
    <row r="92" spans="1:26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 t="e">
        <f>$P$4</f>
        <v>#VALUE!</v>
      </c>
      <c r="H92" s="31"/>
      <c r="I92" s="32" t="e">
        <f>IF(G92&gt;0,K92/G92,)</f>
        <v>#VALUE!</v>
      </c>
      <c r="J92" s="32"/>
      <c r="K92" s="315">
        <f>SUMIF(F61:F86,"&lt;&gt;"&amp;$P$100,K61:K86)</f>
        <v>0</v>
      </c>
      <c r="L92" s="315"/>
      <c r="M92" s="32"/>
      <c r="N92" s="316"/>
      <c r="O92" s="316"/>
      <c r="P92" s="118"/>
    </row>
    <row r="93" spans="1:26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 t="e">
        <f>$P$4</f>
        <v>#VALUE!</v>
      </c>
      <c r="H93" s="34"/>
      <c r="I93" s="117" t="e">
        <f>IF(G93&gt;0,K93/G93,)</f>
        <v>#VALUE!</v>
      </c>
      <c r="J93" s="92"/>
      <c r="K93" s="297">
        <f>SUMIF(F34:F86,$P$100,K34:K86)</f>
        <v>3252500</v>
      </c>
      <c r="L93" s="298"/>
      <c r="M93" s="92"/>
      <c r="N93" s="299"/>
      <c r="O93" s="300"/>
      <c r="P93" s="35"/>
    </row>
    <row r="94" spans="1:26" ht="16.5" customHeight="1" thickBot="1">
      <c r="A94" s="301" t="s">
        <v>251</v>
      </c>
      <c r="B94" s="302"/>
      <c r="C94" s="303" t="s">
        <v>252</v>
      </c>
      <c r="D94" s="303"/>
      <c r="E94" s="303"/>
      <c r="F94" s="303"/>
      <c r="G94" s="237" t="e">
        <f>$P$4</f>
        <v>#VALUE!</v>
      </c>
      <c r="H94" s="238"/>
      <c r="I94" s="115" t="e">
        <f>IF(G94&gt;0,K94/G94,)</f>
        <v>#VALUE!</v>
      </c>
      <c r="J94" s="230"/>
      <c r="K94" s="304">
        <f>SUM(K92:K93)</f>
        <v>3252500</v>
      </c>
      <c r="L94" s="305"/>
      <c r="M94" s="306" t="s">
        <v>245</v>
      </c>
      <c r="N94" s="307"/>
      <c r="O94" s="304">
        <f>N58</f>
        <v>80000</v>
      </c>
      <c r="P94" s="308"/>
    </row>
    <row r="95" spans="1:26" ht="16.5" customHeight="1">
      <c r="A95" s="291" t="s">
        <v>48</v>
      </c>
      <c r="B95" s="291"/>
      <c r="C95" s="291"/>
      <c r="D95" s="291"/>
      <c r="E95" s="291"/>
      <c r="F95" s="291"/>
      <c r="G95" s="291"/>
      <c r="H95" s="268"/>
      <c r="I95" s="292" t="s">
        <v>66</v>
      </c>
      <c r="J95" s="292"/>
      <c r="K95" s="292"/>
      <c r="L95" s="292"/>
      <c r="M95" s="292"/>
      <c r="N95" s="292"/>
      <c r="O95" s="292"/>
      <c r="P95" s="292"/>
    </row>
    <row r="96" spans="1:26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</row>
    <row r="97" spans="1:26" ht="66">
      <c r="V97" s="272" t="s">
        <v>285</v>
      </c>
      <c r="W97" s="272" t="s">
        <v>286</v>
      </c>
      <c r="X97" s="272" t="s">
        <v>287</v>
      </c>
      <c r="Y97" s="272" t="s">
        <v>288</v>
      </c>
      <c r="Z97" s="272" t="s">
        <v>289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267</v>
      </c>
      <c r="T98" s="93" t="s">
        <v>268</v>
      </c>
      <c r="U98" s="93" t="s">
        <v>299</v>
      </c>
      <c r="V98" s="273">
        <v>2</v>
      </c>
      <c r="W98" s="273">
        <v>1</v>
      </c>
      <c r="X98" s="274">
        <v>1</v>
      </c>
      <c r="Y98" s="275">
        <v>153</v>
      </c>
      <c r="Z98" s="275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73">
        <v>2</v>
      </c>
      <c r="W99" s="273">
        <v>2</v>
      </c>
      <c r="X99" s="274">
        <v>110</v>
      </c>
      <c r="Y99" s="275">
        <v>43617</v>
      </c>
      <c r="Z99" s="275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269</v>
      </c>
      <c r="T100" s="42" t="s">
        <v>270</v>
      </c>
      <c r="U100" s="42" t="s">
        <v>233</v>
      </c>
      <c r="V100" s="273">
        <v>2</v>
      </c>
      <c r="W100" s="273">
        <v>3</v>
      </c>
      <c r="X100" s="274">
        <v>14.18</v>
      </c>
      <c r="Y100" s="275">
        <v>43617</v>
      </c>
      <c r="Z100" s="275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1"/>
      <c r="K101" s="42" t="s">
        <v>204</v>
      </c>
      <c r="N101" s="41" t="s">
        <v>158</v>
      </c>
      <c r="O101" s="41" t="s">
        <v>87</v>
      </c>
      <c r="P101" s="45"/>
      <c r="Q101" s="42" t="s">
        <v>263</v>
      </c>
      <c r="R101" s="42">
        <v>3</v>
      </c>
      <c r="U101" s="42" t="s">
        <v>300</v>
      </c>
      <c r="V101" s="273">
        <v>2</v>
      </c>
      <c r="W101" s="273">
        <v>2</v>
      </c>
      <c r="X101" s="274">
        <v>111</v>
      </c>
      <c r="Y101" s="275">
        <v>43647</v>
      </c>
      <c r="Z101" s="275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U102" s="42" t="s">
        <v>301</v>
      </c>
      <c r="V102" s="273">
        <v>2</v>
      </c>
      <c r="W102" s="273">
        <v>3</v>
      </c>
      <c r="X102" s="274">
        <v>15.18</v>
      </c>
      <c r="Y102" s="275">
        <v>43647</v>
      </c>
      <c r="Z102" s="275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U103" s="42" t="s">
        <v>236</v>
      </c>
      <c r="V103" s="273">
        <v>2</v>
      </c>
      <c r="W103" s="273">
        <v>2</v>
      </c>
      <c r="X103" s="274">
        <v>112</v>
      </c>
      <c r="Y103" s="275">
        <v>43678</v>
      </c>
      <c r="Z103" s="275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2"/>
      <c r="K104" s="47"/>
      <c r="L104" s="47"/>
      <c r="M104" s="47"/>
      <c r="N104" s="41"/>
      <c r="O104" s="41" t="s">
        <v>105</v>
      </c>
      <c r="V104" s="273">
        <v>2</v>
      </c>
      <c r="W104" s="273">
        <v>3</v>
      </c>
      <c r="X104" s="274">
        <v>16.18</v>
      </c>
      <c r="Y104" s="275">
        <v>43678</v>
      </c>
      <c r="Z104" s="275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73">
        <v>2</v>
      </c>
      <c r="W105" s="273">
        <v>2</v>
      </c>
      <c r="X105" s="274">
        <v>113</v>
      </c>
      <c r="Y105" s="275">
        <v>43709</v>
      </c>
      <c r="Z105" s="275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73">
        <v>2</v>
      </c>
      <c r="W106" s="273">
        <v>3</v>
      </c>
      <c r="X106" s="274">
        <v>14.28</v>
      </c>
      <c r="Y106" s="275">
        <v>43709</v>
      </c>
      <c r="Z106" s="275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73">
        <v>2</v>
      </c>
      <c r="W107" s="273">
        <v>2</v>
      </c>
      <c r="X107" s="274">
        <v>114</v>
      </c>
      <c r="Y107" s="275">
        <v>43739</v>
      </c>
      <c r="Z107" s="275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73">
        <v>2</v>
      </c>
      <c r="W108" s="273">
        <v>3</v>
      </c>
      <c r="X108" s="274">
        <v>16.18</v>
      </c>
      <c r="Y108" s="275">
        <v>43739</v>
      </c>
      <c r="Z108" s="275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73">
        <v>2</v>
      </c>
      <c r="W109" s="273">
        <v>2</v>
      </c>
      <c r="X109" s="274">
        <v>115</v>
      </c>
      <c r="Y109" s="275">
        <v>43770</v>
      </c>
      <c r="Z109" s="275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73">
        <v>2</v>
      </c>
      <c r="W110" s="273">
        <v>3</v>
      </c>
      <c r="X110" s="274">
        <v>15.11</v>
      </c>
      <c r="Y110" s="275">
        <v>43770</v>
      </c>
      <c r="Z110" s="275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78" t="s">
        <v>293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7" t="s">
        <v>222</v>
      </c>
      <c r="C141" s="277" t="s">
        <v>222</v>
      </c>
      <c r="D141" s="277" t="s">
        <v>225</v>
      </c>
      <c r="E141" s="277" t="s">
        <v>225</v>
      </c>
      <c r="F141" s="276" t="s">
        <v>227</v>
      </c>
      <c r="G141" s="277"/>
      <c r="H141" s="276"/>
      <c r="I141" s="279" t="s">
        <v>218</v>
      </c>
      <c r="J141" s="63"/>
      <c r="K141" s="41"/>
    </row>
    <row r="142" spans="1:15" s="42" customFormat="1" ht="12">
      <c r="A142" s="41"/>
      <c r="B142" s="277"/>
      <c r="C142" s="86"/>
      <c r="D142" s="91"/>
      <c r="E142" s="91"/>
      <c r="F142" s="91"/>
      <c r="G142" s="91"/>
      <c r="H142" s="91"/>
      <c r="I142" s="280" t="s">
        <v>61</v>
      </c>
      <c r="J142" s="63"/>
      <c r="K142" s="41"/>
    </row>
    <row r="143" spans="1:15" s="42" customFormat="1" ht="12">
      <c r="A143" s="41"/>
      <c r="B143" s="277"/>
      <c r="C143" s="86"/>
      <c r="D143" s="277"/>
      <c r="E143" s="277"/>
      <c r="F143" s="277"/>
      <c r="G143" s="277"/>
      <c r="H143" s="277"/>
      <c r="I143" s="281" t="s">
        <v>222</v>
      </c>
      <c r="J143" s="63"/>
      <c r="K143" s="41"/>
    </row>
    <row r="144" spans="1:15" s="42" customFormat="1" ht="12">
      <c r="A144" s="41"/>
      <c r="B144" s="277"/>
      <c r="C144" s="87"/>
      <c r="D144" s="277"/>
      <c r="E144" s="91"/>
      <c r="F144" s="277"/>
      <c r="G144" s="277"/>
      <c r="H144" s="277"/>
      <c r="I144" s="281" t="s">
        <v>225</v>
      </c>
      <c r="J144" s="63"/>
      <c r="K144" s="41"/>
    </row>
    <row r="145" spans="1:26" s="42" customFormat="1" ht="12">
      <c r="A145" s="276"/>
      <c r="B145" s="90"/>
      <c r="C145" s="276"/>
      <c r="D145" s="86"/>
      <c r="E145" s="276"/>
      <c r="F145" s="276"/>
      <c r="G145" s="276"/>
      <c r="H145" s="63"/>
      <c r="I145" s="279" t="s">
        <v>151</v>
      </c>
      <c r="J145" s="63"/>
      <c r="K145" s="41"/>
    </row>
    <row r="146" spans="1:26" s="42" customFormat="1" ht="12">
      <c r="A146" s="277"/>
      <c r="B146" s="86"/>
      <c r="C146" s="277"/>
      <c r="D146" s="86"/>
      <c r="E146" s="277"/>
      <c r="F146" s="277"/>
      <c r="G146" s="277"/>
      <c r="H146" s="63"/>
      <c r="I146" s="281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82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80" t="s">
        <v>220</v>
      </c>
      <c r="J148" s="63"/>
      <c r="K148" s="41"/>
    </row>
    <row r="149" spans="1:26" s="42" customFormat="1" ht="12">
      <c r="A149" s="277"/>
      <c r="B149" s="86"/>
      <c r="C149" s="277"/>
      <c r="D149" s="86"/>
      <c r="E149" s="277"/>
      <c r="F149" s="277"/>
      <c r="G149" s="277"/>
      <c r="H149" s="63"/>
      <c r="I149" s="281" t="s">
        <v>162</v>
      </c>
      <c r="J149" s="63"/>
      <c r="K149" s="41"/>
    </row>
    <row r="150" spans="1:26" s="42" customFormat="1" ht="12">
      <c r="A150" s="277"/>
      <c r="B150" s="86"/>
      <c r="C150" s="277"/>
      <c r="D150" s="86"/>
      <c r="E150" s="277"/>
      <c r="F150" s="277"/>
      <c r="G150" s="277"/>
      <c r="H150" s="63"/>
      <c r="I150" s="277" t="s">
        <v>164</v>
      </c>
      <c r="J150" s="63"/>
      <c r="K150" s="41"/>
    </row>
    <row r="151" spans="1:26" s="42" customFormat="1" ht="12">
      <c r="A151" s="277"/>
      <c r="B151" s="86"/>
      <c r="C151" s="277"/>
      <c r="D151" s="86"/>
      <c r="E151" s="277"/>
      <c r="F151" s="277"/>
      <c r="G151" s="277"/>
      <c r="H151" s="63"/>
      <c r="I151" s="277" t="s">
        <v>209</v>
      </c>
      <c r="J151" s="63"/>
      <c r="K151" s="41"/>
    </row>
    <row r="152" spans="1:26" s="42" customFormat="1" ht="12">
      <c r="A152" s="277"/>
      <c r="C152" s="277"/>
      <c r="E152" s="277"/>
      <c r="F152" s="277"/>
      <c r="G152" s="277"/>
      <c r="I152" s="277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290</v>
      </c>
    </row>
    <row r="154" spans="1:26" ht="12">
      <c r="A154" s="90"/>
      <c r="C154" s="90"/>
      <c r="E154" s="90"/>
      <c r="F154" s="90"/>
      <c r="G154" s="90"/>
      <c r="I154" s="90" t="s">
        <v>291</v>
      </c>
      <c r="V154" s="42"/>
      <c r="W154" s="42"/>
      <c r="X154" s="42"/>
      <c r="Y154" s="42"/>
      <c r="Z154" s="42"/>
    </row>
    <row r="155" spans="1:26" ht="12">
      <c r="A155" s="277"/>
      <c r="C155" s="277"/>
      <c r="E155" s="277"/>
      <c r="F155" s="277"/>
      <c r="G155" s="277"/>
      <c r="I155" s="277" t="s">
        <v>292</v>
      </c>
    </row>
    <row r="158" spans="1:26" ht="12">
      <c r="A158" s="56">
        <f ca="1">TODAY()</f>
        <v>43731</v>
      </c>
      <c r="B158" s="56"/>
      <c r="C158" s="57">
        <f ca="1">YEAR(A158)</f>
        <v>2019</v>
      </c>
      <c r="D158" s="57"/>
      <c r="E158" s="58">
        <f ca="1">MONTH(A158)</f>
        <v>9</v>
      </c>
      <c r="F158" s="59" t="str">
        <f t="shared" ref="F158:F183" ca="1" si="33">CONCATENATE(C158,"/",E158)</f>
        <v>2019/9</v>
      </c>
    </row>
    <row r="159" spans="1:26" ht="12">
      <c r="A159" s="57"/>
      <c r="B159" s="57"/>
      <c r="C159" s="57">
        <f t="shared" ref="C159:C183" ca="1" si="34">IF(E158=12,C158+1,C158)</f>
        <v>2019</v>
      </c>
      <c r="D159" s="57"/>
      <c r="E159" s="58">
        <f t="shared" ref="E159:E183" ca="1" si="35">IF(E158=12,1,E158+1)</f>
        <v>10</v>
      </c>
      <c r="F159" s="59" t="str">
        <f t="shared" ca="1" si="33"/>
        <v>2019/10</v>
      </c>
    </row>
    <row r="160" spans="1:26" ht="12">
      <c r="A160" s="57"/>
      <c r="B160" s="57"/>
      <c r="C160" s="57">
        <f t="shared" ca="1" si="34"/>
        <v>2019</v>
      </c>
      <c r="D160" s="57"/>
      <c r="E160" s="58">
        <f t="shared" ca="1" si="35"/>
        <v>11</v>
      </c>
      <c r="F160" s="59" t="str">
        <f t="shared" ca="1" si="33"/>
        <v>2019/11</v>
      </c>
    </row>
    <row r="161" spans="3:6" ht="12">
      <c r="C161" s="57">
        <f t="shared" ca="1" si="34"/>
        <v>2019</v>
      </c>
      <c r="D161" s="57"/>
      <c r="E161" s="58">
        <f t="shared" ca="1" si="35"/>
        <v>12</v>
      </c>
      <c r="F161" s="59" t="str">
        <f t="shared" ca="1" si="33"/>
        <v>2019/12</v>
      </c>
    </row>
    <row r="162" spans="3:6" ht="12">
      <c r="C162" s="57">
        <f t="shared" ca="1" si="34"/>
        <v>2020</v>
      </c>
      <c r="D162" s="57"/>
      <c r="E162" s="58">
        <f t="shared" ca="1" si="35"/>
        <v>1</v>
      </c>
      <c r="F162" s="59" t="str">
        <f t="shared" ca="1" si="33"/>
        <v>2020/1</v>
      </c>
    </row>
    <row r="163" spans="3:6" ht="12">
      <c r="C163" s="57">
        <f t="shared" ca="1" si="34"/>
        <v>2020</v>
      </c>
      <c r="D163" s="57"/>
      <c r="E163" s="58">
        <f t="shared" ca="1" si="35"/>
        <v>2</v>
      </c>
      <c r="F163" s="59" t="str">
        <f t="shared" ca="1" si="33"/>
        <v>2020/2</v>
      </c>
    </row>
    <row r="164" spans="3:6" ht="12">
      <c r="C164" s="57">
        <f t="shared" ca="1" si="34"/>
        <v>2020</v>
      </c>
      <c r="D164" s="57"/>
      <c r="E164" s="58">
        <f t="shared" ca="1" si="35"/>
        <v>3</v>
      </c>
      <c r="F164" s="59" t="str">
        <f t="shared" ca="1" si="33"/>
        <v>2020/3</v>
      </c>
    </row>
    <row r="165" spans="3:6" ht="12">
      <c r="C165" s="57">
        <f t="shared" ca="1" si="34"/>
        <v>2020</v>
      </c>
      <c r="D165" s="57"/>
      <c r="E165" s="58">
        <f t="shared" ca="1" si="35"/>
        <v>4</v>
      </c>
      <c r="F165" s="59" t="str">
        <f t="shared" ca="1" si="33"/>
        <v>2020/4</v>
      </c>
    </row>
    <row r="166" spans="3:6" ht="12">
      <c r="C166" s="57">
        <f t="shared" ca="1" si="34"/>
        <v>2020</v>
      </c>
      <c r="D166" s="57"/>
      <c r="E166" s="58">
        <f t="shared" ca="1" si="35"/>
        <v>5</v>
      </c>
      <c r="F166" s="59" t="str">
        <f t="shared" ca="1" si="33"/>
        <v>2020/5</v>
      </c>
    </row>
    <row r="167" spans="3:6" ht="12">
      <c r="C167" s="57">
        <f t="shared" ca="1" si="34"/>
        <v>2020</v>
      </c>
      <c r="D167" s="57"/>
      <c r="E167" s="58">
        <f t="shared" ca="1" si="35"/>
        <v>6</v>
      </c>
      <c r="F167" s="59" t="str">
        <f t="shared" ca="1" si="33"/>
        <v>2020/6</v>
      </c>
    </row>
    <row r="168" spans="3:6" ht="12">
      <c r="C168" s="57">
        <f t="shared" ca="1" si="34"/>
        <v>2020</v>
      </c>
      <c r="D168" s="57"/>
      <c r="E168" s="58">
        <f t="shared" ca="1" si="35"/>
        <v>7</v>
      </c>
      <c r="F168" s="59" t="str">
        <f t="shared" ca="1" si="33"/>
        <v>2020/7</v>
      </c>
    </row>
    <row r="169" spans="3:6" ht="12">
      <c r="C169" s="57">
        <f t="shared" ca="1" si="34"/>
        <v>2020</v>
      </c>
      <c r="D169" s="57"/>
      <c r="E169" s="58">
        <f t="shared" ca="1" si="35"/>
        <v>8</v>
      </c>
      <c r="F169" s="59" t="str">
        <f t="shared" ca="1" si="33"/>
        <v>2020/8</v>
      </c>
    </row>
    <row r="170" spans="3:6" ht="12">
      <c r="C170" s="57">
        <f t="shared" ca="1" si="34"/>
        <v>2020</v>
      </c>
      <c r="D170" s="57"/>
      <c r="E170" s="58">
        <f t="shared" ca="1" si="35"/>
        <v>9</v>
      </c>
      <c r="F170" s="59" t="str">
        <f t="shared" ca="1" si="33"/>
        <v>2020/9</v>
      </c>
    </row>
    <row r="171" spans="3:6" ht="12">
      <c r="C171" s="57">
        <f t="shared" ca="1" si="34"/>
        <v>2020</v>
      </c>
      <c r="D171" s="57"/>
      <c r="E171" s="58">
        <f t="shared" ca="1" si="35"/>
        <v>10</v>
      </c>
      <c r="F171" s="59" t="str">
        <f t="shared" ca="1" si="33"/>
        <v>2020/10</v>
      </c>
    </row>
    <row r="172" spans="3:6" ht="12">
      <c r="C172" s="57">
        <f t="shared" ca="1" si="34"/>
        <v>2020</v>
      </c>
      <c r="D172" s="57"/>
      <c r="E172" s="58">
        <f t="shared" ca="1" si="35"/>
        <v>11</v>
      </c>
      <c r="F172" s="59" t="str">
        <f t="shared" ca="1" si="33"/>
        <v>2020/11</v>
      </c>
    </row>
    <row r="173" spans="3:6" ht="12">
      <c r="C173" s="57">
        <f t="shared" ca="1" si="34"/>
        <v>2020</v>
      </c>
      <c r="D173" s="57"/>
      <c r="E173" s="58">
        <f t="shared" ca="1" si="35"/>
        <v>12</v>
      </c>
      <c r="F173" s="59" t="str">
        <f t="shared" ca="1" si="33"/>
        <v>2020/12</v>
      </c>
    </row>
    <row r="174" spans="3:6" ht="12">
      <c r="C174" s="57">
        <f t="shared" ca="1" si="34"/>
        <v>2021</v>
      </c>
      <c r="D174" s="57"/>
      <c r="E174" s="58">
        <f t="shared" ca="1" si="35"/>
        <v>1</v>
      </c>
      <c r="F174" s="59" t="str">
        <f t="shared" ca="1" si="33"/>
        <v>2021/1</v>
      </c>
    </row>
    <row r="175" spans="3:6" ht="12">
      <c r="C175" s="57">
        <f t="shared" ca="1" si="34"/>
        <v>2021</v>
      </c>
      <c r="D175" s="57"/>
      <c r="E175" s="58">
        <f t="shared" ca="1" si="35"/>
        <v>2</v>
      </c>
      <c r="F175" s="59" t="str">
        <f t="shared" ca="1" si="33"/>
        <v>2021/2</v>
      </c>
    </row>
    <row r="176" spans="3:6" ht="12">
      <c r="C176" s="57">
        <f t="shared" ca="1" si="34"/>
        <v>2021</v>
      </c>
      <c r="D176" s="57"/>
      <c r="E176" s="58">
        <f t="shared" ca="1" si="35"/>
        <v>3</v>
      </c>
      <c r="F176" s="59" t="str">
        <f t="shared" ca="1" si="33"/>
        <v>2021/3</v>
      </c>
    </row>
    <row r="177" spans="1:18" ht="12">
      <c r="C177" s="57">
        <f t="shared" ca="1" si="34"/>
        <v>2021</v>
      </c>
      <c r="D177" s="57"/>
      <c r="E177" s="58">
        <f t="shared" ca="1" si="35"/>
        <v>4</v>
      </c>
      <c r="F177" s="59" t="str">
        <f t="shared" ca="1" si="33"/>
        <v>2021/4</v>
      </c>
    </row>
    <row r="178" spans="1:18" ht="12">
      <c r="C178" s="57">
        <f t="shared" ca="1" si="34"/>
        <v>2021</v>
      </c>
      <c r="D178" s="57"/>
      <c r="E178" s="58">
        <f t="shared" ca="1" si="35"/>
        <v>5</v>
      </c>
      <c r="F178" s="59" t="str">
        <f t="shared" ca="1" si="33"/>
        <v>2021/5</v>
      </c>
    </row>
    <row r="179" spans="1:18" ht="12">
      <c r="C179" s="57">
        <f t="shared" ca="1" si="34"/>
        <v>2021</v>
      </c>
      <c r="D179" s="57"/>
      <c r="E179" s="58">
        <f t="shared" ca="1" si="35"/>
        <v>6</v>
      </c>
      <c r="F179" s="59" t="str">
        <f t="shared" ca="1" si="33"/>
        <v>2021/6</v>
      </c>
    </row>
    <row r="180" spans="1:18" ht="12">
      <c r="C180" s="57">
        <f t="shared" ca="1" si="34"/>
        <v>2021</v>
      </c>
      <c r="D180" s="57"/>
      <c r="E180" s="58">
        <f t="shared" ca="1" si="35"/>
        <v>7</v>
      </c>
      <c r="F180" s="59" t="str">
        <f t="shared" ca="1" si="33"/>
        <v>2021/7</v>
      </c>
    </row>
    <row r="181" spans="1:18" ht="12">
      <c r="C181" s="57">
        <f t="shared" ca="1" si="34"/>
        <v>2021</v>
      </c>
      <c r="D181" s="57"/>
      <c r="E181" s="58">
        <f t="shared" ca="1" si="35"/>
        <v>8</v>
      </c>
      <c r="F181" s="59" t="str">
        <f t="shared" ca="1" si="33"/>
        <v>2021/8</v>
      </c>
    </row>
    <row r="182" spans="1:18" ht="12">
      <c r="C182" s="57">
        <f t="shared" ca="1" si="34"/>
        <v>2021</v>
      </c>
      <c r="D182" s="57"/>
      <c r="E182" s="58">
        <f t="shared" ca="1" si="35"/>
        <v>9</v>
      </c>
      <c r="F182" s="59" t="str">
        <f t="shared" ca="1" si="33"/>
        <v>2021/9</v>
      </c>
    </row>
    <row r="183" spans="1:18" ht="12">
      <c r="C183" s="57">
        <f t="shared" ca="1" si="34"/>
        <v>2021</v>
      </c>
      <c r="D183" s="57"/>
      <c r="E183" s="58">
        <f t="shared" ca="1" si="35"/>
        <v>10</v>
      </c>
      <c r="F183" s="59" t="str">
        <f t="shared" ca="1" si="33"/>
        <v>2021/10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</mergeCells>
  <phoneticPr fontId="3"/>
  <conditionalFormatting sqref="C61:D61 C77:D77 C34:D34 C58:D59 C74:C76 C87:D87 C78:C86 D72:D76 C35:C57 D65:D68">
    <cfRule type="cellIs" dxfId="15" priority="13" stopIfTrue="1" operator="notEqual">
      <formula>Q34</formula>
    </cfRule>
  </conditionalFormatting>
  <conditionalFormatting sqref="C72">
    <cfRule type="cellIs" dxfId="14" priority="12" stopIfTrue="1" operator="notEqual">
      <formula>Q72</formula>
    </cfRule>
  </conditionalFormatting>
  <conditionalFormatting sqref="D35:D44">
    <cfRule type="cellIs" dxfId="13" priority="11" stopIfTrue="1" operator="notEqual">
      <formula>R35</formula>
    </cfRule>
  </conditionalFormatting>
  <conditionalFormatting sqref="D62:D63">
    <cfRule type="cellIs" dxfId="12" priority="10" stopIfTrue="1" operator="notEqual">
      <formula>R62</formula>
    </cfRule>
  </conditionalFormatting>
  <conditionalFormatting sqref="C69:C71">
    <cfRule type="cellIs" dxfId="11" priority="9" stopIfTrue="1" operator="notEqual">
      <formula>Q69</formula>
    </cfRule>
  </conditionalFormatting>
  <conditionalFormatting sqref="D69:D71">
    <cfRule type="cellIs" dxfId="10" priority="8" stopIfTrue="1" operator="notEqual">
      <formula>R69</formula>
    </cfRule>
  </conditionalFormatting>
  <conditionalFormatting sqref="D64">
    <cfRule type="cellIs" dxfId="9" priority="7" stopIfTrue="1" operator="notEqual">
      <formula>R64</formula>
    </cfRule>
  </conditionalFormatting>
  <conditionalFormatting sqref="D77:E86">
    <cfRule type="expression" dxfId="8" priority="1">
      <formula>OR($C77=$K$101,$C77=$K$102)</formula>
    </cfRule>
  </conditionalFormatting>
  <dataValidations count="22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8:D79 D81:D82 D84:D86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type="list" allowBlank="1" showInputMessage="1" showErrorMessage="1" sqref="D77 C34:C57 C61:C86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C7:C15" xr:uid="{A301A605-4B3D-4505-90A9-393AD9967BD7}">
      <formula1>$U$99:$U$103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18" sqref="K18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9" t="s">
        <v>271</v>
      </c>
      <c r="B1" s="270" t="s">
        <v>272</v>
      </c>
      <c r="C1" s="270" t="s">
        <v>273</v>
      </c>
      <c r="D1" s="270" t="s">
        <v>274</v>
      </c>
      <c r="E1" s="270" t="s">
        <v>275</v>
      </c>
      <c r="F1" s="270" t="s">
        <v>276</v>
      </c>
    </row>
    <row r="2" spans="1:6">
      <c r="A2" s="269">
        <f>ROW()-1</f>
        <v>1</v>
      </c>
      <c r="B2" s="271">
        <v>43616</v>
      </c>
      <c r="C2" s="269" t="s">
        <v>277</v>
      </c>
      <c r="D2" s="269" t="s">
        <v>281</v>
      </c>
      <c r="E2" s="269" t="s">
        <v>278</v>
      </c>
      <c r="F2" s="269" t="s">
        <v>278</v>
      </c>
    </row>
    <row r="3" spans="1:6">
      <c r="A3" s="269">
        <f t="shared" ref="A3:A23" si="0">ROW()-1</f>
        <v>2</v>
      </c>
      <c r="B3" s="271">
        <v>43616</v>
      </c>
      <c r="C3" s="269" t="s">
        <v>279</v>
      </c>
      <c r="D3" s="269" t="s">
        <v>281</v>
      </c>
      <c r="E3" s="269" t="s">
        <v>278</v>
      </c>
      <c r="F3" s="269" t="s">
        <v>278</v>
      </c>
    </row>
    <row r="4" spans="1:6">
      <c r="A4" s="269">
        <f t="shared" si="0"/>
        <v>3</v>
      </c>
      <c r="B4" s="271">
        <v>43616</v>
      </c>
      <c r="C4" s="269" t="s">
        <v>280</v>
      </c>
      <c r="D4" s="269" t="s">
        <v>281</v>
      </c>
      <c r="E4" s="269" t="s">
        <v>282</v>
      </c>
      <c r="F4" s="269"/>
    </row>
    <row r="5" spans="1:6">
      <c r="A5" s="269">
        <f t="shared" si="0"/>
        <v>4</v>
      </c>
      <c r="B5" s="271">
        <v>43631</v>
      </c>
      <c r="C5" s="269" t="s">
        <v>283</v>
      </c>
      <c r="D5" s="269" t="s">
        <v>281</v>
      </c>
      <c r="E5" s="269" t="s">
        <v>278</v>
      </c>
      <c r="F5" s="269" t="s">
        <v>278</v>
      </c>
    </row>
    <row r="6" spans="1:6">
      <c r="A6" s="269">
        <f t="shared" si="0"/>
        <v>5</v>
      </c>
      <c r="B6" s="271">
        <v>43631</v>
      </c>
      <c r="C6" s="269" t="s">
        <v>284</v>
      </c>
      <c r="D6" s="269" t="s">
        <v>281</v>
      </c>
      <c r="E6" s="269" t="s">
        <v>278</v>
      </c>
      <c r="F6" s="269" t="s">
        <v>278</v>
      </c>
    </row>
    <row r="7" spans="1:6" ht="39.6">
      <c r="A7" s="269">
        <f t="shared" si="0"/>
        <v>6</v>
      </c>
      <c r="B7" s="271">
        <v>43649</v>
      </c>
      <c r="C7" s="285" t="s">
        <v>298</v>
      </c>
      <c r="D7" s="269" t="s">
        <v>297</v>
      </c>
      <c r="E7" s="269" t="s">
        <v>278</v>
      </c>
      <c r="F7" s="269" t="s">
        <v>278</v>
      </c>
    </row>
    <row r="8" spans="1:6" ht="26.4">
      <c r="A8" s="269">
        <f t="shared" si="0"/>
        <v>7</v>
      </c>
      <c r="B8" s="271">
        <v>43651</v>
      </c>
      <c r="C8" s="285" t="s">
        <v>302</v>
      </c>
      <c r="D8" s="269" t="s">
        <v>297</v>
      </c>
      <c r="E8" s="269" t="s">
        <v>278</v>
      </c>
      <c r="F8" s="269" t="s">
        <v>278</v>
      </c>
    </row>
    <row r="9" spans="1:6">
      <c r="A9" s="269">
        <f t="shared" si="0"/>
        <v>8</v>
      </c>
      <c r="B9" s="269"/>
      <c r="C9" s="269"/>
      <c r="D9" s="269"/>
      <c r="E9" s="269"/>
      <c r="F9" s="269"/>
    </row>
    <row r="10" spans="1:6">
      <c r="A10" s="269">
        <f t="shared" si="0"/>
        <v>9</v>
      </c>
      <c r="B10" s="269"/>
      <c r="C10" s="269"/>
      <c r="D10" s="269"/>
      <c r="E10" s="269"/>
      <c r="F10" s="269"/>
    </row>
    <row r="11" spans="1:6">
      <c r="A11" s="269">
        <f t="shared" si="0"/>
        <v>10</v>
      </c>
      <c r="B11" s="269"/>
      <c r="C11" s="269"/>
      <c r="D11" s="269"/>
      <c r="E11" s="269"/>
      <c r="F11" s="269"/>
    </row>
    <row r="12" spans="1:6">
      <c r="A12" s="269">
        <f t="shared" si="0"/>
        <v>11</v>
      </c>
      <c r="B12" s="269"/>
      <c r="C12" s="269"/>
      <c r="D12" s="269"/>
      <c r="E12" s="269"/>
      <c r="F12" s="269"/>
    </row>
    <row r="13" spans="1:6">
      <c r="A13" s="269">
        <f t="shared" si="0"/>
        <v>12</v>
      </c>
      <c r="B13" s="269"/>
      <c r="C13" s="269"/>
      <c r="D13" s="269"/>
      <c r="E13" s="269"/>
      <c r="F13" s="269"/>
    </row>
    <row r="14" spans="1:6">
      <c r="A14" s="269">
        <f t="shared" si="0"/>
        <v>13</v>
      </c>
      <c r="B14" s="269"/>
      <c r="C14" s="269"/>
      <c r="D14" s="269"/>
      <c r="E14" s="269"/>
      <c r="F14" s="269"/>
    </row>
    <row r="15" spans="1:6">
      <c r="A15" s="269">
        <f t="shared" si="0"/>
        <v>14</v>
      </c>
      <c r="B15" s="269"/>
      <c r="C15" s="269"/>
      <c r="D15" s="269"/>
      <c r="E15" s="269"/>
      <c r="F15" s="269"/>
    </row>
    <row r="16" spans="1:6">
      <c r="A16" s="269">
        <f t="shared" si="0"/>
        <v>15</v>
      </c>
      <c r="B16" s="269"/>
      <c r="C16" s="269"/>
      <c r="D16" s="269"/>
      <c r="E16" s="269"/>
      <c r="F16" s="269"/>
    </row>
    <row r="17" spans="1:6">
      <c r="A17" s="269">
        <f t="shared" si="0"/>
        <v>16</v>
      </c>
      <c r="B17" s="269"/>
      <c r="C17" s="269"/>
      <c r="D17" s="269"/>
      <c r="E17" s="269"/>
      <c r="F17" s="269"/>
    </row>
    <row r="18" spans="1:6">
      <c r="A18" s="269">
        <f t="shared" si="0"/>
        <v>17</v>
      </c>
      <c r="B18" s="269"/>
      <c r="C18" s="269"/>
      <c r="D18" s="269"/>
      <c r="E18" s="269"/>
      <c r="F18" s="269"/>
    </row>
    <row r="19" spans="1:6">
      <c r="A19" s="269">
        <f t="shared" si="0"/>
        <v>18</v>
      </c>
      <c r="B19" s="269"/>
      <c r="C19" s="269"/>
      <c r="D19" s="269"/>
      <c r="E19" s="269"/>
      <c r="F19" s="269"/>
    </row>
    <row r="20" spans="1:6">
      <c r="A20" s="269">
        <f t="shared" si="0"/>
        <v>19</v>
      </c>
      <c r="B20" s="269"/>
      <c r="C20" s="269"/>
      <c r="D20" s="269"/>
      <c r="E20" s="269"/>
      <c r="F20" s="269"/>
    </row>
    <row r="21" spans="1:6">
      <c r="A21" s="269">
        <f t="shared" si="0"/>
        <v>20</v>
      </c>
      <c r="B21" s="269"/>
      <c r="C21" s="269"/>
      <c r="D21" s="269"/>
      <c r="E21" s="269"/>
      <c r="F21" s="269"/>
    </row>
    <row r="22" spans="1:6">
      <c r="A22" s="269">
        <f t="shared" si="0"/>
        <v>21</v>
      </c>
      <c r="B22" s="269"/>
      <c r="C22" s="269"/>
      <c r="D22" s="269"/>
      <c r="E22" s="269"/>
      <c r="F22" s="269"/>
    </row>
    <row r="23" spans="1:6">
      <c r="A23" s="269">
        <f t="shared" si="0"/>
        <v>22</v>
      </c>
      <c r="B23" s="269"/>
      <c r="C23" s="269"/>
      <c r="D23" s="269"/>
      <c r="E23" s="269"/>
      <c r="F23" s="269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472" t="s">
        <v>205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4"/>
    </row>
    <row r="4" spans="1:24" ht="14.25" customHeight="1" thickBot="1">
      <c r="A4" s="5" t="s">
        <v>201</v>
      </c>
      <c r="B4" s="471" t="s">
        <v>230</v>
      </c>
      <c r="C4" s="471"/>
      <c r="D4" s="465" t="s">
        <v>202</v>
      </c>
      <c r="E4" s="466"/>
      <c r="F4" s="467" t="s">
        <v>218</v>
      </c>
      <c r="G4" s="467"/>
      <c r="H4" s="467"/>
      <c r="I4" s="7" t="s">
        <v>4</v>
      </c>
      <c r="J4" s="6">
        <v>100</v>
      </c>
      <c r="K4" s="465" t="s">
        <v>249</v>
      </c>
      <c r="L4" s="466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469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</row>
    <row r="6" spans="1:24" ht="18" customHeight="1">
      <c r="A6" s="475" t="s">
        <v>5</v>
      </c>
      <c r="B6" s="476"/>
      <c r="C6" s="141" t="s">
        <v>6</v>
      </c>
      <c r="D6" s="477" t="s">
        <v>7</v>
      </c>
      <c r="E6" s="478"/>
      <c r="F6" s="476"/>
      <c r="G6" s="142" t="s">
        <v>8</v>
      </c>
      <c r="H6" s="143" t="s">
        <v>9</v>
      </c>
      <c r="I6" s="144" t="s">
        <v>10</v>
      </c>
      <c r="J6" s="479" t="s">
        <v>11</v>
      </c>
      <c r="K6" s="480"/>
      <c r="L6" s="162" t="s">
        <v>238</v>
      </c>
      <c r="M6" s="481" t="s">
        <v>149</v>
      </c>
      <c r="N6" s="48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482" t="s">
        <v>237</v>
      </c>
      <c r="B7" s="483"/>
      <c r="C7" s="145" t="s">
        <v>233</v>
      </c>
      <c r="D7" s="484"/>
      <c r="E7" s="485"/>
      <c r="F7" s="486"/>
      <c r="G7" s="146">
        <v>10000</v>
      </c>
      <c r="H7" s="147" t="s">
        <v>14</v>
      </c>
      <c r="I7" s="148">
        <v>1250</v>
      </c>
      <c r="J7" s="487">
        <f>ROUNDDOWN(IF(H7="US",G7*I7*$O$18,G7*I7),0)</f>
        <v>12500000</v>
      </c>
      <c r="K7" s="488"/>
      <c r="L7" s="159"/>
      <c r="M7" s="448"/>
      <c r="N7" s="449"/>
      <c r="O7" s="450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482" t="s">
        <v>237</v>
      </c>
      <c r="B8" s="483"/>
      <c r="C8" s="145" t="s">
        <v>233</v>
      </c>
      <c r="D8" s="484"/>
      <c r="E8" s="485"/>
      <c r="F8" s="486"/>
      <c r="G8" s="149"/>
      <c r="H8" s="150" t="s">
        <v>14</v>
      </c>
      <c r="I8" s="151"/>
      <c r="J8" s="487">
        <f t="shared" ref="J8:J15" si="0">ROUNDDOWN(IF(H8="US",G8*I8*$O$18,G8*I8),0)</f>
        <v>0</v>
      </c>
      <c r="K8" s="488"/>
      <c r="L8" s="159"/>
      <c r="M8" s="448"/>
      <c r="N8" s="449"/>
      <c r="O8" s="450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482" t="s">
        <v>237</v>
      </c>
      <c r="B9" s="483"/>
      <c r="C9" s="145" t="s">
        <v>233</v>
      </c>
      <c r="D9" s="484"/>
      <c r="E9" s="485"/>
      <c r="F9" s="486"/>
      <c r="G9" s="149"/>
      <c r="H9" s="150" t="s">
        <v>14</v>
      </c>
      <c r="I9" s="151"/>
      <c r="J9" s="487">
        <f t="shared" si="0"/>
        <v>0</v>
      </c>
      <c r="K9" s="488"/>
      <c r="L9" s="163"/>
      <c r="M9" s="444"/>
      <c r="N9" s="444"/>
      <c r="O9" s="44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482" t="s">
        <v>237</v>
      </c>
      <c r="B10" s="483"/>
      <c r="C10" s="145" t="s">
        <v>234</v>
      </c>
      <c r="D10" s="484"/>
      <c r="E10" s="485"/>
      <c r="F10" s="486"/>
      <c r="G10" s="149"/>
      <c r="H10" s="150" t="s">
        <v>14</v>
      </c>
      <c r="I10" s="151"/>
      <c r="J10" s="487">
        <f t="shared" si="0"/>
        <v>0</v>
      </c>
      <c r="K10" s="488"/>
      <c r="L10" s="163"/>
      <c r="M10" s="444"/>
      <c r="N10" s="444"/>
      <c r="O10" s="445"/>
      <c r="R10" s="14"/>
      <c r="S10" s="15"/>
      <c r="T10" s="15"/>
      <c r="U10" s="15"/>
      <c r="V10" s="15"/>
      <c r="W10" s="15"/>
      <c r="X10" s="15"/>
    </row>
    <row r="11" spans="1:24" ht="14.1" customHeight="1">
      <c r="A11" s="482" t="s">
        <v>237</v>
      </c>
      <c r="B11" s="483"/>
      <c r="C11" s="145" t="s">
        <v>235</v>
      </c>
      <c r="D11" s="484"/>
      <c r="E11" s="485"/>
      <c r="F11" s="486"/>
      <c r="G11" s="149">
        <v>24</v>
      </c>
      <c r="H11" s="150" t="s">
        <v>14</v>
      </c>
      <c r="I11" s="151">
        <v>1200</v>
      </c>
      <c r="J11" s="487">
        <f t="shared" si="0"/>
        <v>28800</v>
      </c>
      <c r="K11" s="488"/>
      <c r="L11" s="163"/>
      <c r="M11" s="444"/>
      <c r="N11" s="444"/>
      <c r="O11" s="445"/>
      <c r="R11" s="14"/>
      <c r="S11" s="15"/>
      <c r="T11" s="15"/>
      <c r="U11" s="15"/>
      <c r="V11" s="15"/>
      <c r="W11" s="15"/>
      <c r="X11" s="15"/>
    </row>
    <row r="12" spans="1:24" ht="14.1" customHeight="1">
      <c r="A12" s="482" t="s">
        <v>237</v>
      </c>
      <c r="B12" s="483"/>
      <c r="C12" s="145" t="s">
        <v>236</v>
      </c>
      <c r="D12" s="484"/>
      <c r="E12" s="485"/>
      <c r="F12" s="486"/>
      <c r="G12" s="149">
        <v>96</v>
      </c>
      <c r="H12" s="150" t="s">
        <v>14</v>
      </c>
      <c r="I12" s="151">
        <v>1200</v>
      </c>
      <c r="J12" s="487">
        <f t="shared" si="0"/>
        <v>115200</v>
      </c>
      <c r="K12" s="488"/>
      <c r="L12" s="163"/>
      <c r="M12" s="444"/>
      <c r="N12" s="444"/>
      <c r="O12" s="445"/>
      <c r="R12" s="14"/>
      <c r="S12" s="15"/>
      <c r="T12" s="15"/>
      <c r="U12" s="15"/>
      <c r="V12" s="15"/>
      <c r="W12" s="15"/>
      <c r="X12" s="15"/>
    </row>
    <row r="13" spans="1:24" ht="14.1" customHeight="1">
      <c r="A13" s="482" t="s">
        <v>237</v>
      </c>
      <c r="B13" s="483"/>
      <c r="C13" s="145"/>
      <c r="D13" s="484"/>
      <c r="E13" s="485"/>
      <c r="F13" s="486"/>
      <c r="G13" s="149"/>
      <c r="H13" s="150" t="s">
        <v>14</v>
      </c>
      <c r="I13" s="151"/>
      <c r="J13" s="487">
        <f t="shared" si="0"/>
        <v>0</v>
      </c>
      <c r="K13" s="488"/>
      <c r="L13" s="163"/>
      <c r="M13" s="444"/>
      <c r="N13" s="444"/>
      <c r="O13" s="445"/>
      <c r="R13" s="14"/>
      <c r="S13" s="15"/>
      <c r="T13" s="15"/>
      <c r="U13" s="15"/>
      <c r="V13" s="15"/>
      <c r="W13" s="15"/>
      <c r="X13" s="15"/>
    </row>
    <row r="14" spans="1:24" ht="14.1" customHeight="1">
      <c r="A14" s="482" t="s">
        <v>237</v>
      </c>
      <c r="B14" s="483"/>
      <c r="C14" s="145"/>
      <c r="D14" s="484"/>
      <c r="E14" s="485"/>
      <c r="F14" s="486"/>
      <c r="G14" s="149"/>
      <c r="H14" s="150" t="s">
        <v>14</v>
      </c>
      <c r="I14" s="151"/>
      <c r="J14" s="487">
        <f t="shared" si="0"/>
        <v>0</v>
      </c>
      <c r="K14" s="488"/>
      <c r="L14" s="163"/>
      <c r="M14" s="444"/>
      <c r="N14" s="444"/>
      <c r="O14" s="445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489" t="s">
        <v>237</v>
      </c>
      <c r="B15" s="490"/>
      <c r="C15" s="152"/>
      <c r="D15" s="484"/>
      <c r="E15" s="485"/>
      <c r="F15" s="486"/>
      <c r="G15" s="153"/>
      <c r="H15" s="154" t="s">
        <v>14</v>
      </c>
      <c r="I15" s="155"/>
      <c r="J15" s="487">
        <f t="shared" si="0"/>
        <v>0</v>
      </c>
      <c r="K15" s="488"/>
      <c r="L15" s="164"/>
      <c r="M15" s="446"/>
      <c r="N15" s="446"/>
      <c r="O15" s="44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10120</v>
      </c>
      <c r="H16" s="156"/>
      <c r="I16" s="425">
        <f>SUM(J7:J15)</f>
        <v>12644000</v>
      </c>
      <c r="J16" s="426"/>
      <c r="K16" s="427"/>
      <c r="L16" s="157"/>
      <c r="M16" s="428"/>
      <c r="N16" s="428"/>
      <c r="O16" s="429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4"/>
      <c r="R17" s="15"/>
      <c r="S17" s="15"/>
      <c r="T17" s="15"/>
      <c r="U17" s="15"/>
      <c r="V17" s="15"/>
      <c r="W17" s="15"/>
      <c r="X17" s="15"/>
    </row>
    <row r="18" spans="1:24" ht="18" customHeight="1">
      <c r="A18" s="491" t="s">
        <v>5</v>
      </c>
      <c r="B18" s="492"/>
      <c r="C18" s="132" t="s">
        <v>6</v>
      </c>
      <c r="D18" s="493" t="s">
        <v>7</v>
      </c>
      <c r="E18" s="494"/>
      <c r="F18" s="492"/>
      <c r="G18" s="133" t="s">
        <v>8</v>
      </c>
      <c r="H18" s="134" t="s">
        <v>9</v>
      </c>
      <c r="I18" s="135" t="s">
        <v>10</v>
      </c>
      <c r="J18" s="495" t="s">
        <v>11</v>
      </c>
      <c r="K18" s="496"/>
      <c r="L18" s="162" t="s">
        <v>238</v>
      </c>
      <c r="M18" s="497" t="s">
        <v>149</v>
      </c>
      <c r="N18" s="497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498" t="s">
        <v>12</v>
      </c>
      <c r="B19" s="499"/>
      <c r="C19" s="9" t="s">
        <v>13</v>
      </c>
      <c r="D19" s="500"/>
      <c r="E19" s="501"/>
      <c r="F19" s="502"/>
      <c r="G19" s="10">
        <v>1</v>
      </c>
      <c r="H19" s="103" t="s">
        <v>14</v>
      </c>
      <c r="I19" s="11">
        <v>85000</v>
      </c>
      <c r="J19" s="487">
        <f>ROUNDDOWN(IF(H19="US",G19*I19*$O$18,G19*I19),0)</f>
        <v>85000</v>
      </c>
      <c r="K19" s="488"/>
      <c r="L19" s="159"/>
      <c r="M19" s="419"/>
      <c r="N19" s="420"/>
      <c r="O19" s="421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498" t="s">
        <v>12</v>
      </c>
      <c r="B20" s="499"/>
      <c r="C20" s="9" t="s">
        <v>15</v>
      </c>
      <c r="D20" s="500"/>
      <c r="E20" s="501"/>
      <c r="F20" s="502"/>
      <c r="G20" s="12"/>
      <c r="H20" s="104" t="s">
        <v>14</v>
      </c>
      <c r="I20" s="13"/>
      <c r="J20" s="487">
        <f t="shared" ref="J20:J31" si="1">ROUNDDOWN(IF(H20="US",G20*I20*$O$18,G20*I20),0)</f>
        <v>0</v>
      </c>
      <c r="K20" s="488"/>
      <c r="L20" s="159"/>
      <c r="M20" s="419"/>
      <c r="N20" s="420"/>
      <c r="O20" s="421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498" t="s">
        <v>12</v>
      </c>
      <c r="B21" s="499"/>
      <c r="C21" s="9" t="s">
        <v>16</v>
      </c>
      <c r="D21" s="500"/>
      <c r="E21" s="501"/>
      <c r="F21" s="502"/>
      <c r="G21" s="12"/>
      <c r="H21" s="104" t="s">
        <v>14</v>
      </c>
      <c r="I21" s="13"/>
      <c r="J21" s="487">
        <f t="shared" si="1"/>
        <v>0</v>
      </c>
      <c r="K21" s="488"/>
      <c r="L21" s="159"/>
      <c r="M21" s="364"/>
      <c r="N21" s="364"/>
      <c r="O21" s="365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498" t="s">
        <v>12</v>
      </c>
      <c r="B22" s="499"/>
      <c r="C22" s="9" t="s">
        <v>17</v>
      </c>
      <c r="D22" s="500"/>
      <c r="E22" s="501"/>
      <c r="F22" s="502"/>
      <c r="G22" s="12"/>
      <c r="H22" s="104" t="s">
        <v>14</v>
      </c>
      <c r="I22" s="13"/>
      <c r="J22" s="487">
        <f t="shared" si="1"/>
        <v>0</v>
      </c>
      <c r="K22" s="488"/>
      <c r="L22" s="159"/>
      <c r="M22" s="364"/>
      <c r="N22" s="364"/>
      <c r="O22" s="365"/>
      <c r="R22" s="14"/>
      <c r="S22" s="15"/>
      <c r="T22" s="15"/>
      <c r="U22" s="15"/>
      <c r="V22" s="15"/>
      <c r="W22" s="15"/>
      <c r="X22" s="15"/>
    </row>
    <row r="23" spans="1:24" ht="14.1" customHeight="1">
      <c r="A23" s="498" t="s">
        <v>12</v>
      </c>
      <c r="B23" s="499"/>
      <c r="C23" s="9" t="s">
        <v>18</v>
      </c>
      <c r="D23" s="500"/>
      <c r="E23" s="501"/>
      <c r="F23" s="502"/>
      <c r="G23" s="12"/>
      <c r="H23" s="104" t="s">
        <v>14</v>
      </c>
      <c r="I23" s="13"/>
      <c r="J23" s="487">
        <f t="shared" si="1"/>
        <v>0</v>
      </c>
      <c r="K23" s="488"/>
      <c r="L23" s="159"/>
      <c r="M23" s="364"/>
      <c r="N23" s="364"/>
      <c r="O23" s="365"/>
      <c r="R23" s="14"/>
      <c r="S23" s="15"/>
      <c r="T23" s="15"/>
      <c r="U23" s="15"/>
      <c r="V23" s="15"/>
      <c r="W23" s="15"/>
      <c r="X23" s="15"/>
    </row>
    <row r="24" spans="1:24" ht="14.1" customHeight="1">
      <c r="A24" s="498" t="s">
        <v>12</v>
      </c>
      <c r="B24" s="499"/>
      <c r="C24" s="9" t="s">
        <v>19</v>
      </c>
      <c r="D24" s="500"/>
      <c r="E24" s="501"/>
      <c r="F24" s="502"/>
      <c r="G24" s="12"/>
      <c r="H24" s="104" t="s">
        <v>14</v>
      </c>
      <c r="I24" s="13"/>
      <c r="J24" s="487">
        <f t="shared" si="1"/>
        <v>0</v>
      </c>
      <c r="K24" s="488"/>
      <c r="L24" s="159"/>
      <c r="M24" s="364"/>
      <c r="N24" s="364"/>
      <c r="O24" s="365"/>
      <c r="R24" s="14"/>
      <c r="S24" s="15"/>
      <c r="T24" s="15"/>
      <c r="U24" s="15"/>
      <c r="V24" s="15"/>
      <c r="W24" s="15"/>
      <c r="X24" s="15"/>
    </row>
    <row r="25" spans="1:24" ht="14.1" customHeight="1">
      <c r="A25" s="498" t="s">
        <v>12</v>
      </c>
      <c r="B25" s="499"/>
      <c r="C25" s="9" t="s">
        <v>20</v>
      </c>
      <c r="D25" s="500"/>
      <c r="E25" s="501"/>
      <c r="F25" s="502"/>
      <c r="G25" s="12"/>
      <c r="H25" s="104" t="s">
        <v>14</v>
      </c>
      <c r="I25" s="13"/>
      <c r="J25" s="487">
        <f t="shared" si="1"/>
        <v>0</v>
      </c>
      <c r="K25" s="488"/>
      <c r="L25" s="159"/>
      <c r="M25" s="364"/>
      <c r="N25" s="364"/>
      <c r="O25" s="365"/>
      <c r="R25" s="14"/>
      <c r="S25" s="15"/>
      <c r="T25" s="15"/>
      <c r="U25" s="15"/>
      <c r="V25" s="15"/>
      <c r="W25" s="15"/>
      <c r="X25" s="15"/>
    </row>
    <row r="26" spans="1:24" ht="14.1" customHeight="1">
      <c r="A26" s="498" t="s">
        <v>12</v>
      </c>
      <c r="B26" s="499"/>
      <c r="C26" s="9"/>
      <c r="D26" s="500"/>
      <c r="E26" s="501"/>
      <c r="F26" s="502"/>
      <c r="G26" s="12"/>
      <c r="H26" s="104" t="s">
        <v>14</v>
      </c>
      <c r="I26" s="13"/>
      <c r="J26" s="487">
        <f t="shared" si="1"/>
        <v>0</v>
      </c>
      <c r="K26" s="488"/>
      <c r="L26" s="159"/>
      <c r="M26" s="364"/>
      <c r="N26" s="364"/>
      <c r="O26" s="365"/>
      <c r="R26" s="14"/>
      <c r="S26" s="15"/>
      <c r="T26" s="15"/>
      <c r="U26" s="15"/>
      <c r="V26" s="15"/>
      <c r="W26" s="15"/>
      <c r="X26" s="15"/>
    </row>
    <row r="27" spans="1:24" ht="14.1" customHeight="1">
      <c r="A27" s="498" t="s">
        <v>12</v>
      </c>
      <c r="B27" s="499"/>
      <c r="C27" s="9"/>
      <c r="D27" s="500"/>
      <c r="E27" s="501"/>
      <c r="F27" s="502"/>
      <c r="G27" s="12"/>
      <c r="H27" s="104" t="s">
        <v>14</v>
      </c>
      <c r="I27" s="13"/>
      <c r="J27" s="487">
        <f t="shared" si="1"/>
        <v>0</v>
      </c>
      <c r="K27" s="488"/>
      <c r="L27" s="159"/>
      <c r="M27" s="364"/>
      <c r="N27" s="364"/>
      <c r="O27" s="365"/>
      <c r="R27" s="14"/>
      <c r="S27" s="15"/>
      <c r="T27" s="15"/>
      <c r="U27" s="15"/>
      <c r="V27" s="15"/>
      <c r="W27" s="15"/>
      <c r="X27" s="15"/>
    </row>
    <row r="28" spans="1:24" ht="14.1" customHeight="1">
      <c r="A28" s="498" t="s">
        <v>12</v>
      </c>
      <c r="B28" s="499"/>
      <c r="C28" s="9"/>
      <c r="D28" s="500"/>
      <c r="E28" s="501"/>
      <c r="F28" s="502"/>
      <c r="G28" s="12"/>
      <c r="H28" s="104" t="s">
        <v>14</v>
      </c>
      <c r="I28" s="13"/>
      <c r="J28" s="487">
        <f t="shared" si="1"/>
        <v>0</v>
      </c>
      <c r="K28" s="488"/>
      <c r="L28" s="159"/>
      <c r="M28" s="364"/>
      <c r="N28" s="364"/>
      <c r="O28" s="365"/>
      <c r="R28" s="14"/>
      <c r="S28" s="15"/>
      <c r="T28" s="15"/>
      <c r="U28" s="15"/>
      <c r="V28" s="15"/>
      <c r="W28" s="15"/>
      <c r="X28" s="15"/>
    </row>
    <row r="29" spans="1:24" ht="14.1" customHeight="1">
      <c r="A29" s="498" t="s">
        <v>12</v>
      </c>
      <c r="B29" s="499"/>
      <c r="C29" s="9"/>
      <c r="D29" s="500"/>
      <c r="E29" s="501"/>
      <c r="F29" s="502"/>
      <c r="G29" s="12"/>
      <c r="H29" s="104" t="s">
        <v>14</v>
      </c>
      <c r="I29" s="13"/>
      <c r="J29" s="487">
        <f t="shared" si="1"/>
        <v>0</v>
      </c>
      <c r="K29" s="488"/>
      <c r="L29" s="159"/>
      <c r="M29" s="364"/>
      <c r="N29" s="364"/>
      <c r="O29" s="365"/>
      <c r="R29" s="14"/>
      <c r="S29" s="15"/>
      <c r="T29" s="15"/>
      <c r="U29" s="15"/>
      <c r="V29" s="15"/>
      <c r="W29" s="15"/>
      <c r="X29" s="15"/>
    </row>
    <row r="30" spans="1:24" ht="14.1" customHeight="1">
      <c r="A30" s="498" t="s">
        <v>12</v>
      </c>
      <c r="B30" s="499"/>
      <c r="C30" s="9"/>
      <c r="D30" s="500"/>
      <c r="E30" s="501"/>
      <c r="F30" s="502"/>
      <c r="G30" s="12"/>
      <c r="H30" s="104" t="s">
        <v>14</v>
      </c>
      <c r="I30" s="13"/>
      <c r="J30" s="487">
        <f t="shared" si="1"/>
        <v>0</v>
      </c>
      <c r="K30" s="488"/>
      <c r="L30" s="159"/>
      <c r="M30" s="364"/>
      <c r="N30" s="364"/>
      <c r="O30" s="365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03" t="s">
        <v>12</v>
      </c>
      <c r="B31" s="504"/>
      <c r="C31" s="100" t="s">
        <v>153</v>
      </c>
      <c r="D31" s="505"/>
      <c r="E31" s="506"/>
      <c r="F31" s="507"/>
      <c r="G31" s="101"/>
      <c r="H31" s="105" t="s">
        <v>14</v>
      </c>
      <c r="I31" s="97"/>
      <c r="J31" s="487">
        <f t="shared" si="1"/>
        <v>0</v>
      </c>
      <c r="K31" s="488"/>
      <c r="L31" s="161"/>
      <c r="M31" s="417"/>
      <c r="N31" s="417"/>
      <c r="O31" s="418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97" t="s">
        <v>21</v>
      </c>
      <c r="B32" s="398"/>
      <c r="C32" s="398"/>
      <c r="D32" s="398"/>
      <c r="E32" s="398"/>
      <c r="F32" s="399"/>
      <c r="G32" s="168">
        <f>SUM(G19:G31)</f>
        <v>1</v>
      </c>
      <c r="H32" s="102"/>
      <c r="I32" s="376">
        <f>SUM(J19:J31)</f>
        <v>85000</v>
      </c>
      <c r="J32" s="377"/>
      <c r="K32" s="378"/>
      <c r="L32" s="98"/>
      <c r="M32" s="400"/>
      <c r="N32" s="400"/>
      <c r="O32" s="40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402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R33" s="15"/>
      <c r="S33" s="15"/>
      <c r="T33" s="15"/>
      <c r="U33" s="15"/>
      <c r="V33" s="15"/>
      <c r="W33" s="15"/>
      <c r="X33" s="15"/>
    </row>
    <row r="34" spans="1:24" ht="20.25" customHeight="1">
      <c r="A34" s="508" t="s">
        <v>22</v>
      </c>
      <c r="B34" s="509"/>
      <c r="C34" s="136" t="s">
        <v>23</v>
      </c>
      <c r="D34" s="510" t="s">
        <v>24</v>
      </c>
      <c r="E34" s="509"/>
      <c r="F34" s="136" t="s">
        <v>25</v>
      </c>
      <c r="G34" s="136" t="s">
        <v>26</v>
      </c>
      <c r="H34" s="136" t="s">
        <v>9</v>
      </c>
      <c r="I34" s="136" t="s">
        <v>27</v>
      </c>
      <c r="J34" s="510" t="s">
        <v>28</v>
      </c>
      <c r="K34" s="509"/>
      <c r="L34" s="160" t="s">
        <v>238</v>
      </c>
      <c r="M34" s="511" t="s">
        <v>65</v>
      </c>
      <c r="N34" s="512"/>
      <c r="O34" s="137">
        <f>$O$18</f>
        <v>114</v>
      </c>
      <c r="Q34" s="79" t="s">
        <v>200</v>
      </c>
    </row>
    <row r="35" spans="1:24" ht="14.1" customHeight="1">
      <c r="A35" s="498" t="s">
        <v>33</v>
      </c>
      <c r="B35" s="499"/>
      <c r="C35" s="16" t="s">
        <v>34</v>
      </c>
      <c r="D35" s="513"/>
      <c r="E35" s="499"/>
      <c r="F35" s="17"/>
      <c r="G35" s="12">
        <v>1</v>
      </c>
      <c r="H35" s="104"/>
      <c r="I35" s="13">
        <v>80000</v>
      </c>
      <c r="J35" s="487">
        <f>ROUNDDOWN(IF(H35="US",G35*I35*$O$18,G35*I35),0)</f>
        <v>80000</v>
      </c>
      <c r="K35" s="488"/>
      <c r="L35" s="159"/>
      <c r="M35" s="390"/>
      <c r="N35" s="390"/>
      <c r="O35" s="39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498" t="s">
        <v>33</v>
      </c>
      <c r="B36" s="499"/>
      <c r="C36" s="16" t="s">
        <v>35</v>
      </c>
      <c r="D36" s="513"/>
      <c r="E36" s="499"/>
      <c r="F36" s="17"/>
      <c r="G36" s="12"/>
      <c r="H36" s="104"/>
      <c r="I36" s="13"/>
      <c r="J36" s="487">
        <f t="shared" ref="J36:J59" si="3">ROUNDDOWN(IF(H36="US",G36*I36*$O$18,G36*I36),0)</f>
        <v>0</v>
      </c>
      <c r="K36" s="488"/>
      <c r="L36" s="159"/>
      <c r="M36" s="390"/>
      <c r="N36" s="390"/>
      <c r="O36" s="39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498" t="s">
        <v>33</v>
      </c>
      <c r="B37" s="499"/>
      <c r="C37" s="16" t="s">
        <v>35</v>
      </c>
      <c r="D37" s="513"/>
      <c r="E37" s="499"/>
      <c r="F37" s="17"/>
      <c r="G37" s="12"/>
      <c r="H37" s="104"/>
      <c r="I37" s="13"/>
      <c r="J37" s="487">
        <f t="shared" si="3"/>
        <v>0</v>
      </c>
      <c r="K37" s="488"/>
      <c r="L37" s="159"/>
      <c r="M37" s="390"/>
      <c r="N37" s="390"/>
      <c r="O37" s="39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498" t="s">
        <v>33</v>
      </c>
      <c r="B38" s="499"/>
      <c r="C38" s="16" t="s">
        <v>35</v>
      </c>
      <c r="D38" s="513"/>
      <c r="E38" s="499"/>
      <c r="F38" s="17"/>
      <c r="G38" s="12"/>
      <c r="H38" s="104"/>
      <c r="I38" s="13"/>
      <c r="J38" s="487">
        <f t="shared" si="3"/>
        <v>0</v>
      </c>
      <c r="K38" s="488"/>
      <c r="L38" s="159"/>
      <c r="M38" s="390"/>
      <c r="N38" s="390"/>
      <c r="O38" s="39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498"/>
      <c r="B39" s="499"/>
      <c r="C39" s="16"/>
      <c r="D39" s="513"/>
      <c r="E39" s="499"/>
      <c r="F39" s="17"/>
      <c r="G39" s="12"/>
      <c r="H39" s="104"/>
      <c r="I39" s="13"/>
      <c r="J39" s="487">
        <f t="shared" si="3"/>
        <v>0</v>
      </c>
      <c r="K39" s="488"/>
      <c r="L39" s="159"/>
      <c r="M39" s="390"/>
      <c r="N39" s="390"/>
      <c r="O39" s="39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498" t="s">
        <v>29</v>
      </c>
      <c r="B40" s="499"/>
      <c r="C40" s="16" t="s">
        <v>30</v>
      </c>
      <c r="D40" s="513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487">
        <f t="shared" si="3"/>
        <v>200000</v>
      </c>
      <c r="K40" s="488"/>
      <c r="L40" s="159"/>
      <c r="M40" s="390"/>
      <c r="N40" s="390"/>
      <c r="O40" s="39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498" t="s">
        <v>29</v>
      </c>
      <c r="B41" s="499"/>
      <c r="C41" s="16" t="s">
        <v>30</v>
      </c>
      <c r="D41" s="513"/>
      <c r="E41" s="499"/>
      <c r="F41" s="17"/>
      <c r="G41" s="12"/>
      <c r="H41" s="104"/>
      <c r="I41" s="13"/>
      <c r="J41" s="487">
        <f t="shared" si="3"/>
        <v>0</v>
      </c>
      <c r="K41" s="488"/>
      <c r="L41" s="159"/>
      <c r="M41" s="390"/>
      <c r="N41" s="390"/>
      <c r="O41" s="39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498" t="s">
        <v>29</v>
      </c>
      <c r="B42" s="499"/>
      <c r="C42" s="16" t="s">
        <v>30</v>
      </c>
      <c r="D42" s="513"/>
      <c r="E42" s="499"/>
      <c r="F42" s="17"/>
      <c r="G42" s="12"/>
      <c r="H42" s="104"/>
      <c r="I42" s="13"/>
      <c r="J42" s="487">
        <f t="shared" si="3"/>
        <v>0</v>
      </c>
      <c r="K42" s="488"/>
      <c r="L42" s="159"/>
      <c r="M42" s="390"/>
      <c r="N42" s="390"/>
      <c r="O42" s="39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498" t="s">
        <v>29</v>
      </c>
      <c r="B43" s="499"/>
      <c r="C43" s="16" t="s">
        <v>31</v>
      </c>
      <c r="D43" s="513"/>
      <c r="E43" s="499"/>
      <c r="F43" s="17"/>
      <c r="G43" s="12"/>
      <c r="H43" s="104"/>
      <c r="I43" s="13"/>
      <c r="J43" s="487">
        <f t="shared" si="3"/>
        <v>0</v>
      </c>
      <c r="K43" s="488"/>
      <c r="L43" s="159"/>
      <c r="M43" s="394"/>
      <c r="N43" s="395"/>
      <c r="O43" s="396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498" t="s">
        <v>29</v>
      </c>
      <c r="B44" s="499"/>
      <c r="C44" s="16" t="s">
        <v>32</v>
      </c>
      <c r="D44" s="513"/>
      <c r="E44" s="499"/>
      <c r="F44" s="17"/>
      <c r="G44" s="12"/>
      <c r="H44" s="104"/>
      <c r="I44" s="13"/>
      <c r="J44" s="487">
        <f t="shared" si="3"/>
        <v>0</v>
      </c>
      <c r="K44" s="488"/>
      <c r="L44" s="159"/>
      <c r="M44" s="390"/>
      <c r="N44" s="390"/>
      <c r="O44" s="39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498"/>
      <c r="B45" s="499"/>
      <c r="C45" s="16"/>
      <c r="D45" s="513"/>
      <c r="E45" s="499"/>
      <c r="F45" s="17"/>
      <c r="G45" s="12"/>
      <c r="H45" s="104"/>
      <c r="I45" s="13"/>
      <c r="J45" s="487">
        <f t="shared" si="3"/>
        <v>0</v>
      </c>
      <c r="K45" s="488"/>
      <c r="L45" s="159"/>
      <c r="M45" s="390"/>
      <c r="N45" s="390"/>
      <c r="O45" s="39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498" t="s">
        <v>36</v>
      </c>
      <c r="B46" s="499"/>
      <c r="C46" s="16" t="s">
        <v>37</v>
      </c>
      <c r="D46" s="513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487">
        <f t="shared" si="3"/>
        <v>1140000</v>
      </c>
      <c r="K46" s="488"/>
      <c r="L46" s="159"/>
      <c r="M46" s="394"/>
      <c r="N46" s="395"/>
      <c r="O46" s="396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498" t="s">
        <v>36</v>
      </c>
      <c r="B47" s="499"/>
      <c r="C47" s="16" t="s">
        <v>37</v>
      </c>
      <c r="D47" s="513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487">
        <f t="shared" si="3"/>
        <v>991800</v>
      </c>
      <c r="K47" s="488"/>
      <c r="L47" s="159"/>
      <c r="M47" s="394"/>
      <c r="N47" s="395"/>
      <c r="O47" s="396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498" t="s">
        <v>36</v>
      </c>
      <c r="B48" s="499"/>
      <c r="C48" s="16" t="s">
        <v>37</v>
      </c>
      <c r="D48" s="513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487">
        <f t="shared" si="3"/>
        <v>991800</v>
      </c>
      <c r="K48" s="488"/>
      <c r="L48" s="159"/>
      <c r="M48" s="394"/>
      <c r="N48" s="395"/>
      <c r="O48" s="396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498" t="s">
        <v>36</v>
      </c>
      <c r="B49" s="499"/>
      <c r="C49" s="16" t="s">
        <v>37</v>
      </c>
      <c r="D49" s="513"/>
      <c r="E49" s="499"/>
      <c r="F49" s="17"/>
      <c r="G49" s="12"/>
      <c r="H49" s="104"/>
      <c r="I49" s="13"/>
      <c r="J49" s="487">
        <f t="shared" si="3"/>
        <v>0</v>
      </c>
      <c r="K49" s="488"/>
      <c r="L49" s="159"/>
      <c r="M49" s="394"/>
      <c r="N49" s="395"/>
      <c r="O49" s="396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498" t="s">
        <v>36</v>
      </c>
      <c r="B50" s="499"/>
      <c r="C50" s="16" t="s">
        <v>38</v>
      </c>
      <c r="D50" s="513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487">
        <f t="shared" si="3"/>
        <v>39900</v>
      </c>
      <c r="K50" s="488"/>
      <c r="L50" s="159"/>
      <c r="M50" s="394"/>
      <c r="N50" s="395"/>
      <c r="O50" s="396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498" t="s">
        <v>36</v>
      </c>
      <c r="B51" s="499"/>
      <c r="C51" s="16" t="s">
        <v>38</v>
      </c>
      <c r="D51" s="513"/>
      <c r="E51" s="499"/>
      <c r="F51" s="17"/>
      <c r="G51" s="12"/>
      <c r="H51" s="104"/>
      <c r="I51" s="13"/>
      <c r="J51" s="487">
        <f t="shared" si="3"/>
        <v>0</v>
      </c>
      <c r="K51" s="488"/>
      <c r="L51" s="159"/>
      <c r="M51" s="394"/>
      <c r="N51" s="395"/>
      <c r="O51" s="396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498" t="s">
        <v>36</v>
      </c>
      <c r="B52" s="499"/>
      <c r="C52" s="16" t="s">
        <v>39</v>
      </c>
      <c r="D52" s="513"/>
      <c r="E52" s="499"/>
      <c r="F52" s="17"/>
      <c r="G52" s="12"/>
      <c r="H52" s="104"/>
      <c r="I52" s="13"/>
      <c r="J52" s="487">
        <f t="shared" si="3"/>
        <v>0</v>
      </c>
      <c r="K52" s="488"/>
      <c r="L52" s="159"/>
      <c r="M52" s="390"/>
      <c r="N52" s="390"/>
      <c r="O52" s="39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498" t="s">
        <v>36</v>
      </c>
      <c r="B53" s="499"/>
      <c r="C53" s="16" t="s">
        <v>39</v>
      </c>
      <c r="D53" s="513"/>
      <c r="E53" s="499"/>
      <c r="F53" s="17"/>
      <c r="G53" s="12"/>
      <c r="H53" s="104"/>
      <c r="I53" s="13"/>
      <c r="J53" s="487">
        <f t="shared" si="3"/>
        <v>0</v>
      </c>
      <c r="K53" s="488"/>
      <c r="L53" s="159"/>
      <c r="M53" s="390"/>
      <c r="N53" s="390"/>
      <c r="O53" s="39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498" t="s">
        <v>36</v>
      </c>
      <c r="B54" s="499"/>
      <c r="C54" s="16" t="s">
        <v>39</v>
      </c>
      <c r="D54" s="513"/>
      <c r="E54" s="499"/>
      <c r="F54" s="17"/>
      <c r="G54" s="12"/>
      <c r="H54" s="104"/>
      <c r="I54" s="13"/>
      <c r="J54" s="487">
        <f t="shared" si="3"/>
        <v>0</v>
      </c>
      <c r="K54" s="488"/>
      <c r="L54" s="159"/>
      <c r="M54" s="390"/>
      <c r="N54" s="390"/>
      <c r="O54" s="39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498"/>
      <c r="B55" s="499"/>
      <c r="C55" s="16"/>
      <c r="D55" s="513"/>
      <c r="E55" s="499"/>
      <c r="F55" s="17"/>
      <c r="G55" s="12"/>
      <c r="H55" s="104"/>
      <c r="I55" s="13"/>
      <c r="J55" s="487">
        <f t="shared" si="3"/>
        <v>0</v>
      </c>
      <c r="K55" s="488"/>
      <c r="L55" s="159"/>
      <c r="M55" s="390"/>
      <c r="N55" s="390"/>
      <c r="O55" s="39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498"/>
      <c r="B56" s="499"/>
      <c r="C56" s="16"/>
      <c r="D56" s="513"/>
      <c r="E56" s="499"/>
      <c r="F56" s="17"/>
      <c r="G56" s="12"/>
      <c r="H56" s="104"/>
      <c r="I56" s="13"/>
      <c r="J56" s="487">
        <f t="shared" si="3"/>
        <v>0</v>
      </c>
      <c r="K56" s="488"/>
      <c r="L56" s="159"/>
      <c r="M56" s="390"/>
      <c r="N56" s="390"/>
      <c r="O56" s="39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498"/>
      <c r="B57" s="499"/>
      <c r="C57" s="16"/>
      <c r="D57" s="513"/>
      <c r="E57" s="499"/>
      <c r="F57" s="17"/>
      <c r="G57" s="12"/>
      <c r="H57" s="104"/>
      <c r="I57" s="13"/>
      <c r="J57" s="487">
        <f t="shared" si="3"/>
        <v>0</v>
      </c>
      <c r="K57" s="488"/>
      <c r="L57" s="159"/>
      <c r="M57" s="390"/>
      <c r="N57" s="390"/>
      <c r="O57" s="39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498"/>
      <c r="B58" s="499"/>
      <c r="C58" s="16"/>
      <c r="D58" s="513"/>
      <c r="E58" s="499"/>
      <c r="F58" s="17"/>
      <c r="G58" s="12"/>
      <c r="H58" s="104"/>
      <c r="I58" s="13"/>
      <c r="J58" s="487">
        <f t="shared" si="3"/>
        <v>0</v>
      </c>
      <c r="K58" s="488"/>
      <c r="L58" s="159"/>
      <c r="M58" s="390"/>
      <c r="N58" s="390"/>
      <c r="O58" s="39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498"/>
      <c r="B59" s="499"/>
      <c r="C59" s="18"/>
      <c r="D59" s="513"/>
      <c r="E59" s="499"/>
      <c r="F59" s="19"/>
      <c r="G59" s="20"/>
      <c r="H59" s="106"/>
      <c r="I59" s="97"/>
      <c r="J59" s="487">
        <f t="shared" si="3"/>
        <v>0</v>
      </c>
      <c r="K59" s="488"/>
      <c r="L59" s="161"/>
      <c r="M59" s="392"/>
      <c r="N59" s="392"/>
      <c r="O59" s="393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73" t="s">
        <v>40</v>
      </c>
      <c r="B60" s="374"/>
      <c r="C60" s="374"/>
      <c r="D60" s="374"/>
      <c r="E60" s="374"/>
      <c r="F60" s="375"/>
      <c r="G60" s="22"/>
      <c r="H60" s="23"/>
      <c r="I60" s="376">
        <f>SUM(J35:J59)</f>
        <v>3443500</v>
      </c>
      <c r="J60" s="377"/>
      <c r="K60" s="378"/>
      <c r="L60" s="99"/>
      <c r="M60" s="379">
        <f>SUMIF(F35:F59,"",J35:J59)</f>
        <v>80000</v>
      </c>
      <c r="N60" s="380"/>
      <c r="O60" s="38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4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08" t="s">
        <v>22</v>
      </c>
      <c r="B62" s="509"/>
      <c r="C62" s="136" t="s">
        <v>23</v>
      </c>
      <c r="D62" s="510" t="s">
        <v>24</v>
      </c>
      <c r="E62" s="509"/>
      <c r="F62" s="138" t="s">
        <v>25</v>
      </c>
      <c r="G62" s="138" t="s">
        <v>26</v>
      </c>
      <c r="H62" s="138" t="s">
        <v>9</v>
      </c>
      <c r="I62" s="138" t="s">
        <v>27</v>
      </c>
      <c r="J62" s="510" t="s">
        <v>28</v>
      </c>
      <c r="K62" s="509"/>
      <c r="L62" s="160" t="s">
        <v>238</v>
      </c>
      <c r="M62" s="510" t="s">
        <v>65</v>
      </c>
      <c r="N62" s="509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498" t="s">
        <v>41</v>
      </c>
      <c r="B63" s="499"/>
      <c r="C63" s="16" t="s">
        <v>42</v>
      </c>
      <c r="D63" s="513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487">
        <f>ROUNDDOWN(IF(H63="US",G63*I63*$O$18,G63*I63),0)</f>
        <v>6654978</v>
      </c>
      <c r="K63" s="488"/>
      <c r="L63" s="159"/>
      <c r="M63" s="364"/>
      <c r="N63" s="364"/>
      <c r="O63" s="365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498" t="s">
        <v>41</v>
      </c>
      <c r="B64" s="499"/>
      <c r="C64" s="16" t="s">
        <v>243</v>
      </c>
      <c r="D64" s="513"/>
      <c r="E64" s="499"/>
      <c r="F64" s="17"/>
      <c r="G64" s="24">
        <v>24</v>
      </c>
      <c r="H64" s="104" t="s">
        <v>148</v>
      </c>
      <c r="I64" s="13">
        <v>5.83</v>
      </c>
      <c r="J64" s="487">
        <f t="shared" ref="J64:J80" si="5">ROUNDDOWN(IF(H64="US",G64*I64*$O$18,G64*I64),0)</f>
        <v>15950</v>
      </c>
      <c r="K64" s="488"/>
      <c r="L64" s="159"/>
      <c r="M64" s="364"/>
      <c r="N64" s="364"/>
      <c r="O64" s="365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498" t="s">
        <v>41</v>
      </c>
      <c r="B65" s="499"/>
      <c r="C65" s="16" t="s">
        <v>155</v>
      </c>
      <c r="D65" s="513"/>
      <c r="E65" s="499"/>
      <c r="F65" s="17"/>
      <c r="G65" s="24">
        <v>96</v>
      </c>
      <c r="H65" s="104" t="s">
        <v>148</v>
      </c>
      <c r="I65" s="13">
        <v>5.83</v>
      </c>
      <c r="J65" s="487">
        <f t="shared" si="5"/>
        <v>63803</v>
      </c>
      <c r="K65" s="488"/>
      <c r="L65" s="159"/>
      <c r="M65" s="355"/>
      <c r="N65" s="356"/>
      <c r="O65" s="357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498"/>
      <c r="B66" s="499"/>
      <c r="C66" s="16"/>
      <c r="D66" s="513"/>
      <c r="E66" s="499"/>
      <c r="F66" s="17"/>
      <c r="G66" s="24">
        <f>IF(A66&lt;&gt;0,($J$4*#REF!),)</f>
        <v>0</v>
      </c>
      <c r="H66" s="104"/>
      <c r="I66" s="13"/>
      <c r="J66" s="487">
        <f t="shared" si="5"/>
        <v>0</v>
      </c>
      <c r="K66" s="488"/>
      <c r="L66" s="159"/>
      <c r="M66" s="364"/>
      <c r="N66" s="364"/>
      <c r="O66" s="365"/>
      <c r="P66" s="1">
        <f t="shared" si="4"/>
        <v>0</v>
      </c>
      <c r="Q66" s="76"/>
    </row>
    <row r="67" spans="1:18" ht="14.1" customHeight="1">
      <c r="A67" s="498"/>
      <c r="B67" s="499"/>
      <c r="C67" s="16"/>
      <c r="D67" s="513"/>
      <c r="E67" s="499"/>
      <c r="F67" s="17"/>
      <c r="G67" s="24">
        <f>IF(A67&lt;&gt;0,($J$4*#REF!),)</f>
        <v>0</v>
      </c>
      <c r="H67" s="104"/>
      <c r="I67" s="13"/>
      <c r="J67" s="487">
        <f>ROUNDDOWN(IF(H67="US",G67*I67*$O$18,G67*I67),0)</f>
        <v>0</v>
      </c>
      <c r="K67" s="488"/>
      <c r="L67" s="159"/>
      <c r="M67" s="364"/>
      <c r="N67" s="364"/>
      <c r="O67" s="365"/>
      <c r="P67" s="1">
        <f t="shared" si="4"/>
        <v>0</v>
      </c>
      <c r="Q67" s="76"/>
    </row>
    <row r="68" spans="1:18" ht="14.1" customHeight="1">
      <c r="A68" s="498"/>
      <c r="B68" s="499"/>
      <c r="C68" s="16"/>
      <c r="D68" s="513"/>
      <c r="E68" s="499"/>
      <c r="F68" s="17"/>
      <c r="G68" s="24">
        <f>IF(A68&lt;&gt;0,($J$4*#REF!),)</f>
        <v>0</v>
      </c>
      <c r="H68" s="104"/>
      <c r="I68" s="13"/>
      <c r="J68" s="487">
        <f>ROUNDDOWN(IF(H68="US",G68*I68*$O$18,G68*I68),0)</f>
        <v>0</v>
      </c>
      <c r="K68" s="488"/>
      <c r="L68" s="159"/>
      <c r="M68" s="364"/>
      <c r="N68" s="364"/>
      <c r="O68" s="365"/>
      <c r="P68" s="1">
        <f t="shared" si="4"/>
        <v>0</v>
      </c>
      <c r="Q68" s="76"/>
    </row>
    <row r="69" spans="1:18" ht="14.1" customHeight="1">
      <c r="A69" s="498"/>
      <c r="B69" s="499"/>
      <c r="C69" s="16"/>
      <c r="D69" s="513"/>
      <c r="E69" s="499"/>
      <c r="F69" s="17"/>
      <c r="G69" s="24">
        <f>IF(A69&lt;&gt;0,($J$4*#REF!),)</f>
        <v>0</v>
      </c>
      <c r="H69" s="104"/>
      <c r="I69" s="13"/>
      <c r="J69" s="487">
        <f>ROUNDDOWN(IF(H69="US",G69*I69*$O$18,G69*I69),0)</f>
        <v>0</v>
      </c>
      <c r="K69" s="488"/>
      <c r="L69" s="159"/>
      <c r="M69" s="364"/>
      <c r="N69" s="364"/>
      <c r="O69" s="365"/>
      <c r="P69" s="1">
        <f t="shared" si="4"/>
        <v>0</v>
      </c>
      <c r="Q69" s="76"/>
    </row>
    <row r="70" spans="1:18" ht="14.1" customHeight="1">
      <c r="A70" s="498"/>
      <c r="B70" s="499"/>
      <c r="C70" s="16"/>
      <c r="D70" s="513"/>
      <c r="E70" s="499"/>
      <c r="F70" s="17"/>
      <c r="G70" s="24">
        <f>IF(A70&lt;&gt;0,($J$4*#REF!),)</f>
        <v>0</v>
      </c>
      <c r="H70" s="104"/>
      <c r="I70" s="13"/>
      <c r="J70" s="487">
        <f t="shared" si="5"/>
        <v>0</v>
      </c>
      <c r="K70" s="488"/>
      <c r="L70" s="159"/>
      <c r="M70" s="364"/>
      <c r="N70" s="364"/>
      <c r="O70" s="365"/>
      <c r="P70" s="1">
        <f t="shared" si="4"/>
        <v>0</v>
      </c>
      <c r="Q70" s="76"/>
    </row>
    <row r="71" spans="1:18" ht="14.1" customHeight="1">
      <c r="A71" s="498"/>
      <c r="B71" s="499"/>
      <c r="C71" s="16"/>
      <c r="D71" s="513"/>
      <c r="E71" s="499"/>
      <c r="F71" s="17"/>
      <c r="G71" s="24">
        <f>IF(A71&lt;&gt;0,($J$4*#REF!),)</f>
        <v>0</v>
      </c>
      <c r="H71" s="104"/>
      <c r="I71" s="13"/>
      <c r="J71" s="487">
        <f t="shared" si="5"/>
        <v>0</v>
      </c>
      <c r="K71" s="488"/>
      <c r="L71" s="159"/>
      <c r="M71" s="364"/>
      <c r="N71" s="364"/>
      <c r="O71" s="365"/>
      <c r="P71" s="1">
        <f t="shared" si="4"/>
        <v>0</v>
      </c>
      <c r="Q71" s="76"/>
    </row>
    <row r="72" spans="1:18" ht="14.1" customHeight="1">
      <c r="A72" s="498"/>
      <c r="B72" s="499"/>
      <c r="C72" s="16"/>
      <c r="D72" s="513"/>
      <c r="E72" s="499"/>
      <c r="F72" s="17"/>
      <c r="G72" s="24">
        <f>IF(A72&lt;&gt;0,($J$4*#REF!),)</f>
        <v>0</v>
      </c>
      <c r="H72" s="104"/>
      <c r="I72" s="13"/>
      <c r="J72" s="487">
        <f t="shared" si="5"/>
        <v>0</v>
      </c>
      <c r="K72" s="488"/>
      <c r="L72" s="159"/>
      <c r="M72" s="364"/>
      <c r="N72" s="364"/>
      <c r="O72" s="365"/>
      <c r="P72" s="1">
        <f t="shared" si="4"/>
        <v>0</v>
      </c>
      <c r="Q72" s="76"/>
    </row>
    <row r="73" spans="1:18" ht="14.1" customHeight="1">
      <c r="A73" s="498"/>
      <c r="B73" s="499"/>
      <c r="C73" s="16"/>
      <c r="D73" s="513"/>
      <c r="E73" s="499"/>
      <c r="F73" s="17"/>
      <c r="G73" s="24">
        <f>IF(A73&lt;&gt;0,($J$4*#REF!),)</f>
        <v>0</v>
      </c>
      <c r="H73" s="104"/>
      <c r="I73" s="13"/>
      <c r="J73" s="487">
        <f>ROUNDDOWN(IF(H73="US",G73*I73*$O$18,G73*I73),0)</f>
        <v>0</v>
      </c>
      <c r="K73" s="488"/>
      <c r="L73" s="159"/>
      <c r="M73" s="364"/>
      <c r="N73" s="364"/>
      <c r="O73" s="365"/>
      <c r="P73" s="1">
        <f t="shared" si="4"/>
        <v>0</v>
      </c>
      <c r="Q73" s="76"/>
    </row>
    <row r="74" spans="1:18" ht="14.1" customHeight="1">
      <c r="A74" s="498"/>
      <c r="B74" s="499"/>
      <c r="C74" s="16"/>
      <c r="D74" s="513"/>
      <c r="E74" s="499"/>
      <c r="F74" s="17"/>
      <c r="G74" s="24">
        <f>IF(A74&lt;&gt;0,($J$4*#REF!),)</f>
        <v>0</v>
      </c>
      <c r="H74" s="104"/>
      <c r="I74" s="13"/>
      <c r="J74" s="487">
        <f>ROUNDDOWN(IF(H74="US",G74*I74*$O$18,G74*I74),0)</f>
        <v>0</v>
      </c>
      <c r="K74" s="488"/>
      <c r="L74" s="159"/>
      <c r="M74" s="364"/>
      <c r="N74" s="364"/>
      <c r="O74" s="365"/>
      <c r="P74" s="1">
        <f t="shared" si="4"/>
        <v>0</v>
      </c>
      <c r="Q74" s="76"/>
    </row>
    <row r="75" spans="1:18" ht="14.1" customHeight="1">
      <c r="A75" s="498"/>
      <c r="B75" s="499"/>
      <c r="C75" s="16"/>
      <c r="D75" s="513"/>
      <c r="E75" s="499"/>
      <c r="F75" s="17"/>
      <c r="G75" s="24">
        <f>IF(A75&lt;&gt;0,($J$4*#REF!),)</f>
        <v>0</v>
      </c>
      <c r="H75" s="104"/>
      <c r="I75" s="13"/>
      <c r="J75" s="487">
        <f>ROUNDDOWN(IF(H75="US",G75*I75*$O$18,G75*I75),0)</f>
        <v>0</v>
      </c>
      <c r="K75" s="488"/>
      <c r="L75" s="159"/>
      <c r="M75" s="364"/>
      <c r="N75" s="364"/>
      <c r="O75" s="365"/>
      <c r="P75" s="1">
        <f t="shared" si="4"/>
        <v>0</v>
      </c>
      <c r="Q75" s="76"/>
    </row>
    <row r="76" spans="1:18" ht="14.1" customHeight="1">
      <c r="A76" s="498"/>
      <c r="B76" s="499"/>
      <c r="C76" s="16"/>
      <c r="D76" s="513"/>
      <c r="E76" s="499"/>
      <c r="F76" s="17"/>
      <c r="G76" s="24">
        <f>IF(A76&lt;&gt;0,($J$4*#REF!),)</f>
        <v>0</v>
      </c>
      <c r="H76" s="104"/>
      <c r="I76" s="13"/>
      <c r="J76" s="487">
        <f t="shared" si="5"/>
        <v>0</v>
      </c>
      <c r="K76" s="488"/>
      <c r="L76" s="159"/>
      <c r="M76" s="364"/>
      <c r="N76" s="364"/>
      <c r="O76" s="365"/>
      <c r="P76" s="1">
        <f t="shared" si="4"/>
        <v>0</v>
      </c>
      <c r="Q76" s="76"/>
    </row>
    <row r="77" spans="1:18" ht="14.1" customHeight="1">
      <c r="A77" s="498"/>
      <c r="B77" s="499"/>
      <c r="C77" s="16"/>
      <c r="D77" s="513"/>
      <c r="E77" s="499"/>
      <c r="F77" s="17"/>
      <c r="G77" s="24">
        <f>IF(A77&lt;&gt;0,($J$4*#REF!),)</f>
        <v>0</v>
      </c>
      <c r="H77" s="104"/>
      <c r="I77" s="13"/>
      <c r="J77" s="487">
        <f t="shared" si="5"/>
        <v>0</v>
      </c>
      <c r="K77" s="488"/>
      <c r="L77" s="159"/>
      <c r="M77" s="364"/>
      <c r="N77" s="364"/>
      <c r="O77" s="365"/>
      <c r="P77" s="1">
        <f t="shared" si="4"/>
        <v>0</v>
      </c>
      <c r="Q77" s="76"/>
    </row>
    <row r="78" spans="1:18" ht="14.1" customHeight="1">
      <c r="A78" s="498"/>
      <c r="B78" s="499"/>
      <c r="C78" s="16"/>
      <c r="D78" s="513"/>
      <c r="E78" s="499"/>
      <c r="F78" s="17"/>
      <c r="G78" s="24">
        <f>IF(A78&lt;&gt;0,($J$4*#REF!),)</f>
        <v>0</v>
      </c>
      <c r="H78" s="104"/>
      <c r="I78" s="13"/>
      <c r="J78" s="487">
        <f t="shared" si="5"/>
        <v>0</v>
      </c>
      <c r="K78" s="488"/>
      <c r="L78" s="159"/>
      <c r="M78" s="364"/>
      <c r="N78" s="364"/>
      <c r="O78" s="365"/>
      <c r="P78" s="1">
        <f t="shared" si="4"/>
        <v>0</v>
      </c>
      <c r="Q78" s="76"/>
    </row>
    <row r="79" spans="1:18" ht="14.1" customHeight="1">
      <c r="A79" s="498"/>
      <c r="B79" s="499"/>
      <c r="C79" s="16"/>
      <c r="D79" s="513"/>
      <c r="E79" s="499"/>
      <c r="F79" s="17"/>
      <c r="G79" s="24">
        <f>IF(A79&lt;&gt;0,($J$4*#REF!),)</f>
        <v>0</v>
      </c>
      <c r="H79" s="104"/>
      <c r="I79" s="13"/>
      <c r="J79" s="487">
        <f t="shared" si="5"/>
        <v>0</v>
      </c>
      <c r="K79" s="488"/>
      <c r="L79" s="159"/>
      <c r="M79" s="355"/>
      <c r="N79" s="356"/>
      <c r="O79" s="357"/>
      <c r="P79" s="1">
        <f t="shared" si="4"/>
        <v>0</v>
      </c>
      <c r="Q79" s="76"/>
    </row>
    <row r="80" spans="1:18" ht="14.1" customHeight="1">
      <c r="A80" s="498"/>
      <c r="B80" s="499"/>
      <c r="C80" s="16"/>
      <c r="D80" s="513"/>
      <c r="E80" s="499"/>
      <c r="F80" s="17"/>
      <c r="G80" s="24">
        <f>IF(A80&lt;&gt;0,($J$4*#REF!),)</f>
        <v>0</v>
      </c>
      <c r="H80" s="104"/>
      <c r="I80" s="13"/>
      <c r="J80" s="487">
        <f t="shared" si="5"/>
        <v>0</v>
      </c>
      <c r="K80" s="488"/>
      <c r="L80" s="159"/>
      <c r="M80" s="364"/>
      <c r="N80" s="364"/>
      <c r="O80" s="365"/>
      <c r="P80" s="1">
        <f t="shared" si="4"/>
        <v>0</v>
      </c>
      <c r="Q80" s="76"/>
    </row>
    <row r="81" spans="1:17" ht="14.1" customHeight="1">
      <c r="A81" s="514" t="s">
        <v>50</v>
      </c>
      <c r="B81" s="515"/>
      <c r="C81" s="80" t="s">
        <v>158</v>
      </c>
      <c r="D81" s="516"/>
      <c r="E81" s="517"/>
      <c r="F81" s="81"/>
      <c r="G81" s="82">
        <v>1</v>
      </c>
      <c r="H81" s="107" t="s">
        <v>14</v>
      </c>
      <c r="I81" s="83">
        <v>150000</v>
      </c>
      <c r="J81" s="518">
        <f>ROUNDDOWN(IF(H81="US",G81*I81*$O$18,G81*I81),0)</f>
        <v>150000</v>
      </c>
      <c r="K81" s="519"/>
      <c r="L81" s="122"/>
      <c r="M81" s="364" t="s">
        <v>210</v>
      </c>
      <c r="N81" s="364"/>
      <c r="O81" s="365"/>
      <c r="P81" s="1" t="str">
        <f t="shared" si="4"/>
        <v>3:運賃(FEDEX、BLPなど)</v>
      </c>
      <c r="Q81" s="76"/>
    </row>
    <row r="82" spans="1:17" ht="14.1" customHeight="1">
      <c r="A82" s="514" t="s">
        <v>50</v>
      </c>
      <c r="B82" s="515"/>
      <c r="C82" s="80" t="s">
        <v>159</v>
      </c>
      <c r="D82" s="513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487">
        <f>ROUNDDOWN(IF(H82="US",G82*I82*$O$18,G82*I82),0)</f>
        <v>200000</v>
      </c>
      <c r="K82" s="488"/>
      <c r="L82" s="122"/>
      <c r="M82" s="364" t="s">
        <v>211</v>
      </c>
      <c r="N82" s="364"/>
      <c r="O82" s="365"/>
      <c r="P82" s="1" t="str">
        <f t="shared" si="4"/>
        <v>4:検査費</v>
      </c>
      <c r="Q82" s="76"/>
    </row>
    <row r="83" spans="1:17" ht="14.1" customHeight="1">
      <c r="A83" s="526" t="s">
        <v>43</v>
      </c>
      <c r="B83" s="527"/>
      <c r="C83" s="25" t="s">
        <v>44</v>
      </c>
      <c r="D83" s="528"/>
      <c r="E83" s="529"/>
      <c r="F83" s="109"/>
      <c r="G83" s="110">
        <f>IF(A83&lt;&gt;0,$M$4)</f>
        <v>10000</v>
      </c>
      <c r="H83" s="108" t="s">
        <v>14</v>
      </c>
      <c r="I83" s="13"/>
      <c r="J83" s="530">
        <f>ROUNDDOWN(IF(I83&lt;&gt;0,IF(G83&lt;&gt;0,IF(H83="US",G83*I83*$O$18,G83*I83),E83*$M$4*$O$4),E83*$M$4*$O$4),0)</f>
        <v>0</v>
      </c>
      <c r="K83" s="531"/>
      <c r="L83" s="122"/>
      <c r="M83" s="364" t="s">
        <v>212</v>
      </c>
      <c r="N83" s="364"/>
      <c r="O83" s="365"/>
      <c r="P83" s="1" t="str">
        <f t="shared" si="4"/>
        <v>1:証紙</v>
      </c>
      <c r="Q83" s="76"/>
    </row>
    <row r="84" spans="1:17" ht="14.1" customHeight="1">
      <c r="A84" s="532" t="s">
        <v>45</v>
      </c>
      <c r="B84" s="533"/>
      <c r="C84" s="170" t="s">
        <v>204</v>
      </c>
      <c r="D84" s="534">
        <v>0.03</v>
      </c>
      <c r="E84" s="535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36">
        <f>ROUNDDOWN(IF(D84&lt;&gt;0,IF(H84="US","エラー",I84*G84),),0)</f>
        <v>305346</v>
      </c>
      <c r="K84" s="537"/>
      <c r="L84" s="123"/>
      <c r="M84" s="355" t="s">
        <v>207</v>
      </c>
      <c r="N84" s="356"/>
      <c r="O84" s="357"/>
      <c r="P84" s="1" t="str">
        <f t="shared" si="4"/>
        <v>2:輸入費用</v>
      </c>
      <c r="Q84" s="76"/>
    </row>
    <row r="85" spans="1:17" ht="14.1" customHeight="1" thickBot="1">
      <c r="A85" s="532" t="s">
        <v>45</v>
      </c>
      <c r="B85" s="533"/>
      <c r="C85" s="170" t="s">
        <v>152</v>
      </c>
      <c r="D85" s="534"/>
      <c r="E85" s="535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36">
        <f>ROUNDDOWN(IF(E85&lt;&gt;0,IF(H85="US","エラー",I85*G85),),0)</f>
        <v>0</v>
      </c>
      <c r="K85" s="537"/>
      <c r="L85" s="123"/>
      <c r="M85" s="355" t="s">
        <v>208</v>
      </c>
      <c r="N85" s="356"/>
      <c r="O85" s="357"/>
      <c r="P85" s="1" t="str">
        <f t="shared" si="4"/>
        <v>3:関税</v>
      </c>
      <c r="Q85" s="78"/>
    </row>
    <row r="86" spans="1:17" ht="14.1" customHeight="1" thickBot="1">
      <c r="A86" s="538"/>
      <c r="B86" s="539"/>
      <c r="C86" s="171"/>
      <c r="D86" s="522"/>
      <c r="E86" s="523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524">
        <f>ROUNDDOWN(IF(E86&lt;&gt;0,IF(H86="US","エラー",I86*G86),),0)</f>
        <v>0</v>
      </c>
      <c r="K86" s="525"/>
      <c r="L86" s="124"/>
      <c r="M86" s="350"/>
      <c r="N86" s="351"/>
      <c r="O86" s="352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293"/>
      <c r="N87" s="293"/>
      <c r="O87" s="331"/>
    </row>
    <row r="88" spans="1:17" ht="16.5" customHeight="1">
      <c r="A88" s="332" t="s">
        <v>240</v>
      </c>
      <c r="B88" s="333"/>
      <c r="C88" s="128">
        <f>I16</f>
        <v>12644000</v>
      </c>
      <c r="D88" s="129"/>
      <c r="E88" s="334" t="s">
        <v>239</v>
      </c>
      <c r="F88" s="335"/>
      <c r="G88" s="333"/>
      <c r="H88" s="540">
        <f>I32</f>
        <v>85000</v>
      </c>
      <c r="I88" s="541"/>
      <c r="J88" s="130"/>
      <c r="K88" s="338" t="s">
        <v>241</v>
      </c>
      <c r="L88" s="339"/>
      <c r="M88" s="542">
        <f>C88+H88</f>
        <v>12729000</v>
      </c>
      <c r="N88" s="543"/>
      <c r="O88" s="131"/>
    </row>
    <row r="89" spans="1:17" ht="16.5" customHeight="1">
      <c r="A89" s="317" t="s">
        <v>246</v>
      </c>
      <c r="B89" s="318"/>
      <c r="C89" s="125">
        <f>C88-J94</f>
        <v>1890423</v>
      </c>
      <c r="D89" s="158">
        <f>C89/C88</f>
        <v>0.14951146788990827</v>
      </c>
      <c r="E89" s="319" t="s">
        <v>247</v>
      </c>
      <c r="F89" s="320"/>
      <c r="G89" s="321"/>
      <c r="H89" s="544">
        <f>H88-M60</f>
        <v>5000</v>
      </c>
      <c r="I89" s="545"/>
      <c r="J89" s="158">
        <f>H89/H88</f>
        <v>5.8823529411764705E-2</v>
      </c>
      <c r="K89" s="319" t="s">
        <v>250</v>
      </c>
      <c r="L89" s="321"/>
      <c r="M89" s="546">
        <f>C89+H89</f>
        <v>1895423</v>
      </c>
      <c r="N89" s="547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326" t="s">
        <v>242</v>
      </c>
      <c r="K90" s="327"/>
      <c r="L90" s="328"/>
      <c r="M90" s="520">
        <f>ROUNDDOWN((M88*O90),0)</f>
        <v>773923</v>
      </c>
      <c r="N90" s="521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306" t="s">
        <v>248</v>
      </c>
      <c r="K91" s="309"/>
      <c r="L91" s="307"/>
      <c r="M91" s="556">
        <f>M89-M90</f>
        <v>1121500</v>
      </c>
      <c r="N91" s="557"/>
      <c r="O91" s="127">
        <f>M91/M88</f>
        <v>8.8105899913583155E-2</v>
      </c>
    </row>
    <row r="92" spans="1:17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>
        <f>$M$4</f>
        <v>10000</v>
      </c>
      <c r="H92" s="31"/>
      <c r="I92" s="32">
        <f>IF(G92&gt;0,J92/G92,)</f>
        <v>739.0077</v>
      </c>
      <c r="J92" s="315">
        <f>SUMIF(F63:F86,"",J63:J86)</f>
        <v>7390077</v>
      </c>
      <c r="K92" s="315"/>
      <c r="L92" s="32"/>
      <c r="M92" s="316"/>
      <c r="N92" s="316"/>
      <c r="O92" s="118"/>
    </row>
    <row r="93" spans="1:17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>
        <f>$M$4</f>
        <v>10000</v>
      </c>
      <c r="H93" s="34"/>
      <c r="I93" s="117">
        <f>IF(G93&gt;0,J93/G93,)</f>
        <v>336.35</v>
      </c>
      <c r="J93" s="297">
        <f>SUMIF(F35:F86,"○",J35:J86)</f>
        <v>3363500</v>
      </c>
      <c r="K93" s="298"/>
      <c r="L93" s="92"/>
      <c r="M93" s="299"/>
      <c r="N93" s="300"/>
      <c r="O93" s="35"/>
    </row>
    <row r="94" spans="1:17" ht="16.5" customHeight="1" thickBot="1">
      <c r="A94" s="548" t="s">
        <v>251</v>
      </c>
      <c r="B94" s="549"/>
      <c r="C94" s="550" t="s">
        <v>252</v>
      </c>
      <c r="D94" s="550"/>
      <c r="E94" s="550"/>
      <c r="F94" s="550"/>
      <c r="G94" s="112">
        <f>$M$4</f>
        <v>10000</v>
      </c>
      <c r="H94" s="113"/>
      <c r="I94" s="114">
        <f>IF(G94&gt;0,J94/G94,)</f>
        <v>1075.3577</v>
      </c>
      <c r="J94" s="551">
        <f>SUM(J92:J93)</f>
        <v>10753577</v>
      </c>
      <c r="K94" s="552"/>
      <c r="L94" s="553" t="s">
        <v>245</v>
      </c>
      <c r="M94" s="554"/>
      <c r="N94" s="551">
        <f>M60</f>
        <v>80000</v>
      </c>
      <c r="O94" s="555"/>
    </row>
    <row r="95" spans="1:17" ht="16.5" customHeight="1">
      <c r="A95" s="291" t="s">
        <v>48</v>
      </c>
      <c r="B95" s="291"/>
      <c r="C95" s="291"/>
      <c r="D95" s="291"/>
      <c r="E95" s="291"/>
      <c r="F95" s="291"/>
      <c r="G95" s="291"/>
      <c r="H95" s="37"/>
      <c r="I95" s="292" t="s">
        <v>66</v>
      </c>
      <c r="J95" s="292"/>
      <c r="K95" s="292"/>
      <c r="L95" s="292"/>
      <c r="M95" s="292"/>
      <c r="N95" s="292"/>
      <c r="O95" s="292"/>
    </row>
    <row r="96" spans="1:17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43731</v>
      </c>
      <c r="B160" s="56"/>
      <c r="C160" s="57">
        <f ca="1">YEAR(A160)</f>
        <v>2019</v>
      </c>
      <c r="D160" s="57"/>
      <c r="E160" s="58">
        <f ca="1">MONTH(A160)</f>
        <v>9</v>
      </c>
      <c r="F160" s="59" t="str">
        <f t="shared" ref="F160:F185" ca="1" si="6">CONCATENATE(C160,"/",E160)</f>
        <v>2019/9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10</v>
      </c>
      <c r="F161" s="59" t="str">
        <f t="shared" ca="1" si="6"/>
        <v>2019/10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11</v>
      </c>
      <c r="F162" s="59" t="str">
        <f t="shared" ca="1" si="6"/>
        <v>2019/11</v>
      </c>
    </row>
    <row r="163" spans="1:6" ht="12">
      <c r="C163" s="57">
        <f t="shared" ca="1" si="7"/>
        <v>2019</v>
      </c>
      <c r="D163" s="57"/>
      <c r="E163" s="58">
        <f t="shared" ca="1" si="8"/>
        <v>12</v>
      </c>
      <c r="F163" s="59" t="str">
        <f t="shared" ca="1" si="6"/>
        <v>2019/12</v>
      </c>
    </row>
    <row r="164" spans="1:6" ht="12">
      <c r="C164" s="57">
        <f t="shared" ca="1" si="7"/>
        <v>2020</v>
      </c>
      <c r="D164" s="57"/>
      <c r="E164" s="58">
        <f t="shared" ca="1" si="8"/>
        <v>1</v>
      </c>
      <c r="F164" s="59" t="str">
        <f t="shared" ca="1" si="6"/>
        <v>2020/1</v>
      </c>
    </row>
    <row r="165" spans="1:6" ht="12">
      <c r="C165" s="57">
        <f t="shared" ca="1" si="7"/>
        <v>2020</v>
      </c>
      <c r="D165" s="57"/>
      <c r="E165" s="58">
        <f t="shared" ca="1" si="8"/>
        <v>2</v>
      </c>
      <c r="F165" s="59" t="str">
        <f t="shared" ca="1" si="6"/>
        <v>2020/2</v>
      </c>
    </row>
    <row r="166" spans="1:6" ht="12">
      <c r="C166" s="57">
        <f t="shared" ca="1" si="7"/>
        <v>2020</v>
      </c>
      <c r="D166" s="57"/>
      <c r="E166" s="58">
        <f t="shared" ca="1" si="8"/>
        <v>3</v>
      </c>
      <c r="F166" s="59" t="str">
        <f t="shared" ca="1" si="6"/>
        <v>2020/3</v>
      </c>
    </row>
    <row r="167" spans="1:6" ht="12">
      <c r="C167" s="57">
        <f t="shared" ca="1" si="7"/>
        <v>2020</v>
      </c>
      <c r="D167" s="57"/>
      <c r="E167" s="58">
        <f t="shared" ca="1" si="8"/>
        <v>4</v>
      </c>
      <c r="F167" s="59" t="str">
        <f t="shared" ca="1" si="6"/>
        <v>2020/4</v>
      </c>
    </row>
    <row r="168" spans="1:6" ht="12">
      <c r="C168" s="57">
        <f t="shared" ca="1" si="7"/>
        <v>2020</v>
      </c>
      <c r="D168" s="57"/>
      <c r="E168" s="58">
        <f t="shared" ca="1" si="8"/>
        <v>5</v>
      </c>
      <c r="F168" s="59" t="str">
        <f t="shared" ca="1" si="6"/>
        <v>2020/5</v>
      </c>
    </row>
    <row r="169" spans="1:6" ht="12">
      <c r="C169" s="57">
        <f t="shared" ca="1" si="7"/>
        <v>2020</v>
      </c>
      <c r="D169" s="57"/>
      <c r="E169" s="58">
        <f t="shared" ca="1" si="8"/>
        <v>6</v>
      </c>
      <c r="F169" s="59" t="str">
        <f t="shared" ca="1" si="6"/>
        <v>2020/6</v>
      </c>
    </row>
    <row r="170" spans="1:6" ht="12">
      <c r="C170" s="57">
        <f t="shared" ca="1" si="7"/>
        <v>2020</v>
      </c>
      <c r="D170" s="57"/>
      <c r="E170" s="58">
        <f t="shared" ca="1" si="8"/>
        <v>7</v>
      </c>
      <c r="F170" s="59" t="str">
        <f t="shared" ca="1" si="6"/>
        <v>2020/7</v>
      </c>
    </row>
    <row r="171" spans="1:6" ht="12">
      <c r="C171" s="57">
        <f t="shared" ca="1" si="7"/>
        <v>2020</v>
      </c>
      <c r="D171" s="57"/>
      <c r="E171" s="58">
        <f t="shared" ca="1" si="8"/>
        <v>8</v>
      </c>
      <c r="F171" s="59" t="str">
        <f t="shared" ca="1" si="6"/>
        <v>2020/8</v>
      </c>
    </row>
    <row r="172" spans="1:6" ht="12">
      <c r="C172" s="57">
        <f t="shared" ca="1" si="7"/>
        <v>2020</v>
      </c>
      <c r="D172" s="57"/>
      <c r="E172" s="58">
        <f t="shared" ca="1" si="8"/>
        <v>9</v>
      </c>
      <c r="F172" s="59" t="str">
        <f t="shared" ca="1" si="6"/>
        <v>2020/9</v>
      </c>
    </row>
    <row r="173" spans="1:6" ht="12">
      <c r="C173" s="57">
        <f t="shared" ca="1" si="7"/>
        <v>2020</v>
      </c>
      <c r="D173" s="57"/>
      <c r="E173" s="58">
        <f t="shared" ca="1" si="8"/>
        <v>10</v>
      </c>
      <c r="F173" s="59" t="str">
        <f t="shared" ca="1" si="6"/>
        <v>2020/10</v>
      </c>
    </row>
    <row r="174" spans="1:6" ht="12">
      <c r="C174" s="57">
        <f t="shared" ca="1" si="7"/>
        <v>2020</v>
      </c>
      <c r="D174" s="57"/>
      <c r="E174" s="58">
        <f t="shared" ca="1" si="8"/>
        <v>11</v>
      </c>
      <c r="F174" s="59" t="str">
        <f t="shared" ca="1" si="6"/>
        <v>2020/11</v>
      </c>
    </row>
    <row r="175" spans="1:6" ht="12">
      <c r="C175" s="57">
        <f t="shared" ca="1" si="7"/>
        <v>2020</v>
      </c>
      <c r="D175" s="57"/>
      <c r="E175" s="58">
        <f t="shared" ca="1" si="8"/>
        <v>12</v>
      </c>
      <c r="F175" s="59" t="str">
        <f t="shared" ca="1" si="6"/>
        <v>2020/12</v>
      </c>
    </row>
    <row r="176" spans="1:6" ht="12">
      <c r="C176" s="57">
        <f t="shared" ca="1" si="7"/>
        <v>2021</v>
      </c>
      <c r="D176" s="57"/>
      <c r="E176" s="58">
        <f t="shared" ca="1" si="8"/>
        <v>1</v>
      </c>
      <c r="F176" s="59" t="str">
        <f t="shared" ca="1" si="6"/>
        <v>2021/1</v>
      </c>
    </row>
    <row r="177" spans="1:17" ht="12">
      <c r="C177" s="57">
        <f t="shared" ca="1" si="7"/>
        <v>2021</v>
      </c>
      <c r="D177" s="57"/>
      <c r="E177" s="58">
        <f t="shared" ca="1" si="8"/>
        <v>2</v>
      </c>
      <c r="F177" s="59" t="str">
        <f t="shared" ca="1" si="6"/>
        <v>2021/2</v>
      </c>
    </row>
    <row r="178" spans="1:17" ht="12">
      <c r="C178" s="57">
        <f t="shared" ca="1" si="7"/>
        <v>2021</v>
      </c>
      <c r="D178" s="57"/>
      <c r="E178" s="58">
        <f t="shared" ca="1" si="8"/>
        <v>3</v>
      </c>
      <c r="F178" s="59" t="str">
        <f t="shared" ca="1" si="6"/>
        <v>2021/3</v>
      </c>
    </row>
    <row r="179" spans="1:17" ht="12">
      <c r="C179" s="57">
        <f t="shared" ca="1" si="7"/>
        <v>2021</v>
      </c>
      <c r="D179" s="57"/>
      <c r="E179" s="58">
        <f t="shared" ca="1" si="8"/>
        <v>4</v>
      </c>
      <c r="F179" s="59" t="str">
        <f t="shared" ca="1" si="6"/>
        <v>2021/4</v>
      </c>
    </row>
    <row r="180" spans="1:17" ht="12">
      <c r="C180" s="57">
        <f t="shared" ca="1" si="7"/>
        <v>2021</v>
      </c>
      <c r="D180" s="57"/>
      <c r="E180" s="58">
        <f t="shared" ca="1" si="8"/>
        <v>5</v>
      </c>
      <c r="F180" s="59" t="str">
        <f t="shared" ca="1" si="6"/>
        <v>2021/5</v>
      </c>
    </row>
    <row r="181" spans="1:17" ht="12">
      <c r="C181" s="57">
        <f t="shared" ca="1" si="7"/>
        <v>2021</v>
      </c>
      <c r="D181" s="57"/>
      <c r="E181" s="58">
        <f t="shared" ca="1" si="8"/>
        <v>6</v>
      </c>
      <c r="F181" s="59" t="str">
        <f t="shared" ca="1" si="6"/>
        <v>2021/6</v>
      </c>
    </row>
    <row r="182" spans="1:17" ht="12">
      <c r="C182" s="57">
        <f t="shared" ca="1" si="7"/>
        <v>2021</v>
      </c>
      <c r="D182" s="57"/>
      <c r="E182" s="58">
        <f t="shared" ca="1" si="8"/>
        <v>7</v>
      </c>
      <c r="F182" s="59" t="str">
        <f t="shared" ca="1" si="6"/>
        <v>2021/7</v>
      </c>
    </row>
    <row r="183" spans="1:17" ht="12">
      <c r="C183" s="57">
        <f t="shared" ca="1" si="7"/>
        <v>2021</v>
      </c>
      <c r="D183" s="57"/>
      <c r="E183" s="58">
        <f t="shared" ca="1" si="8"/>
        <v>8</v>
      </c>
      <c r="F183" s="59" t="str">
        <f t="shared" ca="1" si="6"/>
        <v>2021/8</v>
      </c>
    </row>
    <row r="184" spans="1:17" ht="12">
      <c r="C184" s="57">
        <f t="shared" ca="1" si="7"/>
        <v>2021</v>
      </c>
      <c r="D184" s="57"/>
      <c r="E184" s="58">
        <f t="shared" ca="1" si="8"/>
        <v>9</v>
      </c>
      <c r="F184" s="59" t="str">
        <f t="shared" ca="1" si="6"/>
        <v>2021/9</v>
      </c>
    </row>
    <row r="185" spans="1:17" ht="12">
      <c r="C185" s="57">
        <f t="shared" ca="1" si="7"/>
        <v>2021</v>
      </c>
      <c r="D185" s="57"/>
      <c r="E185" s="58">
        <f t="shared" ca="1" si="8"/>
        <v>10</v>
      </c>
      <c r="F185" s="59" t="str">
        <f t="shared" ca="1" si="6"/>
        <v>2021/10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123</vt:i4>
      </vt:variant>
    </vt:vector>
  </HeadingPairs>
  <TitlesOfParts>
    <vt:vector size="126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ﾊﾟﾀｰﾝ1'!order_e_stockitemcode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ﾊﾟﾀｰﾝ1'!order_f_stockitemcode</vt:lpstr>
      <vt:lpstr>'ver.4.0.1 ﾊﾟﾀｰﾝ1'!order_f_stocksubjectcode</vt:lpstr>
      <vt:lpstr>'ver.4.0.1 ﾊﾟﾀｰﾝ1'!order_f_subtotalprice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ﾊﾟﾀｰﾝ1'!receive_f_salesclasscode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ﾊﾟﾀｰﾝ1'!receive_p_salesclasscode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2019-09-23T04:49:32Z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