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画面設計書\"/>
    </mc:Choice>
  </mc:AlternateContent>
  <xr:revisionPtr revIDLastSave="0" documentId="13_ncr:1_{7D5E2595-2A62-4B9C-B90E-19313AEE0B1B}" xr6:coauthVersionLast="40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ﾊﾟﾀｰﾝ1'!$B$102</definedName>
    <definedName name="calculation_tariff" localSheetId="0">'ver.4.0.1 ﾊﾟﾀｰﾝ1'!$B$99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ﾊﾟﾀｰﾝ1'!$Q$113</definedName>
    <definedName name="hdn_import_parts_cost" localSheetId="0">'ver.4.0.1 ﾊﾟﾀｰﾝ1'!$Q$108</definedName>
    <definedName name="hdn_list_payoff_blank" localSheetId="0">'ver.4.0.1 ﾊﾟﾀｰﾝ1'!$N$105</definedName>
    <definedName name="hdn_main_product" localSheetId="0">'ver.4.0.1 ﾊﾟﾀｰﾝ1'!$Q$104</definedName>
    <definedName name="hdn_mass_product" localSheetId="0">'ver.4.0.1 ﾊﾟﾀｰﾝ1'!$Q$111</definedName>
    <definedName name="hdn_material_parts_cost" localSheetId="0">'ver.4.0.1 ﾊﾟﾀｰﾝ1'!$Q$107</definedName>
    <definedName name="hdn_material_tools_cost" localSheetId="0">'ver.4.0.1 ﾊﾟﾀｰﾝ1'!$Q$109</definedName>
    <definedName name="hdn_mold_overseas_depreciation" localSheetId="0">'ver.4.0.1 ﾊﾟﾀｰﾝ1'!$Q$106</definedName>
    <definedName name="hdn_payoff_circle" localSheetId="0">'ver.4.0.1 ﾊﾟﾀｰﾝ1'!$N$106</definedName>
    <definedName name="hdn_product_sales" localSheetId="0">'ver.4.0.1 ﾊﾟﾀｰﾝ1'!$U$106</definedName>
    <definedName name="hdn_tariff" localSheetId="0">'ver.4.0.1 ﾊﾟﾀｰﾝ1'!$Q$114</definedName>
    <definedName name="hdn_tariff_sales" localSheetId="0">'ver.4.0.1 ﾊﾟﾀｰﾝ1'!$Q$116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ﾊﾟﾀｰﾝ1'!$O$105</definedName>
    <definedName name="list_end" localSheetId="0">'ver.4.0.1 ﾊﾟﾀｰﾝ1'!$A$87</definedName>
    <definedName name="main_product" localSheetId="0">'ver.4.0.1 ﾊﾟﾀｰﾝ1'!$Q$104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ﾊﾟﾀｰﾝ1'!$Y$103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ﾊﾟﾀｰﾝ1'!$W$60</definedName>
    <definedName name="order_e_stockitemcode" localSheetId="0">'ver.4.0.1 ﾊﾟﾀｰﾝ1'!$C$60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ﾊﾟﾀｰﾝ1'!$W$33</definedName>
    <definedName name="order_f_stockitemcode" localSheetId="0">'ver.4.0.1 ﾊﾟﾀｰﾝ1'!$C$33</definedName>
    <definedName name="order_f_stocksubjectcode" localSheetId="0">'ver.4.0.1 ﾊﾟﾀｰﾝ1'!$A$33</definedName>
    <definedName name="order_f_subtotalprice" localSheetId="0">'ver.4.0.1 ﾊﾟﾀｰﾝ1'!$K$33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ﾊﾟﾀｰﾝ1'!$W$18</definedName>
    <definedName name="receive_f_salesclasscode" localSheetId="0">'ver.4.0.1 ﾊﾟﾀｰﾝ1'!$C$18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ﾊﾟﾀｰﾝ1'!$W$6</definedName>
    <definedName name="receive_p_salesclasscode" localSheetId="0">'ver.4.0.1 ﾊﾟﾀｰﾝ1'!$C$6</definedName>
    <definedName name="receive_p_salesdivision_dropdown" localSheetId="0">'ver.4.0.1 ﾊﾟﾀｰﾝ1'!$A$103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ariff_total" localSheetId="0">'ver.4.0.1 ﾊﾟﾀｰﾝ1'!$B$101</definedName>
    <definedName name="top_left" localSheetId="0">'ver.4.0.1 ﾊﾟﾀｰﾝ1'!$A$1</definedName>
    <definedName name="top_right" localSheetId="0">'ver.4.0.1 ﾊﾟﾀｰﾝ1'!$P$1</definedName>
  </definedNames>
  <calcPr calcId="181029"/>
</workbook>
</file>

<file path=xl/calcChain.xml><?xml version="1.0" encoding="utf-8"?>
<calcChain xmlns="http://schemas.openxmlformats.org/spreadsheetml/2006/main">
  <c r="Q20" i="6" l="1"/>
  <c r="Q21" i="6"/>
  <c r="Q22" i="6"/>
  <c r="Q23" i="6"/>
  <c r="Q24" i="6"/>
  <c r="Q25" i="6"/>
  <c r="Q26" i="6"/>
  <c r="Q27" i="6"/>
  <c r="Q28" i="6"/>
  <c r="Q29" i="6"/>
  <c r="Q30" i="6"/>
  <c r="Q19" i="6"/>
  <c r="B97" i="6" l="1"/>
  <c r="I79" i="6"/>
  <c r="I80" i="6"/>
  <c r="I81" i="6"/>
  <c r="I82" i="6"/>
  <c r="I83" i="6"/>
  <c r="I84" i="6"/>
  <c r="I85" i="6"/>
  <c r="I77" i="6"/>
  <c r="G83" i="6" l="1"/>
  <c r="G84" i="6"/>
  <c r="G85" i="6"/>
  <c r="Q35" i="6" l="1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34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61" i="6"/>
  <c r="I191" i="6" l="1"/>
  <c r="R67" i="6"/>
  <c r="R76" i="6"/>
  <c r="R61" i="6"/>
  <c r="Q78" i="6"/>
  <c r="Q79" i="6"/>
  <c r="T79" i="6" s="1"/>
  <c r="Q80" i="6"/>
  <c r="Q81" i="6"/>
  <c r="T81" i="6" s="1"/>
  <c r="Q82" i="6"/>
  <c r="T82" i="6" s="1"/>
  <c r="Q83" i="6"/>
  <c r="T83" i="6" s="1"/>
  <c r="Q84" i="6"/>
  <c r="T84" i="6" s="1"/>
  <c r="Q85" i="6"/>
  <c r="T85" i="6" s="1"/>
  <c r="Q86" i="6"/>
  <c r="T86" i="6" s="1"/>
  <c r="Q77" i="6"/>
  <c r="R62" i="6"/>
  <c r="R63" i="6"/>
  <c r="R64" i="6"/>
  <c r="R65" i="6"/>
  <c r="R66" i="6"/>
  <c r="R68" i="6"/>
  <c r="R69" i="6"/>
  <c r="R70" i="6"/>
  <c r="R71" i="6"/>
  <c r="R72" i="6"/>
  <c r="R73" i="6"/>
  <c r="R74" i="6"/>
  <c r="R75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34" i="6"/>
  <c r="Q8" i="6"/>
  <c r="Q9" i="6"/>
  <c r="Q10" i="6"/>
  <c r="Q11" i="6"/>
  <c r="Q12" i="6"/>
  <c r="Q13" i="6"/>
  <c r="Q14" i="6"/>
  <c r="Q15" i="6"/>
  <c r="Q7" i="6"/>
  <c r="J81" i="6" l="1"/>
  <c r="J83" i="6"/>
  <c r="J84" i="6"/>
  <c r="J85" i="6"/>
  <c r="W7" i="6" l="1"/>
  <c r="J13" i="6"/>
  <c r="J14" i="6"/>
  <c r="J15" i="6"/>
  <c r="W77" i="6" l="1"/>
  <c r="W61" i="6"/>
  <c r="G64" i="6" l="1"/>
  <c r="G65" i="6"/>
  <c r="G76" i="6"/>
  <c r="G75" i="6"/>
  <c r="G73" i="6"/>
  <c r="G72" i="6"/>
  <c r="G71" i="6"/>
  <c r="G70" i="6"/>
  <c r="G69" i="6"/>
  <c r="G68" i="6"/>
  <c r="G66" i="6"/>
  <c r="K85" i="6" l="1"/>
  <c r="K84" i="6"/>
  <c r="K83" i="6"/>
  <c r="J76" i="6" l="1"/>
  <c r="K76" i="6" s="1"/>
  <c r="J75" i="6"/>
  <c r="K75" i="6" s="1"/>
  <c r="J74" i="6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J66" i="6"/>
  <c r="K66" i="6" s="1"/>
  <c r="J65" i="6"/>
  <c r="K65" i="6" s="1"/>
  <c r="J64" i="6"/>
  <c r="K64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AB86" i="6"/>
  <c r="AA86" i="6"/>
  <c r="AB85" i="6"/>
  <c r="AA85" i="6"/>
  <c r="AB84" i="6"/>
  <c r="AA84" i="6"/>
  <c r="AB83" i="6"/>
  <c r="AA83" i="6"/>
  <c r="AB82" i="6"/>
  <c r="AA82" i="6"/>
  <c r="J82" i="6" s="1"/>
  <c r="AB81" i="6"/>
  <c r="AA81" i="6"/>
  <c r="AB80" i="6"/>
  <c r="AA80" i="6"/>
  <c r="AB79" i="6"/>
  <c r="AA79" i="6"/>
  <c r="AB78" i="6"/>
  <c r="AA78" i="6"/>
  <c r="AB77" i="6"/>
  <c r="AA77" i="6"/>
  <c r="AB76" i="6"/>
  <c r="AA76" i="6"/>
  <c r="AB75" i="6"/>
  <c r="AA75" i="6"/>
  <c r="AB74" i="6"/>
  <c r="AA74" i="6"/>
  <c r="AB73" i="6"/>
  <c r="AA73" i="6"/>
  <c r="AB72" i="6"/>
  <c r="AA72" i="6"/>
  <c r="AB71" i="6"/>
  <c r="AA71" i="6"/>
  <c r="AB70" i="6"/>
  <c r="AA70" i="6"/>
  <c r="AB69" i="6"/>
  <c r="AA69" i="6"/>
  <c r="AB68" i="6"/>
  <c r="AA68" i="6"/>
  <c r="AB67" i="6"/>
  <c r="AA67" i="6"/>
  <c r="AB66" i="6"/>
  <c r="AA66" i="6"/>
  <c r="AB65" i="6"/>
  <c r="AA65" i="6"/>
  <c r="AB64" i="6"/>
  <c r="AA64" i="6"/>
  <c r="AB63" i="6"/>
  <c r="AA63" i="6"/>
  <c r="AB62" i="6"/>
  <c r="AA62" i="6"/>
  <c r="AB61" i="6"/>
  <c r="AA61" i="6"/>
  <c r="AB57" i="6"/>
  <c r="AA57" i="6"/>
  <c r="AB56" i="6"/>
  <c r="AA56" i="6"/>
  <c r="AB55" i="6"/>
  <c r="AA55" i="6"/>
  <c r="AB54" i="6"/>
  <c r="AA54" i="6"/>
  <c r="AB53" i="6"/>
  <c r="AA53" i="6"/>
  <c r="AB52" i="6"/>
  <c r="AA52" i="6"/>
  <c r="AB51" i="6"/>
  <c r="AA51" i="6"/>
  <c r="AB50" i="6"/>
  <c r="AA50" i="6"/>
  <c r="AB49" i="6"/>
  <c r="AA49" i="6"/>
  <c r="AB48" i="6"/>
  <c r="AA48" i="6"/>
  <c r="AB47" i="6"/>
  <c r="AA47" i="6"/>
  <c r="AB46" i="6"/>
  <c r="AA46" i="6"/>
  <c r="AB45" i="6"/>
  <c r="AA45" i="6"/>
  <c r="AB44" i="6"/>
  <c r="AA44" i="6"/>
  <c r="AB43" i="6"/>
  <c r="AA43" i="6"/>
  <c r="AB42" i="6"/>
  <c r="AA42" i="6"/>
  <c r="AB41" i="6"/>
  <c r="AA41" i="6"/>
  <c r="AB40" i="6"/>
  <c r="AA40" i="6"/>
  <c r="AB39" i="6"/>
  <c r="AA39" i="6"/>
  <c r="AB38" i="6"/>
  <c r="AA38" i="6"/>
  <c r="AB37" i="6"/>
  <c r="AA37" i="6"/>
  <c r="AB36" i="6"/>
  <c r="AA36" i="6"/>
  <c r="AB35" i="6"/>
  <c r="AA35" i="6"/>
  <c r="AB34" i="6"/>
  <c r="AA34" i="6"/>
  <c r="AB30" i="6"/>
  <c r="AA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W86" i="6"/>
  <c r="Y86" i="6" s="1"/>
  <c r="W85" i="6"/>
  <c r="Y85" i="6" s="1"/>
  <c r="W84" i="6"/>
  <c r="Y84" i="6" s="1"/>
  <c r="W83" i="6"/>
  <c r="Y83" i="6" s="1"/>
  <c r="W82" i="6"/>
  <c r="Y82" i="6" s="1"/>
  <c r="W81" i="6"/>
  <c r="Y81" i="6" s="1"/>
  <c r="W80" i="6"/>
  <c r="Y80" i="6" s="1"/>
  <c r="W79" i="6"/>
  <c r="W78" i="6"/>
  <c r="W76" i="6"/>
  <c r="Y76" i="6" s="1"/>
  <c r="W75" i="6"/>
  <c r="Y75" i="6" s="1"/>
  <c r="W74" i="6"/>
  <c r="Y74" i="6" s="1"/>
  <c r="W73" i="6"/>
  <c r="Y73" i="6" s="1"/>
  <c r="W72" i="6"/>
  <c r="Y72" i="6" s="1"/>
  <c r="W71" i="6"/>
  <c r="Y71" i="6" s="1"/>
  <c r="W70" i="6"/>
  <c r="Y70" i="6" s="1"/>
  <c r="W69" i="6"/>
  <c r="Y69" i="6" s="1"/>
  <c r="W68" i="6"/>
  <c r="Y68" i="6" s="1"/>
  <c r="W67" i="6"/>
  <c r="Y67" i="6" s="1"/>
  <c r="W66" i="6"/>
  <c r="Y66" i="6" s="1"/>
  <c r="W65" i="6"/>
  <c r="Y65" i="6" s="1"/>
  <c r="W64" i="6"/>
  <c r="Y64" i="6" s="1"/>
  <c r="W63" i="6"/>
  <c r="Y63" i="6" s="1"/>
  <c r="W62" i="6"/>
  <c r="Y61" i="6"/>
  <c r="W57" i="6"/>
  <c r="Y57" i="6" s="1"/>
  <c r="W56" i="6"/>
  <c r="Y56" i="6" s="1"/>
  <c r="W55" i="6"/>
  <c r="Y55" i="6" s="1"/>
  <c r="W54" i="6"/>
  <c r="Y54" i="6" s="1"/>
  <c r="W53" i="6"/>
  <c r="Y53" i="6" s="1"/>
  <c r="W52" i="6"/>
  <c r="Y52" i="6" s="1"/>
  <c r="W51" i="6"/>
  <c r="Y51" i="6" s="1"/>
  <c r="W50" i="6"/>
  <c r="Y50" i="6" s="1"/>
  <c r="W49" i="6"/>
  <c r="W48" i="6"/>
  <c r="Y48" i="6" s="1"/>
  <c r="W47" i="6"/>
  <c r="W46" i="6"/>
  <c r="W45" i="6"/>
  <c r="W44" i="6"/>
  <c r="Y44" i="6" s="1"/>
  <c r="W43" i="6"/>
  <c r="Y43" i="6" s="1"/>
  <c r="W42" i="6"/>
  <c r="Y42" i="6" s="1"/>
  <c r="W41" i="6"/>
  <c r="Y41" i="6" s="1"/>
  <c r="W40" i="6"/>
  <c r="Y40" i="6" s="1"/>
  <c r="W39" i="6"/>
  <c r="W38" i="6"/>
  <c r="Y38" i="6" s="1"/>
  <c r="W37" i="6"/>
  <c r="Y37" i="6" s="1"/>
  <c r="W36" i="6"/>
  <c r="Y36" i="6" s="1"/>
  <c r="W35" i="6"/>
  <c r="Y35" i="6" s="1"/>
  <c r="W30" i="6"/>
  <c r="Y30" i="6" s="1"/>
  <c r="W29" i="6"/>
  <c r="Y29" i="6" s="1"/>
  <c r="W28" i="6"/>
  <c r="Y28" i="6" s="1"/>
  <c r="W27" i="6"/>
  <c r="Y27" i="6" s="1"/>
  <c r="W26" i="6"/>
  <c r="Y26" i="6" s="1"/>
  <c r="W25" i="6"/>
  <c r="Y25" i="6" s="1"/>
  <c r="W24" i="6"/>
  <c r="Y24" i="6" s="1"/>
  <c r="W23" i="6"/>
  <c r="Y23" i="6" s="1"/>
  <c r="W22" i="6"/>
  <c r="Y22" i="6" s="1"/>
  <c r="W21" i="6"/>
  <c r="Y21" i="6" s="1"/>
  <c r="W20" i="6"/>
  <c r="Y20" i="6" s="1"/>
  <c r="W19" i="6"/>
  <c r="Y19" i="6" s="1"/>
  <c r="W15" i="6"/>
  <c r="Y15" i="6" s="1"/>
  <c r="W14" i="6"/>
  <c r="Y14" i="6" s="1"/>
  <c r="W13" i="6"/>
  <c r="Y13" i="6" s="1"/>
  <c r="W12" i="6"/>
  <c r="W11" i="6"/>
  <c r="W10" i="6"/>
  <c r="Y10" i="6" s="1"/>
  <c r="W9" i="6"/>
  <c r="Y9" i="6" s="1"/>
  <c r="W8" i="6"/>
  <c r="Y7" i="6"/>
  <c r="W34" i="6"/>
  <c r="Y34" i="6" s="1"/>
  <c r="J80" i="6" l="1"/>
  <c r="J78" i="6"/>
  <c r="J61" i="6"/>
  <c r="J63" i="6"/>
  <c r="J77" i="6"/>
  <c r="J47" i="6"/>
  <c r="K47" i="6" s="1"/>
  <c r="J62" i="6"/>
  <c r="J79" i="6"/>
  <c r="J7" i="6"/>
  <c r="Y11" i="6"/>
  <c r="J11" i="6"/>
  <c r="Y46" i="6"/>
  <c r="J46" i="6"/>
  <c r="K46" i="6" s="1"/>
  <c r="Y49" i="6"/>
  <c r="J49" i="6"/>
  <c r="K49" i="6" s="1"/>
  <c r="J22" i="6"/>
  <c r="K22" i="6" s="1"/>
  <c r="Y45" i="6"/>
  <c r="J45" i="6"/>
  <c r="Y12" i="6"/>
  <c r="J12" i="6"/>
  <c r="J21" i="6"/>
  <c r="K21" i="6" s="1"/>
  <c r="J20" i="6"/>
  <c r="K20" i="6" s="1"/>
  <c r="N58" i="6"/>
  <c r="K15" i="6"/>
  <c r="T15" i="6" s="1"/>
  <c r="K10" i="6"/>
  <c r="T10" i="6" s="1"/>
  <c r="K13" i="6"/>
  <c r="T13" i="6" s="1"/>
  <c r="K9" i="6"/>
  <c r="T9" i="6" s="1"/>
  <c r="K14" i="6"/>
  <c r="T14" i="6" s="1"/>
  <c r="Y77" i="6"/>
  <c r="Y78" i="6"/>
  <c r="Y79" i="6"/>
  <c r="J39" i="6"/>
  <c r="K39" i="6" s="1"/>
  <c r="Y47" i="6"/>
  <c r="K45" i="6"/>
  <c r="Y39" i="6"/>
  <c r="J19" i="6"/>
  <c r="K19" i="6" s="1"/>
  <c r="Y62" i="6"/>
  <c r="Y8" i="6"/>
  <c r="K7" i="6" l="1"/>
  <c r="T7" i="6" s="1"/>
  <c r="I31" i="6"/>
  <c r="I58" i="6"/>
  <c r="K11" i="6"/>
  <c r="T11" i="6" s="1"/>
  <c r="K12" i="6"/>
  <c r="T12" i="6" s="1"/>
  <c r="K8" i="6"/>
  <c r="T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G80" i="6" s="1"/>
  <c r="H191" i="6"/>
  <c r="G191" i="6"/>
  <c r="F191" i="6"/>
  <c r="E191" i="6"/>
  <c r="C191" i="6"/>
  <c r="A164" i="6"/>
  <c r="C164" i="6" s="1"/>
  <c r="Q31" i="6"/>
  <c r="G31" i="6"/>
  <c r="Q16" i="6"/>
  <c r="G16" i="6"/>
  <c r="G82" i="6" l="1"/>
  <c r="K82" i="6" s="1"/>
  <c r="G79" i="6"/>
  <c r="K79" i="6" s="1"/>
  <c r="B98" i="6" s="1"/>
  <c r="G81" i="6"/>
  <c r="K81" i="6" s="1"/>
  <c r="G67" i="6"/>
  <c r="K67" i="6" s="1"/>
  <c r="G94" i="6"/>
  <c r="G62" i="6"/>
  <c r="K62" i="6" s="1"/>
  <c r="K93" i="6" s="1"/>
  <c r="G74" i="6"/>
  <c r="K74" i="6" s="1"/>
  <c r="G77" i="6"/>
  <c r="G61" i="6"/>
  <c r="K61" i="6" s="1"/>
  <c r="G63" i="6"/>
  <c r="K63" i="6" s="1"/>
  <c r="H88" i="6"/>
  <c r="H89" i="6" s="1"/>
  <c r="I16" i="6"/>
  <c r="C88" i="6" s="1"/>
  <c r="G93" i="6"/>
  <c r="G92" i="6"/>
  <c r="E164" i="6"/>
  <c r="O94" i="6"/>
  <c r="B99" i="6" l="1"/>
  <c r="B100" i="6"/>
  <c r="I93" i="6"/>
  <c r="N88" i="6"/>
  <c r="N90" i="6" s="1"/>
  <c r="C165" i="6"/>
  <c r="E165" i="6"/>
  <c r="F164" i="6"/>
  <c r="K77" i="6" l="1"/>
  <c r="T77" i="6" s="1"/>
  <c r="K80" i="6"/>
  <c r="T80" i="6" s="1"/>
  <c r="K89" i="6"/>
  <c r="E166" i="6"/>
  <c r="C166" i="6"/>
  <c r="F165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J93" i="4" l="1"/>
  <c r="I93" i="4" s="1"/>
  <c r="I32" i="4"/>
  <c r="H88" i="4" s="1"/>
  <c r="F166" i="6"/>
  <c r="E167" i="6"/>
  <c r="C167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F167" i="6" l="1"/>
  <c r="C168" i="6"/>
  <c r="E168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E169" i="6" l="1"/>
  <c r="C169" i="6"/>
  <c r="F168" i="6"/>
  <c r="C162" i="4"/>
  <c r="F162" i="4" s="1"/>
  <c r="I92" i="4"/>
  <c r="J94" i="4"/>
  <c r="E164" i="4"/>
  <c r="F169" i="6" l="1"/>
  <c r="E170" i="6"/>
  <c r="C170" i="6"/>
  <c r="C163" i="4"/>
  <c r="C164" i="4" s="1"/>
  <c r="F164" i="4" s="1"/>
  <c r="I94" i="4"/>
  <c r="C89" i="4"/>
  <c r="E165" i="4"/>
  <c r="F170" i="6" l="1"/>
  <c r="C171" i="6"/>
  <c r="E171" i="6"/>
  <c r="C165" i="4"/>
  <c r="F165" i="4" s="1"/>
  <c r="F163" i="4"/>
  <c r="E166" i="4"/>
  <c r="M89" i="4"/>
  <c r="D89" i="4"/>
  <c r="E172" i="6" l="1"/>
  <c r="C172" i="6"/>
  <c r="F171" i="6"/>
  <c r="C166" i="4"/>
  <c r="F166" i="4" s="1"/>
  <c r="O89" i="4"/>
  <c r="M91" i="4"/>
  <c r="O91" i="4" s="1"/>
  <c r="E167" i="4"/>
  <c r="F172" i="6" l="1"/>
  <c r="C173" i="6"/>
  <c r="E173" i="6"/>
  <c r="C167" i="4"/>
  <c r="F167" i="4" s="1"/>
  <c r="E168" i="4"/>
  <c r="E174" i="6" l="1"/>
  <c r="C174" i="6"/>
  <c r="F173" i="6"/>
  <c r="C168" i="4"/>
  <c r="F168" i="4" s="1"/>
  <c r="E169" i="4"/>
  <c r="F174" i="6" l="1"/>
  <c r="E175" i="6"/>
  <c r="C175" i="6"/>
  <c r="C169" i="4"/>
  <c r="C170" i="4" s="1"/>
  <c r="E170" i="4"/>
  <c r="F175" i="6" l="1"/>
  <c r="C176" i="6"/>
  <c r="E176" i="6"/>
  <c r="F169" i="4"/>
  <c r="F170" i="4"/>
  <c r="E171" i="4"/>
  <c r="C171" i="4"/>
  <c r="F176" i="6" l="1"/>
  <c r="C177" i="6"/>
  <c r="E177" i="6"/>
  <c r="F171" i="4"/>
  <c r="E172" i="4"/>
  <c r="C172" i="4"/>
  <c r="C178" i="6" l="1"/>
  <c r="E178" i="6"/>
  <c r="F177" i="6"/>
  <c r="F172" i="4"/>
  <c r="E173" i="4"/>
  <c r="C173" i="4"/>
  <c r="E179" i="6" l="1"/>
  <c r="C179" i="6"/>
  <c r="F178" i="6"/>
  <c r="F173" i="4"/>
  <c r="E174" i="4"/>
  <c r="C174" i="4"/>
  <c r="F179" i="6" l="1"/>
  <c r="E180" i="6"/>
  <c r="C180" i="6"/>
  <c r="F174" i="4"/>
  <c r="E175" i="4"/>
  <c r="C175" i="4"/>
  <c r="F180" i="6" l="1"/>
  <c r="C181" i="6"/>
  <c r="E181" i="6"/>
  <c r="F175" i="4"/>
  <c r="E176" i="4"/>
  <c r="C176" i="4"/>
  <c r="C182" i="6" l="1"/>
  <c r="E182" i="6"/>
  <c r="F181" i="6"/>
  <c r="F176" i="4"/>
  <c r="E177" i="4"/>
  <c r="C177" i="4"/>
  <c r="C183" i="6" l="1"/>
  <c r="E183" i="6"/>
  <c r="F182" i="6"/>
  <c r="C178" i="4"/>
  <c r="E178" i="4"/>
  <c r="F177" i="4"/>
  <c r="E184" i="6" l="1"/>
  <c r="C184" i="6"/>
  <c r="F183" i="6"/>
  <c r="F178" i="4"/>
  <c r="C179" i="4"/>
  <c r="E179" i="4"/>
  <c r="F184" i="6" l="1"/>
  <c r="E185" i="6"/>
  <c r="C185" i="6"/>
  <c r="F179" i="4"/>
  <c r="E180" i="4"/>
  <c r="C180" i="4"/>
  <c r="F185" i="6" l="1"/>
  <c r="C186" i="6"/>
  <c r="E186" i="6"/>
  <c r="F180" i="4"/>
  <c r="E181" i="4"/>
  <c r="C181" i="4"/>
  <c r="E187" i="6" l="1"/>
  <c r="C187" i="6"/>
  <c r="F186" i="6"/>
  <c r="F181" i="4"/>
  <c r="E182" i="4"/>
  <c r="C182" i="4"/>
  <c r="F187" i="6" l="1"/>
  <c r="E188" i="6"/>
  <c r="C188" i="6"/>
  <c r="F182" i="4"/>
  <c r="E183" i="4"/>
  <c r="C183" i="4"/>
  <c r="F188" i="6" l="1"/>
  <c r="C189" i="6"/>
  <c r="E189" i="6"/>
  <c r="F183" i="4"/>
  <c r="C184" i="4"/>
  <c r="E184" i="4"/>
  <c r="F189" i="6" l="1"/>
  <c r="F184" i="4"/>
  <c r="E185" i="4"/>
  <c r="C185" i="4"/>
  <c r="F185" i="4" l="1"/>
  <c r="T78" i="6" l="1"/>
  <c r="B101" i="6" s="1"/>
  <c r="B102" i="6" l="1"/>
  <c r="I78" i="6" l="1"/>
  <c r="K78" i="6" s="1"/>
  <c r="K92" i="6" s="1"/>
  <c r="K94" i="6" s="1"/>
  <c r="I94" i="6" s="1"/>
  <c r="I92" i="6" l="1"/>
  <c r="C89" i="6"/>
  <c r="N89" i="6" s="1"/>
  <c r="P89" i="6" s="1"/>
  <c r="N91" i="6" l="1"/>
  <c r="P91" i="6" s="1"/>
  <c r="D8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AC104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<sst xmlns="http://schemas.openxmlformats.org/spreadsheetml/2006/main" count="1011" uniqueCount="325">
  <si>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</si>
  <si>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</si>
  <si>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</si>
  <si>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</si>
  <si>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</si>
  <si>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</si>
  <si>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</si>
  <si>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</si>
  <si>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</si>
  <si>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</si>
  <si>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</si>
  <si>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</si>
  <si>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</si>
  <si>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</si>
  <si>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</si>
  <si>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</si>
  <si>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</si>
  <si>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</si>
  <si>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</si>
  <si>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</si>
  <si>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</si>
  <si>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</si>
  <si>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</si>
  <si>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</si>
  <si>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</si>
  <si>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</si>
  <si>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</si>
  <si>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</si>
  <si>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</si>
  <si>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</si>
  <si>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</si>
  <si>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</si>
  <si>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</si>
  <si>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</si>
  <si>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</si>
  <si>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</si>
  <si>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</si>
  <si>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</si>
  <si>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</si>
  <si>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</si>
  <si>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</si>
  <si>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</si>
  <si>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</si>
  <si>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</si>
  <si>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</si>
  <si>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</si>
  <si>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</si>
  <si>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</si>
  <si>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</si>
  <si>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</si>
  <si>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</si>
  <si>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</si>
  <si>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</si>
  <si>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</si>
  <si>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</si>
  <si>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</si>
  <si>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</si>
  <si>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</si>
  <si>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</si>
  <si>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</si>
  <si>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</si>
  <si>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</si>
  <si>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</si>
  <si>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</si>
  <si>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</si>
  <si>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</si>
  <si>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</si>
  <si>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</si>
  <si>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</si>
  <si>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</si>
  <si>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</si>
  <si>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</si>
  <si>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</si>
  <si>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</si>
  <si>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</si>
  <si>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</si>
  <si>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</si>
  <si>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</si>
  <si>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</si>
  <si>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</si>
  <si>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</si>
  <si>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</si>
  <si>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</si>
  <si>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</si>
  <si>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</si>
  <si>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</si>
  <si>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</si>
  <si>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</si>
  <si>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</si>
  <si>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</si>
  <si>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</si>
  <si>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</si>
  <si>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</si>
  <si>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</si>
  <si>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</si>
  <si>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</si>
  <si>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</si>
  <si>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</si>
  <si>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</si>
  <si>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</si>
  <si>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</si>
  <si>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</si>
  <si>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</si>
  <si>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</si>
  <si>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</si>
  <si>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</si>
  <si>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</si>
  <si>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</si>
  <si>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</si>
  <si>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</si>
  <si>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</si>
  <si>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</si>
  <si>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</si>
  <si>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</si>
  <si>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</si>
  <si>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</si>
  <si>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</si>
  <si>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</si>
  <si>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</si>
  <si>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</si>
  <si>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</si>
  <si>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</si>
  <si>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</si>
  <si>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</si>
  <si>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</si>
  <si>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</si>
  <si>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</si>
  <si>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</si>
  <si>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</si>
  <si>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</si>
  <si>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</si>
  <si>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</si>
  <si>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</si>
  <si>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</si>
  <si>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</si>
  <si>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</si>
  <si>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</si>
  <si>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</si>
  <si>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</si>
  <si>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</si>
  <si>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</si>
  <si>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</si>
  <si>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</si>
  <si>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</si>
  <si>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</si>
  <si>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</si>
  <si>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</si>
  <si>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</si>
  <si>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</si>
  <si>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</si>
  <si>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</si>
  <si>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</si>
  <si>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</si>
  <si>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</si>
  <si>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</si>
  <si>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</si>
  <si>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</si>
  <si>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</si>
  <si>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</si>
  <si>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</si>
  <si>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</si>
  <si>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</si>
  <si>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</si>
  <si>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</si>
  <si>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</si>
  <si>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</si>
  <si>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</si>
  <si>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</si>
  <si>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</si>
  <si>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</si>
  <si>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</si>
  <si>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</si>
  <si>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</si>
  <si>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</si>
  <si>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</si>
  <si>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</si>
  <si>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</si>
  <si>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</si>
  <si>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</si>
  <si>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</si>
  <si>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</si>
  <si>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</si>
  <si>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</si>
  <si>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</si>
  <si>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</si>
  <si>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</si>
  <si>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</si>
  <si>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</si>
  <si>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</si>
  <si>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</si>
  <si>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</si>
  <si>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</si>
  <si>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</si>
  <si>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</si>
  <si>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</si>
  <si>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</si>
  <si>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</si>
  <si>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</si>
  <si>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</si>
  <si>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</si>
  <si>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</si>
  <si>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</si>
  <si>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</si>
  <si>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</si>
  <si>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</si>
  <si>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</si>
  <si>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</si>
  <si>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</si>
  <si>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</si>
  <si>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</si>
  <si>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</si>
  <si>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</si>
  <si>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</si>
  <si>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</si>
  <si>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</si>
  <si>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</si>
  <si>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</si>
  <si>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</si>
  <si>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</si>
  <si>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</si>
  <si>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</si>
  <si>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</si>
  <si>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</si>
  <si>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</si>
  <si>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</si>
  <si>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</si>
  <si>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</si>
  <si>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</si>
  <si>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</si>
  <si>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</si>
  <si>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</si>
  <si>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</si>
  <si>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</si>
  <si>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</si>
  <si>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</si>
  <si>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</si>
  <si>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</si>
  <si>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</si>
  <si>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</si>
  <si>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</si>
  <si>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</si>
  <si>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</si>
  <si>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</si>
  <si>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</si>
  <si>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</si>
  <si>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</si>
  <si>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</si>
  <si>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</si>
  <si>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</si>
  <si>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</si>
  <si>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</si>
  <si>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</si>
  <si>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</si>
  <si>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</si>
  <si>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</si>
  <si>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</si>
  <si>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</si>
  <si>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</si>
  <si>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</si>
  <si>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</si>
  <si>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</si>
  <si>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</si>
  <si>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</si>
  <si>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</si>
  <si>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</si>
  <si>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</si>
  <si>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</si>
  <si>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</si>
  <si>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</si>
  <si>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</si>
  <si>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</si>
  <si>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</si>
  <si>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</si>
  <si>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</si>
  <si>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</si>
  <si>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</si>
  <si>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</si>
  <si>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</si>
  <si>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</si>
  <si>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</si>
  <si>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</si>
  <si>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</si>
  <si>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</si>
  <si>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</si>
  <si>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</si>
  <si>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</si>
  <si>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</si>
  <si>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</si>
  <si>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</si>
  <si>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</si>
  <si>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</si>
  <si>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</si>
  <si>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</si>
  <si>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</si>
  <si>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</si>
  <si>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</si>
  <si>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</si>
  <si>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</si>
  <si>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</si>
  <si>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</si>
  <si>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</si>
  <si>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</si>
  <si>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</si>
  <si>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テスト1</t>
    <phoneticPr fontId="3"/>
  </si>
  <si>
    <t>テスト2</t>
    <phoneticPr fontId="3"/>
  </si>
  <si>
    <t>テスト3</t>
    <phoneticPr fontId="3"/>
  </si>
  <si>
    <t>test test</t>
    <phoneticPr fontId="3"/>
  </si>
  <si>
    <t>4:製品見直し代</t>
  </si>
  <si>
    <t>0001:ボーイズトイ事業部　経費</t>
  </si>
  <si>
    <t>0005:バンダイ　その他　経費</t>
  </si>
  <si>
    <t>0010:ガールズトイ事業部経費</t>
  </si>
  <si>
    <t>0015:ライフ事業部　経費</t>
  </si>
  <si>
    <t>0007:ベンダー事業部カプセル課　経費</t>
  </si>
  <si>
    <t>2216:旭栄</t>
  </si>
  <si>
    <t>生産数</t>
    <rPh sb="0" eb="2">
      <t>セイサン</t>
    </rPh>
    <rPh sb="2" eb="3">
      <t>スウ</t>
    </rPh>
    <phoneticPr fontId="3"/>
  </si>
  <si>
    <t>0004:キャンデイ事業部　経費</t>
  </si>
  <si>
    <t>3:製図</t>
  </si>
  <si>
    <t>12:カートン</t>
  </si>
  <si>
    <t>401:材料パーツ仕入高</t>
    <phoneticPr fontId="3"/>
  </si>
  <si>
    <t>3:Prot type</t>
  </si>
  <si>
    <t>検索用</t>
    <rPh sb="0" eb="3">
      <t>ケンサクヨウ</t>
    </rPh>
    <phoneticPr fontId="3"/>
  </si>
  <si>
    <t>&lt;=関税合計</t>
    <phoneticPr fontId="3"/>
  </si>
  <si>
    <t>売上区分チェック用</t>
    <rPh sb="0" eb="2">
      <t>ウリアゲ</t>
    </rPh>
    <rPh sb="2" eb="4">
      <t>クブン</t>
    </rPh>
    <rPh sb="8" eb="9">
      <t>ヨウ</t>
    </rPh>
    <phoneticPr fontId="3"/>
  </si>
  <si>
    <t>14:ツーリングマスター</t>
    <phoneticPr fontId="3"/>
  </si>
  <si>
    <t>15:Inkjet費用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</si>
</sst>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6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15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3" fontId="4" fillId="0" borderId="6" xfId="0" applyNumberFormat="1" applyFont="1" applyBorder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6" borderId="34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10" fontId="4" fillId="42" borderId="16" xfId="0" applyNumberFormat="1" applyFont="1" applyFill="1" applyBorder="1" applyAlignment="1" applyProtection="1">
      <protection locked="0"/>
    </xf>
    <xf numFmtId="10" fontId="4" fillId="42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10" fontId="4" fillId="42" borderId="34" xfId="0" applyNumberFormat="1" applyFont="1" applyFill="1" applyBorder="1" applyProtection="1">
      <protection locked="0"/>
    </xf>
    <xf numFmtId="10" fontId="4" fillId="42" borderId="18" xfId="0" applyNumberFormat="1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AD195"/>
  <sheetViews>
    <sheetView showZeros="0" tabSelected="1" showOutlineSymbols="0" view="pageBreakPreview" topLeftCell="A58" zoomScaleNormal="100" zoomScaleSheetLayoutView="100" workbookViewId="0">
      <selection activeCell="I61" sqref="I61:J86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8" width="21.77734375" style="1" hidden="1" customWidth="1"/>
    <col min="19" max="19" width="4.44140625" style="1" customWidth="1"/>
    <col min="20" max="20" width="11.33203125" style="1" hidden="1" customWidth="1"/>
    <col min="21" max="21" width="9" style="1"/>
    <col min="22" max="22" width="11" style="1" customWidth="1"/>
    <col min="23" max="23" width="5.6640625" style="1" customWidth="1"/>
    <col min="24" max="25" width="5.77734375" style="1" customWidth="1"/>
    <col min="26" max="26" width="6.5546875" style="1" customWidth="1"/>
    <col min="27" max="28" width="11.6640625" style="1" customWidth="1"/>
    <col min="29" max="16384" width="9" style="1"/>
  </cols>
  <sheetData>
    <row r="1" spans="1:30" ht="10.5" customHeight="1">
      <c r="P1" s="60" t="s">
        <v>213</v>
      </c>
    </row>
    <row r="2" spans="1:30" ht="19.5" customHeight="1" thickBot="1">
      <c r="A2" s="2" t="s">
        <v>1</v>
      </c>
      <c r="B2" s="304"/>
      <c r="C2" s="304"/>
      <c r="D2" s="3"/>
      <c r="E2" s="289" t="s">
        <v>63</v>
      </c>
      <c r="F2" s="289"/>
      <c r="G2" s="289"/>
      <c r="H2" s="289"/>
      <c r="I2" s="289"/>
      <c r="J2" s="289"/>
      <c r="K2" s="289"/>
      <c r="L2" s="111"/>
      <c r="M2" s="111"/>
      <c r="N2" s="111"/>
      <c r="O2" s="111"/>
      <c r="P2" s="111"/>
    </row>
    <row r="3" spans="1:30" ht="28.65" customHeight="1">
      <c r="A3" s="234" t="s">
        <v>2</v>
      </c>
      <c r="B3" s="235"/>
      <c r="C3" s="236" t="s">
        <v>3</v>
      </c>
      <c r="D3" s="290" t="s">
        <v>205</v>
      </c>
      <c r="E3" s="291"/>
      <c r="F3" s="291"/>
      <c r="G3" s="291"/>
      <c r="H3" s="292"/>
      <c r="I3" s="236" t="s">
        <v>259</v>
      </c>
      <c r="J3" s="290" t="s">
        <v>306</v>
      </c>
      <c r="K3" s="291"/>
      <c r="L3" s="291"/>
      <c r="M3" s="291"/>
      <c r="N3" s="292"/>
      <c r="O3" s="237" t="s">
        <v>64</v>
      </c>
      <c r="P3" s="274">
        <v>1250</v>
      </c>
    </row>
    <row r="4" spans="1:30" ht="14.25" customHeight="1" thickBot="1">
      <c r="A4" s="5" t="s">
        <v>201</v>
      </c>
      <c r="B4" s="293" t="s">
        <v>291</v>
      </c>
      <c r="C4" s="294"/>
      <c r="D4" s="229" t="s">
        <v>255</v>
      </c>
      <c r="E4" s="295" t="s">
        <v>225</v>
      </c>
      <c r="F4" s="296"/>
      <c r="G4" s="297"/>
      <c r="H4" s="298" t="s">
        <v>202</v>
      </c>
      <c r="I4" s="299"/>
      <c r="J4" s="300" t="s">
        <v>218</v>
      </c>
      <c r="K4" s="300"/>
      <c r="L4" s="298" t="s">
        <v>4</v>
      </c>
      <c r="M4" s="299"/>
      <c r="N4" s="218">
        <v>100</v>
      </c>
      <c r="O4" s="229" t="s">
        <v>314</v>
      </c>
      <c r="P4" s="275">
        <f>SUM($T7:$T15)</f>
        <v>10600</v>
      </c>
    </row>
    <row r="5" spans="1:30" ht="6.75" customHeight="1" thickBot="1">
      <c r="A5" s="301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3"/>
    </row>
    <row r="6" spans="1:30" ht="18" customHeight="1">
      <c r="A6" s="305" t="s">
        <v>5</v>
      </c>
      <c r="B6" s="306"/>
      <c r="C6" s="202" t="s">
        <v>6</v>
      </c>
      <c r="D6" s="307" t="s">
        <v>7</v>
      </c>
      <c r="E6" s="308"/>
      <c r="F6" s="306"/>
      <c r="G6" s="203" t="s">
        <v>8</v>
      </c>
      <c r="H6" s="204" t="s">
        <v>9</v>
      </c>
      <c r="I6" s="205" t="s">
        <v>10</v>
      </c>
      <c r="J6" s="220" t="s">
        <v>258</v>
      </c>
      <c r="K6" s="309" t="s">
        <v>11</v>
      </c>
      <c r="L6" s="310"/>
      <c r="M6" s="206" t="s">
        <v>238</v>
      </c>
      <c r="N6" s="311" t="s">
        <v>256</v>
      </c>
      <c r="O6" s="312"/>
      <c r="P6" s="313"/>
      <c r="Q6" s="1" t="s">
        <v>322</v>
      </c>
      <c r="T6" s="1" t="s">
        <v>300</v>
      </c>
      <c r="X6" s="264" t="s">
        <v>282</v>
      </c>
      <c r="Y6" s="264" t="s">
        <v>283</v>
      </c>
      <c r="Z6" s="264" t="s">
        <v>284</v>
      </c>
      <c r="AA6" s="264" t="s">
        <v>285</v>
      </c>
      <c r="AB6" s="264" t="s">
        <v>286</v>
      </c>
      <c r="AD6" s="276" t="s">
        <v>301</v>
      </c>
    </row>
    <row r="7" spans="1:30" ht="14.1" customHeight="1">
      <c r="A7" s="314" t="s">
        <v>263</v>
      </c>
      <c r="B7" s="315"/>
      <c r="C7" s="184" t="s">
        <v>233</v>
      </c>
      <c r="D7" s="316" t="s">
        <v>308</v>
      </c>
      <c r="E7" s="317"/>
      <c r="F7" s="318"/>
      <c r="G7" s="146">
        <v>10000</v>
      </c>
      <c r="H7" s="186" t="s">
        <v>14</v>
      </c>
      <c r="I7" s="148">
        <v>888</v>
      </c>
      <c r="J7" s="221">
        <f>IF(ISBLANK(M7),0,IF(ISBLANK(H7),1,SUMIFS($AA$104:$AA$116,$Y$104:$Y$116,X7,$Z$104:$Z$116,W7,$AB$104:$AB$116,AA7,$AC$104:$AC$116,AB7)))</f>
        <v>1</v>
      </c>
      <c r="K7" s="319">
        <f>IFERROR(G7*I7*J7,"")</f>
        <v>8880000</v>
      </c>
      <c r="L7" s="320"/>
      <c r="M7" s="212">
        <v>43646</v>
      </c>
      <c r="N7" s="321" t="s">
        <v>303</v>
      </c>
      <c r="O7" s="322"/>
      <c r="P7" s="323"/>
      <c r="Q7" s="1" t="str">
        <f t="shared" ref="Q7:Q15" si="0">IFERROR(IF(C7&lt;&gt;0,IF(A7=hdn_product_sales,VLOOKUP(C7,$W$106:$W$109,1,TRUE),""),""),"")</f>
        <v>1:本荷</v>
      </c>
      <c r="T7" s="1">
        <f>IF(AND($A7=hdn_product_sales,$C7=hdn_main_product,ISNUMBER($I7)=TRUE,$J7&gt;0,ISNUMBER($G7)=TRUE,ISNUMBER($K7)=TRUE),$G7,0)</f>
        <v>10000</v>
      </c>
      <c r="W7" s="1">
        <f t="shared" ref="W7:W15" si="1">IFERROR(VLOOKUP(H7,$O$105:$P$107,2,FALSE),1)</f>
        <v>1</v>
      </c>
      <c r="X7" s="1">
        <v>2</v>
      </c>
      <c r="Y7" s="1">
        <f>W7</f>
        <v>1</v>
      </c>
      <c r="AA7" s="1" t="str">
        <f>CONCATENATE("&lt;=",M7)</f>
        <v>&lt;=43646</v>
      </c>
      <c r="AB7" s="1" t="str">
        <f>CONCATENATE("&gt;=",M7)</f>
        <v>&gt;=43646</v>
      </c>
      <c r="AD7" s="1">
        <v>1</v>
      </c>
    </row>
    <row r="8" spans="1:30" ht="14.1" customHeight="1">
      <c r="A8" s="314" t="s">
        <v>263</v>
      </c>
      <c r="B8" s="315"/>
      <c r="C8" s="184" t="s">
        <v>233</v>
      </c>
      <c r="D8" s="316" t="s">
        <v>309</v>
      </c>
      <c r="E8" s="317"/>
      <c r="F8" s="318"/>
      <c r="G8" s="149">
        <v>500</v>
      </c>
      <c r="H8" s="187" t="s">
        <v>148</v>
      </c>
      <c r="I8" s="151">
        <v>10</v>
      </c>
      <c r="J8" s="221">
        <v>108.12345678</v>
      </c>
      <c r="K8" s="319">
        <f t="shared" ref="K8:K15" si="2">IFERROR(G8*I8*J8,"")</f>
        <v>540617.28390000004</v>
      </c>
      <c r="L8" s="320"/>
      <c r="M8" s="212">
        <v>43639</v>
      </c>
      <c r="N8" s="321"/>
      <c r="O8" s="322"/>
      <c r="P8" s="323"/>
      <c r="Q8" s="1" t="str">
        <f t="shared" si="0"/>
        <v>1:本荷</v>
      </c>
      <c r="T8" s="1">
        <f t="shared" ref="T8:T15" si="3">IF(AND($A8=hdn_product_sales,$C8=hdn_main_product,ISNUMBER($I8)=TRUE,$J8&gt;0,ISNUMBER($G8)=TRUE,ISNUMBER($K8)=TRUE),$G8,0)</f>
        <v>500</v>
      </c>
      <c r="W8" s="1">
        <f t="shared" si="1"/>
        <v>2</v>
      </c>
      <c r="X8" s="1">
        <v>2</v>
      </c>
      <c r="Y8" s="1">
        <f t="shared" ref="Y8:Y15" si="4">W8</f>
        <v>2</v>
      </c>
      <c r="AA8" s="1" t="str">
        <f>CONCATENATE("&lt;=",M8)</f>
        <v>&lt;=43639</v>
      </c>
      <c r="AB8" s="1" t="str">
        <f>CONCATENATE("&gt;=",M8)</f>
        <v>&gt;=43639</v>
      </c>
      <c r="AD8" s="1">
        <v>1</v>
      </c>
    </row>
    <row r="9" spans="1:30" ht="14.1" customHeight="1">
      <c r="A9" s="314" t="s">
        <v>263</v>
      </c>
      <c r="B9" s="315"/>
      <c r="C9" s="184" t="s">
        <v>233</v>
      </c>
      <c r="D9" s="316" t="s">
        <v>315</v>
      </c>
      <c r="E9" s="317"/>
      <c r="F9" s="318"/>
      <c r="G9" s="149">
        <v>100</v>
      </c>
      <c r="H9" s="187" t="s">
        <v>14</v>
      </c>
      <c r="I9" s="151">
        <v>0</v>
      </c>
      <c r="J9" s="222">
        <v>1</v>
      </c>
      <c r="K9" s="319">
        <f t="shared" si="2"/>
        <v>0</v>
      </c>
      <c r="L9" s="320"/>
      <c r="M9" s="211">
        <v>43649</v>
      </c>
      <c r="N9" s="324"/>
      <c r="O9" s="324"/>
      <c r="P9" s="325"/>
      <c r="Q9" s="1" t="str">
        <f t="shared" si="0"/>
        <v>1:本荷</v>
      </c>
      <c r="T9" s="1">
        <f t="shared" si="3"/>
        <v>100</v>
      </c>
      <c r="W9" s="1">
        <f t="shared" si="1"/>
        <v>1</v>
      </c>
      <c r="X9" s="1">
        <v>2</v>
      </c>
      <c r="Y9" s="1">
        <f t="shared" si="4"/>
        <v>1</v>
      </c>
      <c r="Z9" s="15"/>
      <c r="AA9" s="1" t="str">
        <f t="shared" ref="AA9:AA15" si="5">CONCATENATE("&lt;=",M9)</f>
        <v>&lt;=43649</v>
      </c>
      <c r="AB9" s="1" t="str">
        <f t="shared" ref="AB9:AB15" si="6">CONCATENATE("&gt;=",M9)</f>
        <v>&gt;=43649</v>
      </c>
      <c r="AD9" s="1">
        <v>1</v>
      </c>
    </row>
    <row r="10" spans="1:30" ht="14.1" customHeight="1">
      <c r="A10" s="314" t="s">
        <v>263</v>
      </c>
      <c r="B10" s="315"/>
      <c r="C10" s="184" t="s">
        <v>234</v>
      </c>
      <c r="D10" s="316" t="s">
        <v>310</v>
      </c>
      <c r="E10" s="317"/>
      <c r="F10" s="318"/>
      <c r="G10" s="149"/>
      <c r="H10" s="187" t="s">
        <v>14</v>
      </c>
      <c r="I10" s="151">
        <v>1000</v>
      </c>
      <c r="J10" s="222">
        <v>3</v>
      </c>
      <c r="K10" s="319">
        <f t="shared" si="2"/>
        <v>0</v>
      </c>
      <c r="L10" s="320"/>
      <c r="M10" s="211">
        <v>43740</v>
      </c>
      <c r="N10" s="324"/>
      <c r="O10" s="324"/>
      <c r="P10" s="325"/>
      <c r="Q10" s="1" t="str">
        <f t="shared" si="0"/>
        <v>2:テストロケ</v>
      </c>
      <c r="T10" s="1">
        <f t="shared" si="3"/>
        <v>0</v>
      </c>
      <c r="V10" s="15"/>
      <c r="W10" s="1">
        <f t="shared" si="1"/>
        <v>1</v>
      </c>
      <c r="X10" s="1">
        <v>2</v>
      </c>
      <c r="Y10" s="1">
        <f t="shared" si="4"/>
        <v>1</v>
      </c>
      <c r="Z10" s="15"/>
      <c r="AA10" s="1" t="str">
        <f t="shared" si="5"/>
        <v>&lt;=43740</v>
      </c>
      <c r="AB10" s="1" t="str">
        <f t="shared" si="6"/>
        <v>&gt;=43740</v>
      </c>
      <c r="AD10" s="1">
        <v>1</v>
      </c>
    </row>
    <row r="11" spans="1:30" ht="14.1" customHeight="1">
      <c r="A11" s="314" t="s">
        <v>263</v>
      </c>
      <c r="B11" s="315"/>
      <c r="C11" s="184" t="s">
        <v>235</v>
      </c>
      <c r="D11" s="316"/>
      <c r="E11" s="317"/>
      <c r="F11" s="318"/>
      <c r="G11" s="149">
        <v>24</v>
      </c>
      <c r="H11" s="187" t="s">
        <v>14</v>
      </c>
      <c r="I11" s="151">
        <v>1200</v>
      </c>
      <c r="J11" s="222">
        <f>IF(ISBLANK(M11),0,IF(ISBLANK(H11),1,SUMIFS($AA$104:$AA$116,$Y$104:$Y$116,X11,$Z$104:$Z$116,W11,$AB$104:$AB$116,AA11,$AC$104:$AC$116,AB11)))</f>
        <v>1</v>
      </c>
      <c r="K11" s="319">
        <f t="shared" si="2"/>
        <v>28800</v>
      </c>
      <c r="L11" s="320"/>
      <c r="M11" s="211">
        <v>43070</v>
      </c>
      <c r="N11" s="324"/>
      <c r="O11" s="324"/>
      <c r="P11" s="325"/>
      <c r="Q11" s="1" t="str">
        <f t="shared" si="0"/>
        <v>3:セットサンプル</v>
      </c>
      <c r="T11" s="1">
        <f t="shared" si="3"/>
        <v>0</v>
      </c>
      <c r="V11" s="15"/>
      <c r="W11" s="1">
        <f t="shared" si="1"/>
        <v>1</v>
      </c>
      <c r="X11" s="1">
        <v>2</v>
      </c>
      <c r="Y11" s="1">
        <f t="shared" si="4"/>
        <v>1</v>
      </c>
      <c r="Z11" s="15"/>
      <c r="AA11" s="1" t="str">
        <f t="shared" si="5"/>
        <v>&lt;=43070</v>
      </c>
      <c r="AB11" s="1" t="str">
        <f t="shared" si="6"/>
        <v>&gt;=43070</v>
      </c>
      <c r="AD11" s="1">
        <v>1</v>
      </c>
    </row>
    <row r="12" spans="1:30" ht="14.1" customHeight="1">
      <c r="A12" s="314" t="s">
        <v>263</v>
      </c>
      <c r="B12" s="315"/>
      <c r="C12" s="184" t="s">
        <v>236</v>
      </c>
      <c r="D12" s="316" t="s">
        <v>311</v>
      </c>
      <c r="E12" s="317"/>
      <c r="F12" s="318"/>
      <c r="G12" s="149">
        <v>96</v>
      </c>
      <c r="H12" s="187" t="s">
        <v>14</v>
      </c>
      <c r="I12" s="151">
        <v>1200</v>
      </c>
      <c r="J12" s="222">
        <f>IF(ISBLANK(M12),0,IF(ISBLANK(H12),1,SUMIFS($AA$104:$AA$116,$Y$104:$Y$116,X12,$Z$104:$Z$116,W12,$AB$104:$AB$116,AA12,$AC$104:$AC$116,AB12)))</f>
        <v>1</v>
      </c>
      <c r="K12" s="319">
        <f t="shared" si="2"/>
        <v>115200</v>
      </c>
      <c r="L12" s="320"/>
      <c r="M12" s="211">
        <v>43062</v>
      </c>
      <c r="N12" s="324"/>
      <c r="O12" s="324"/>
      <c r="P12" s="325"/>
      <c r="Q12" s="1" t="str">
        <f t="shared" si="0"/>
        <v>9:サンプル代</v>
      </c>
      <c r="T12" s="1">
        <f t="shared" si="3"/>
        <v>0</v>
      </c>
      <c r="V12" s="15"/>
      <c r="W12" s="1">
        <f t="shared" si="1"/>
        <v>1</v>
      </c>
      <c r="X12" s="1">
        <v>2</v>
      </c>
      <c r="Y12" s="1">
        <f t="shared" si="4"/>
        <v>1</v>
      </c>
      <c r="Z12" s="15"/>
      <c r="AA12" s="1" t="str">
        <f t="shared" si="5"/>
        <v>&lt;=43062</v>
      </c>
      <c r="AB12" s="1" t="str">
        <f t="shared" si="6"/>
        <v>&gt;=43062</v>
      </c>
      <c r="AD12" s="1">
        <v>1</v>
      </c>
    </row>
    <row r="13" spans="1:30" ht="14.1" customHeight="1">
      <c r="A13" s="314" t="s">
        <v>263</v>
      </c>
      <c r="B13" s="315"/>
      <c r="C13" s="184"/>
      <c r="D13" s="316"/>
      <c r="E13" s="317"/>
      <c r="F13" s="318"/>
      <c r="G13" s="149"/>
      <c r="H13" s="187" t="s">
        <v>14</v>
      </c>
      <c r="I13" s="151"/>
      <c r="J13" s="222">
        <f>IF(ISBLANK(M13),0,IF(ISBLANK(H13),1,SUMIFS($AA$104:$AA$116,$Y$104:$Y$116,X13,$Z$104:$Z$116,W13,$AB$104:$AB$116,AA13,$AC$104:$AC$116,AB13)))</f>
        <v>0</v>
      </c>
      <c r="K13" s="319">
        <f t="shared" si="2"/>
        <v>0</v>
      </c>
      <c r="L13" s="320"/>
      <c r="M13" s="211"/>
      <c r="N13" s="324"/>
      <c r="O13" s="324"/>
      <c r="P13" s="325"/>
      <c r="Q13" s="1" t="str">
        <f t="shared" si="0"/>
        <v/>
      </c>
      <c r="T13" s="1">
        <f t="shared" si="3"/>
        <v>0</v>
      </c>
      <c r="V13" s="15"/>
      <c r="W13" s="1">
        <f t="shared" si="1"/>
        <v>1</v>
      </c>
      <c r="X13" s="1">
        <v>2</v>
      </c>
      <c r="Y13" s="1">
        <f t="shared" si="4"/>
        <v>1</v>
      </c>
      <c r="Z13" s="15"/>
      <c r="AA13" s="1" t="str">
        <f t="shared" si="5"/>
        <v>&lt;=</v>
      </c>
      <c r="AB13" s="1" t="str">
        <f t="shared" si="6"/>
        <v>&gt;=</v>
      </c>
      <c r="AD13" s="1">
        <v>1</v>
      </c>
    </row>
    <row r="14" spans="1:30" ht="14.1" customHeight="1">
      <c r="A14" s="314" t="s">
        <v>263</v>
      </c>
      <c r="B14" s="315"/>
      <c r="C14" s="184"/>
      <c r="D14" s="316"/>
      <c r="E14" s="317"/>
      <c r="F14" s="318"/>
      <c r="G14" s="149"/>
      <c r="H14" s="187" t="s">
        <v>14</v>
      </c>
      <c r="I14" s="151"/>
      <c r="J14" s="222">
        <f>IF(ISBLANK(M14),0,IF(ISBLANK(H14),1,SUMIFS($AA$104:$AA$116,$Y$104:$Y$116,X14,$Z$104:$Z$116,W14,$AB$104:$AB$116,AA14,$AC$104:$AC$116,AB14)))</f>
        <v>0</v>
      </c>
      <c r="K14" s="319">
        <f t="shared" si="2"/>
        <v>0</v>
      </c>
      <c r="L14" s="320"/>
      <c r="M14" s="211"/>
      <c r="N14" s="324"/>
      <c r="O14" s="324"/>
      <c r="P14" s="325"/>
      <c r="Q14" s="1" t="str">
        <f t="shared" si="0"/>
        <v/>
      </c>
      <c r="T14" s="1">
        <f t="shared" si="3"/>
        <v>0</v>
      </c>
      <c r="V14" s="15"/>
      <c r="W14" s="1">
        <f t="shared" si="1"/>
        <v>1</v>
      </c>
      <c r="X14" s="1">
        <v>2</v>
      </c>
      <c r="Y14" s="1">
        <f t="shared" si="4"/>
        <v>1</v>
      </c>
      <c r="Z14" s="15"/>
      <c r="AA14" s="1" t="str">
        <f t="shared" si="5"/>
        <v>&lt;=</v>
      </c>
      <c r="AB14" s="1" t="str">
        <f t="shared" si="6"/>
        <v>&gt;=</v>
      </c>
      <c r="AD14" s="1">
        <v>1</v>
      </c>
    </row>
    <row r="15" spans="1:30" ht="14.1" customHeight="1" thickBot="1">
      <c r="A15" s="314" t="s">
        <v>263</v>
      </c>
      <c r="B15" s="315"/>
      <c r="C15" s="185"/>
      <c r="D15" s="316"/>
      <c r="E15" s="317"/>
      <c r="F15" s="318"/>
      <c r="G15" s="153"/>
      <c r="H15" s="188" t="s">
        <v>14</v>
      </c>
      <c r="I15" s="155"/>
      <c r="J15" s="223">
        <f>IF(ISBLANK(M15),0,IF(ISBLANK(H15),1,SUMIFS($AA$104:$AA$116,$Y$104:$Y$116,X15,$Z$104:$Z$116,W15,$AB$104:$AB$116,AA15,$AC$104:$AC$116,AB15)))</f>
        <v>0</v>
      </c>
      <c r="K15" s="319">
        <f t="shared" si="2"/>
        <v>0</v>
      </c>
      <c r="L15" s="320"/>
      <c r="M15" s="213"/>
      <c r="N15" s="326"/>
      <c r="O15" s="326"/>
      <c r="P15" s="327"/>
      <c r="Q15" s="1" t="str">
        <f t="shared" si="0"/>
        <v/>
      </c>
      <c r="T15" s="1">
        <f t="shared" si="3"/>
        <v>0</v>
      </c>
      <c r="V15" s="15"/>
      <c r="W15" s="1">
        <f t="shared" si="1"/>
        <v>1</v>
      </c>
      <c r="X15" s="1">
        <v>2</v>
      </c>
      <c r="Y15" s="1">
        <f t="shared" si="4"/>
        <v>1</v>
      </c>
      <c r="Z15" s="15"/>
      <c r="AA15" s="1" t="str">
        <f t="shared" si="5"/>
        <v>&lt;=</v>
      </c>
      <c r="AB15" s="1" t="str">
        <f t="shared" si="6"/>
        <v>&gt;=</v>
      </c>
      <c r="AD15" s="1">
        <v>1</v>
      </c>
    </row>
    <row r="16" spans="1:30" ht="14.1" customHeight="1" thickBot="1">
      <c r="A16" s="336" t="s">
        <v>232</v>
      </c>
      <c r="B16" s="337"/>
      <c r="C16" s="337"/>
      <c r="D16" s="337"/>
      <c r="E16" s="337"/>
      <c r="F16" s="338"/>
      <c r="G16" s="169">
        <f>SUM(G7:G15)</f>
        <v>10720</v>
      </c>
      <c r="H16" s="156"/>
      <c r="I16" s="339">
        <f>SUM(K7:K15)</f>
        <v>9564617.2839000002</v>
      </c>
      <c r="J16" s="340"/>
      <c r="K16" s="340"/>
      <c r="L16" s="341"/>
      <c r="M16" s="214"/>
      <c r="N16" s="342"/>
      <c r="O16" s="342"/>
      <c r="P16" s="343"/>
      <c r="Q16" s="1">
        <f>IF(C16&lt;&gt;0,IF(A16=$B$104,VLOOKUP(C16,$B$106:$B$114,1,TRUE),IF(A16=$C$104,VLOOKUP(C16,$C$106:$C$116,1,TRUE),IF(A16=$D$104,VLOOKUP(C16,$D$106:$D$114,1,TRUE),))),)</f>
        <v>0</v>
      </c>
      <c r="T16" s="15"/>
      <c r="V16" s="15"/>
      <c r="W16" s="15"/>
      <c r="X16" s="15"/>
      <c r="Y16" s="15"/>
      <c r="Z16" s="15"/>
      <c r="AA16" s="15"/>
    </row>
    <row r="17" spans="1:30" ht="6" customHeight="1" thickBot="1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6"/>
      <c r="T17" s="15"/>
      <c r="V17" s="15"/>
      <c r="W17" s="15"/>
      <c r="X17" s="15"/>
      <c r="Y17" s="15"/>
      <c r="Z17" s="15"/>
      <c r="AA17" s="15"/>
    </row>
    <row r="18" spans="1:30" ht="18" customHeight="1">
      <c r="A18" s="347" t="s">
        <v>5</v>
      </c>
      <c r="B18" s="348"/>
      <c r="C18" s="207" t="s">
        <v>6</v>
      </c>
      <c r="D18" s="349" t="s">
        <v>7</v>
      </c>
      <c r="E18" s="350"/>
      <c r="F18" s="348"/>
      <c r="G18" s="208" t="s">
        <v>8</v>
      </c>
      <c r="H18" s="209" t="s">
        <v>9</v>
      </c>
      <c r="I18" s="210" t="s">
        <v>10</v>
      </c>
      <c r="J18" s="220" t="s">
        <v>258</v>
      </c>
      <c r="K18" s="351" t="s">
        <v>11</v>
      </c>
      <c r="L18" s="352"/>
      <c r="M18" s="206" t="s">
        <v>238</v>
      </c>
      <c r="N18" s="311" t="s">
        <v>256</v>
      </c>
      <c r="O18" s="312"/>
      <c r="P18" s="313"/>
      <c r="X18" s="264" t="s">
        <v>282</v>
      </c>
      <c r="Y18" s="264" t="s">
        <v>283</v>
      </c>
      <c r="Z18" s="264" t="s">
        <v>284</v>
      </c>
      <c r="AA18" s="264" t="s">
        <v>285</v>
      </c>
      <c r="AB18" s="264" t="s">
        <v>286</v>
      </c>
    </row>
    <row r="19" spans="1:30" ht="14.1" customHeight="1">
      <c r="A19" s="328" t="s">
        <v>267</v>
      </c>
      <c r="B19" s="329"/>
      <c r="C19" s="189" t="s">
        <v>13</v>
      </c>
      <c r="D19" s="330"/>
      <c r="E19" s="331"/>
      <c r="F19" s="332"/>
      <c r="G19" s="10">
        <v>1</v>
      </c>
      <c r="H19" s="190" t="s">
        <v>14</v>
      </c>
      <c r="I19" s="11">
        <v>85000</v>
      </c>
      <c r="J19" s="224">
        <f t="shared" ref="J19:J30" si="7">IF(ISBLANK(M19),0,IF(ISBLANK(H19),1,SUMIFS($AA$104:$AA$116,$Y$104:$Y$116,X19,$Z$104:$Z$116,W19,$AB$104:$AB$116,AA19,$AC$104:$AC$116,AB19)))</f>
        <v>1</v>
      </c>
      <c r="K19" s="319">
        <f>IFERROR(G19*I19*J19,"")</f>
        <v>85000</v>
      </c>
      <c r="L19" s="320"/>
      <c r="M19" s="212">
        <v>43089</v>
      </c>
      <c r="N19" s="333" t="s">
        <v>304</v>
      </c>
      <c r="O19" s="334"/>
      <c r="P19" s="335"/>
      <c r="Q19" s="1" t="str">
        <f>IFERROR(IF(C19&lt;&gt;0,IF(A19=$V$106,VLOOKUP(C19,$M$106:$M$118,1,FALSE),""),""),"")</f>
        <v>4:立替運賃</v>
      </c>
      <c r="W19" s="1">
        <f t="shared" ref="W19:W30" si="8">IFERROR(VLOOKUP(H19,$O$105:$P$107,2,FALSE),1)</f>
        <v>1</v>
      </c>
      <c r="X19" s="1">
        <v>2</v>
      </c>
      <c r="Y19" s="1">
        <f t="shared" ref="Y19:Y30" si="9">W19</f>
        <v>1</v>
      </c>
      <c r="AA19" s="1" t="str">
        <f t="shared" ref="AA19:AA30" si="10">CONCATENATE("&lt;=",M19)</f>
        <v>&lt;=43089</v>
      </c>
      <c r="AB19" s="1" t="str">
        <f t="shared" ref="AB19:AB30" si="11">CONCATENATE("&gt;=",M19)</f>
        <v>&gt;=43089</v>
      </c>
      <c r="AD19" s="1">
        <v>2</v>
      </c>
    </row>
    <row r="20" spans="1:30" ht="14.1" customHeight="1">
      <c r="A20" s="328" t="s">
        <v>12</v>
      </c>
      <c r="B20" s="329"/>
      <c r="C20" s="189" t="s">
        <v>15</v>
      </c>
      <c r="D20" s="330" t="s">
        <v>309</v>
      </c>
      <c r="E20" s="331"/>
      <c r="F20" s="332"/>
      <c r="G20" s="12">
        <v>1</v>
      </c>
      <c r="H20" s="191" t="s">
        <v>14</v>
      </c>
      <c r="I20" s="13">
        <v>40000</v>
      </c>
      <c r="J20" s="225">
        <f t="shared" si="7"/>
        <v>1</v>
      </c>
      <c r="K20" s="319">
        <f t="shared" ref="K20:K30" si="12">IFERROR(G20*I20*J20,"")</f>
        <v>40000</v>
      </c>
      <c r="L20" s="320"/>
      <c r="M20" s="212">
        <v>43681</v>
      </c>
      <c r="N20" s="333"/>
      <c r="O20" s="334"/>
      <c r="P20" s="335"/>
      <c r="Q20" s="1" t="str">
        <f t="shared" ref="Q20:Q30" si="13">IFERROR(IF(C20&lt;&gt;0,IF(A20=$V$106,VLOOKUP(C20,$M$106:$M$118,1,FALSE),""),""),"")</f>
        <v>5:試作代</v>
      </c>
      <c r="W20" s="1">
        <f t="shared" si="8"/>
        <v>1</v>
      </c>
      <c r="X20" s="1">
        <v>2</v>
      </c>
      <c r="Y20" s="1">
        <f t="shared" si="9"/>
        <v>1</v>
      </c>
      <c r="AA20" s="1" t="str">
        <f t="shared" si="10"/>
        <v>&lt;=43681</v>
      </c>
      <c r="AB20" s="1" t="str">
        <f t="shared" si="11"/>
        <v>&gt;=43681</v>
      </c>
      <c r="AD20" s="1">
        <v>2</v>
      </c>
    </row>
    <row r="21" spans="1:30" ht="14.1" customHeight="1">
      <c r="A21" s="328" t="s">
        <v>267</v>
      </c>
      <c r="B21" s="329"/>
      <c r="C21" s="189" t="s">
        <v>16</v>
      </c>
      <c r="D21" s="330"/>
      <c r="E21" s="331"/>
      <c r="F21" s="332"/>
      <c r="G21" s="12">
        <v>2</v>
      </c>
      <c r="H21" s="191" t="s">
        <v>14</v>
      </c>
      <c r="I21" s="13">
        <v>50000</v>
      </c>
      <c r="J21" s="225">
        <f t="shared" si="7"/>
        <v>1</v>
      </c>
      <c r="K21" s="319">
        <f t="shared" si="12"/>
        <v>100000</v>
      </c>
      <c r="L21" s="320"/>
      <c r="M21" s="212">
        <v>43681</v>
      </c>
      <c r="N21" s="353"/>
      <c r="O21" s="353"/>
      <c r="P21" s="354"/>
      <c r="Q21" s="1" t="str">
        <f t="shared" si="13"/>
        <v>6:原型</v>
      </c>
      <c r="T21" s="14"/>
      <c r="V21" s="15"/>
      <c r="W21" s="1">
        <f t="shared" si="8"/>
        <v>1</v>
      </c>
      <c r="X21" s="1">
        <v>2</v>
      </c>
      <c r="Y21" s="1">
        <f t="shared" si="9"/>
        <v>1</v>
      </c>
      <c r="Z21" s="15"/>
      <c r="AA21" s="1" t="str">
        <f t="shared" si="10"/>
        <v>&lt;=43681</v>
      </c>
      <c r="AB21" s="1" t="str">
        <f t="shared" si="11"/>
        <v>&gt;=43681</v>
      </c>
      <c r="AD21" s="1">
        <v>2</v>
      </c>
    </row>
    <row r="22" spans="1:30" ht="14.1" customHeight="1">
      <c r="A22" s="328" t="s">
        <v>12</v>
      </c>
      <c r="B22" s="329"/>
      <c r="C22" s="189" t="s">
        <v>17</v>
      </c>
      <c r="D22" s="330" t="s">
        <v>309</v>
      </c>
      <c r="E22" s="331"/>
      <c r="F22" s="332"/>
      <c r="G22" s="12">
        <v>1</v>
      </c>
      <c r="H22" s="191" t="s">
        <v>148</v>
      </c>
      <c r="I22" s="13">
        <v>100</v>
      </c>
      <c r="J22" s="225">
        <f t="shared" si="7"/>
        <v>111</v>
      </c>
      <c r="K22" s="319">
        <f t="shared" si="12"/>
        <v>11100</v>
      </c>
      <c r="L22" s="320"/>
      <c r="M22" s="212">
        <v>43646</v>
      </c>
      <c r="N22" s="353"/>
      <c r="O22" s="353"/>
      <c r="P22" s="354"/>
      <c r="Q22" s="1" t="str">
        <f t="shared" si="13"/>
        <v>7:金型</v>
      </c>
      <c r="T22" s="14"/>
      <c r="V22" s="15"/>
      <c r="W22" s="1">
        <f t="shared" si="8"/>
        <v>2</v>
      </c>
      <c r="X22" s="1">
        <v>2</v>
      </c>
      <c r="Y22" s="1">
        <f t="shared" si="9"/>
        <v>2</v>
      </c>
      <c r="Z22" s="15"/>
      <c r="AA22" s="1" t="str">
        <f t="shared" si="10"/>
        <v>&lt;=43646</v>
      </c>
      <c r="AB22" s="1" t="str">
        <f t="shared" si="11"/>
        <v>&gt;=43646</v>
      </c>
      <c r="AD22" s="1">
        <v>2</v>
      </c>
    </row>
    <row r="23" spans="1:30" ht="14.1" customHeight="1">
      <c r="A23" s="328" t="s">
        <v>12</v>
      </c>
      <c r="B23" s="329"/>
      <c r="C23" s="189" t="s">
        <v>18</v>
      </c>
      <c r="D23" s="330"/>
      <c r="E23" s="331"/>
      <c r="F23" s="332"/>
      <c r="G23" s="12"/>
      <c r="H23" s="191" t="s">
        <v>14</v>
      </c>
      <c r="I23" s="13"/>
      <c r="J23" s="225">
        <f t="shared" si="7"/>
        <v>0</v>
      </c>
      <c r="K23" s="319">
        <f t="shared" si="12"/>
        <v>0</v>
      </c>
      <c r="L23" s="320"/>
      <c r="M23" s="212"/>
      <c r="N23" s="353"/>
      <c r="O23" s="353"/>
      <c r="P23" s="354"/>
      <c r="Q23" s="1" t="str">
        <f t="shared" si="13"/>
        <v>8:マスク</v>
      </c>
      <c r="T23" s="14"/>
      <c r="V23" s="15"/>
      <c r="W23" s="1">
        <f t="shared" si="8"/>
        <v>1</v>
      </c>
      <c r="X23" s="1">
        <v>2</v>
      </c>
      <c r="Y23" s="1">
        <f t="shared" si="9"/>
        <v>1</v>
      </c>
      <c r="Z23" s="15"/>
      <c r="AA23" s="1" t="str">
        <f t="shared" si="10"/>
        <v>&lt;=</v>
      </c>
      <c r="AB23" s="1" t="str">
        <f t="shared" si="11"/>
        <v>&gt;=</v>
      </c>
      <c r="AD23" s="1">
        <v>2</v>
      </c>
    </row>
    <row r="24" spans="1:30" ht="14.1" customHeight="1">
      <c r="A24" s="328" t="s">
        <v>12</v>
      </c>
      <c r="B24" s="329"/>
      <c r="C24" s="189" t="s">
        <v>19</v>
      </c>
      <c r="D24" s="330" t="s">
        <v>312</v>
      </c>
      <c r="E24" s="331"/>
      <c r="F24" s="332"/>
      <c r="G24" s="12"/>
      <c r="H24" s="191" t="s">
        <v>14</v>
      </c>
      <c r="I24" s="13"/>
      <c r="J24" s="225">
        <f t="shared" si="7"/>
        <v>0</v>
      </c>
      <c r="K24" s="319">
        <f t="shared" si="12"/>
        <v>0</v>
      </c>
      <c r="L24" s="320"/>
      <c r="M24" s="212"/>
      <c r="N24" s="353"/>
      <c r="O24" s="353"/>
      <c r="P24" s="354"/>
      <c r="Q24" s="1" t="str">
        <f t="shared" si="13"/>
        <v>10:商品化費用</v>
      </c>
      <c r="T24" s="14"/>
      <c r="V24" s="15"/>
      <c r="W24" s="1">
        <f t="shared" si="8"/>
        <v>1</v>
      </c>
      <c r="X24" s="1">
        <v>2</v>
      </c>
      <c r="Y24" s="1">
        <f t="shared" si="9"/>
        <v>1</v>
      </c>
      <c r="Z24" s="15"/>
      <c r="AA24" s="1" t="str">
        <f t="shared" si="10"/>
        <v>&lt;=</v>
      </c>
      <c r="AB24" s="1" t="str">
        <f t="shared" si="11"/>
        <v>&gt;=</v>
      </c>
      <c r="AD24" s="1">
        <v>2</v>
      </c>
    </row>
    <row r="25" spans="1:30" ht="14.1" customHeight="1">
      <c r="A25" s="328" t="s">
        <v>267</v>
      </c>
      <c r="B25" s="329"/>
      <c r="C25" s="189" t="s">
        <v>20</v>
      </c>
      <c r="D25" s="330"/>
      <c r="E25" s="331"/>
      <c r="F25" s="332"/>
      <c r="G25" s="12"/>
      <c r="H25" s="191" t="s">
        <v>14</v>
      </c>
      <c r="I25" s="13"/>
      <c r="J25" s="225">
        <f t="shared" si="7"/>
        <v>0</v>
      </c>
      <c r="K25" s="319">
        <f t="shared" si="12"/>
        <v>0</v>
      </c>
      <c r="L25" s="320"/>
      <c r="M25" s="212"/>
      <c r="N25" s="353"/>
      <c r="O25" s="353"/>
      <c r="P25" s="354"/>
      <c r="Q25" s="1" t="str">
        <f t="shared" si="13"/>
        <v>11:I C</v>
      </c>
      <c r="T25" s="14"/>
      <c r="V25" s="15"/>
      <c r="W25" s="1">
        <f t="shared" si="8"/>
        <v>1</v>
      </c>
      <c r="X25" s="1">
        <v>2</v>
      </c>
      <c r="Y25" s="1">
        <f t="shared" si="9"/>
        <v>1</v>
      </c>
      <c r="Z25" s="15"/>
      <c r="AA25" s="1" t="str">
        <f t="shared" si="10"/>
        <v>&lt;=</v>
      </c>
      <c r="AB25" s="1" t="str">
        <f t="shared" si="11"/>
        <v>&gt;=</v>
      </c>
      <c r="AD25" s="1">
        <v>2</v>
      </c>
    </row>
    <row r="26" spans="1:30" ht="14.1" customHeight="1">
      <c r="A26" s="328" t="s">
        <v>12</v>
      </c>
      <c r="B26" s="329"/>
      <c r="C26" s="189"/>
      <c r="D26" s="330"/>
      <c r="E26" s="331"/>
      <c r="F26" s="332"/>
      <c r="G26" s="12"/>
      <c r="H26" s="191" t="s">
        <v>14</v>
      </c>
      <c r="I26" s="13"/>
      <c r="J26" s="225">
        <f t="shared" si="7"/>
        <v>0</v>
      </c>
      <c r="K26" s="319">
        <f t="shared" si="12"/>
        <v>0</v>
      </c>
      <c r="L26" s="320"/>
      <c r="M26" s="212"/>
      <c r="N26" s="353"/>
      <c r="O26" s="353"/>
      <c r="P26" s="354"/>
      <c r="Q26" s="1" t="str">
        <f t="shared" si="13"/>
        <v/>
      </c>
      <c r="T26" s="14"/>
      <c r="V26" s="15"/>
      <c r="W26" s="1">
        <f t="shared" si="8"/>
        <v>1</v>
      </c>
      <c r="X26" s="1">
        <v>2</v>
      </c>
      <c r="Y26" s="1">
        <f t="shared" si="9"/>
        <v>1</v>
      </c>
      <c r="Z26" s="15"/>
      <c r="AA26" s="1" t="str">
        <f t="shared" si="10"/>
        <v>&lt;=</v>
      </c>
      <c r="AB26" s="1" t="str">
        <f t="shared" si="11"/>
        <v>&gt;=</v>
      </c>
      <c r="AD26" s="1">
        <v>2</v>
      </c>
    </row>
    <row r="27" spans="1:30" ht="14.1" customHeight="1">
      <c r="A27" s="328" t="s">
        <v>12</v>
      </c>
      <c r="B27" s="329"/>
      <c r="C27" s="189"/>
      <c r="D27" s="330"/>
      <c r="E27" s="331"/>
      <c r="F27" s="332"/>
      <c r="G27" s="12"/>
      <c r="H27" s="191" t="s">
        <v>14</v>
      </c>
      <c r="I27" s="13"/>
      <c r="J27" s="225">
        <f t="shared" si="7"/>
        <v>0</v>
      </c>
      <c r="K27" s="319">
        <f t="shared" si="12"/>
        <v>0</v>
      </c>
      <c r="L27" s="320"/>
      <c r="M27" s="212"/>
      <c r="N27" s="353"/>
      <c r="O27" s="353"/>
      <c r="P27" s="354"/>
      <c r="Q27" s="1" t="str">
        <f t="shared" si="13"/>
        <v/>
      </c>
      <c r="T27" s="14"/>
      <c r="V27" s="15"/>
      <c r="W27" s="1">
        <f t="shared" si="8"/>
        <v>1</v>
      </c>
      <c r="X27" s="1">
        <v>2</v>
      </c>
      <c r="Y27" s="1">
        <f t="shared" si="9"/>
        <v>1</v>
      </c>
      <c r="Z27" s="15"/>
      <c r="AA27" s="1" t="str">
        <f t="shared" si="10"/>
        <v>&lt;=</v>
      </c>
      <c r="AB27" s="1" t="str">
        <f t="shared" si="11"/>
        <v>&gt;=</v>
      </c>
      <c r="AD27" s="1">
        <v>2</v>
      </c>
    </row>
    <row r="28" spans="1:30" ht="14.1" customHeight="1">
      <c r="A28" s="328" t="s">
        <v>12</v>
      </c>
      <c r="B28" s="329"/>
      <c r="C28" s="189"/>
      <c r="D28" s="330"/>
      <c r="E28" s="331"/>
      <c r="F28" s="332"/>
      <c r="G28" s="12"/>
      <c r="H28" s="191" t="s">
        <v>14</v>
      </c>
      <c r="I28" s="13"/>
      <c r="J28" s="225">
        <f t="shared" si="7"/>
        <v>0</v>
      </c>
      <c r="K28" s="319">
        <f t="shared" si="12"/>
        <v>0</v>
      </c>
      <c r="L28" s="320"/>
      <c r="M28" s="212"/>
      <c r="N28" s="353"/>
      <c r="O28" s="353"/>
      <c r="P28" s="354"/>
      <c r="Q28" s="1" t="str">
        <f t="shared" si="13"/>
        <v/>
      </c>
      <c r="T28" s="14"/>
      <c r="V28" s="15"/>
      <c r="W28" s="1">
        <f t="shared" si="8"/>
        <v>1</v>
      </c>
      <c r="X28" s="1">
        <v>2</v>
      </c>
      <c r="Y28" s="1">
        <f t="shared" si="9"/>
        <v>1</v>
      </c>
      <c r="Z28" s="15"/>
      <c r="AA28" s="1" t="str">
        <f t="shared" si="10"/>
        <v>&lt;=</v>
      </c>
      <c r="AB28" s="1" t="str">
        <f t="shared" si="11"/>
        <v>&gt;=</v>
      </c>
      <c r="AD28" s="1">
        <v>2</v>
      </c>
    </row>
    <row r="29" spans="1:30" ht="14.1" customHeight="1">
      <c r="A29" s="328" t="s">
        <v>12</v>
      </c>
      <c r="B29" s="329"/>
      <c r="C29" s="189"/>
      <c r="D29" s="330"/>
      <c r="E29" s="331"/>
      <c r="F29" s="332"/>
      <c r="G29" s="12"/>
      <c r="H29" s="191" t="s">
        <v>14</v>
      </c>
      <c r="I29" s="13"/>
      <c r="J29" s="225">
        <f t="shared" si="7"/>
        <v>0</v>
      </c>
      <c r="K29" s="319">
        <f t="shared" si="12"/>
        <v>0</v>
      </c>
      <c r="L29" s="320"/>
      <c r="M29" s="212"/>
      <c r="N29" s="353"/>
      <c r="O29" s="353"/>
      <c r="P29" s="354"/>
      <c r="Q29" s="1" t="str">
        <f t="shared" si="13"/>
        <v/>
      </c>
      <c r="T29" s="14"/>
      <c r="V29" s="15"/>
      <c r="W29" s="1">
        <f t="shared" si="8"/>
        <v>1</v>
      </c>
      <c r="X29" s="1">
        <v>2</v>
      </c>
      <c r="Y29" s="1">
        <f t="shared" si="9"/>
        <v>1</v>
      </c>
      <c r="Z29" s="15"/>
      <c r="AA29" s="1" t="str">
        <f t="shared" si="10"/>
        <v>&lt;=</v>
      </c>
      <c r="AB29" s="1" t="str">
        <f t="shared" si="11"/>
        <v>&gt;=</v>
      </c>
      <c r="AD29" s="1">
        <v>2</v>
      </c>
    </row>
    <row r="30" spans="1:30" ht="14.1" customHeight="1" thickBot="1">
      <c r="A30" s="368" t="s">
        <v>267</v>
      </c>
      <c r="B30" s="369"/>
      <c r="C30" s="280" t="s">
        <v>154</v>
      </c>
      <c r="D30" s="370"/>
      <c r="E30" s="371"/>
      <c r="F30" s="372"/>
      <c r="G30" s="101"/>
      <c r="H30" s="192" t="s">
        <v>14</v>
      </c>
      <c r="I30" s="97"/>
      <c r="J30" s="226">
        <f t="shared" si="7"/>
        <v>0</v>
      </c>
      <c r="K30" s="319">
        <f t="shared" si="12"/>
        <v>0</v>
      </c>
      <c r="L30" s="320"/>
      <c r="M30" s="216"/>
      <c r="N30" s="373"/>
      <c r="O30" s="373"/>
      <c r="P30" s="374"/>
      <c r="Q30" s="1" t="str">
        <f t="shared" si="13"/>
        <v>13:関税</v>
      </c>
      <c r="T30" s="14"/>
      <c r="V30" s="15"/>
      <c r="W30" s="1">
        <f t="shared" si="8"/>
        <v>1</v>
      </c>
      <c r="X30" s="1">
        <v>2</v>
      </c>
      <c r="Y30" s="1">
        <f t="shared" si="9"/>
        <v>1</v>
      </c>
      <c r="Z30" s="15"/>
      <c r="AA30" s="1" t="str">
        <f t="shared" si="10"/>
        <v>&lt;=</v>
      </c>
      <c r="AB30" s="1" t="str">
        <f t="shared" si="11"/>
        <v>&gt;=</v>
      </c>
      <c r="AD30" s="1">
        <v>2</v>
      </c>
    </row>
    <row r="31" spans="1:30" ht="14.1" customHeight="1" thickBot="1">
      <c r="A31" s="355" t="s">
        <v>21</v>
      </c>
      <c r="B31" s="356"/>
      <c r="C31" s="356"/>
      <c r="D31" s="356"/>
      <c r="E31" s="356"/>
      <c r="F31" s="357"/>
      <c r="G31" s="168">
        <f>SUM(G19:G30)</f>
        <v>5</v>
      </c>
      <c r="H31" s="102"/>
      <c r="I31" s="358">
        <f>SUM(K19:K30)</f>
        <v>236100</v>
      </c>
      <c r="J31" s="359"/>
      <c r="K31" s="359"/>
      <c r="L31" s="360"/>
      <c r="M31" s="215"/>
      <c r="N31" s="361"/>
      <c r="O31" s="361"/>
      <c r="P31" s="362"/>
      <c r="Q31" s="1">
        <f>IF(C31&lt;&gt;0,IF(A31=$B$104,VLOOKUP(C31,$B$106:$B$114,1,TRUE),IF(A31=$C$104,VLOOKUP(C31,$C$106:$C$116,1,TRUE),IF(A31=$D$104,VLOOKUP(C31,$D$106:$D$114,1,TRUE),))),)</f>
        <v>0</v>
      </c>
      <c r="T31" s="15"/>
      <c r="V31" s="15"/>
      <c r="W31" s="15"/>
      <c r="X31" s="15"/>
      <c r="Y31" s="15"/>
      <c r="Z31" s="15"/>
      <c r="AA31" s="15"/>
    </row>
    <row r="32" spans="1:30" ht="6" customHeight="1" thickBot="1">
      <c r="A32" s="344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6"/>
      <c r="T32" s="15"/>
      <c r="V32" s="15"/>
      <c r="W32" s="15"/>
      <c r="X32" s="15"/>
      <c r="Y32" s="15"/>
      <c r="Z32" s="15"/>
      <c r="AA32" s="15"/>
    </row>
    <row r="33" spans="1:30" ht="20.25" customHeight="1">
      <c r="A33" s="363" t="s">
        <v>22</v>
      </c>
      <c r="B33" s="364"/>
      <c r="C33" s="199" t="s">
        <v>23</v>
      </c>
      <c r="D33" s="365" t="s">
        <v>24</v>
      </c>
      <c r="E33" s="364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65" t="s">
        <v>28</v>
      </c>
      <c r="L33" s="364"/>
      <c r="M33" s="200" t="s">
        <v>238</v>
      </c>
      <c r="N33" s="365" t="s">
        <v>257</v>
      </c>
      <c r="O33" s="366"/>
      <c r="P33" s="367"/>
      <c r="S33" s="79" t="s">
        <v>200</v>
      </c>
      <c r="X33" s="264" t="s">
        <v>282</v>
      </c>
      <c r="Y33" s="264" t="s">
        <v>283</v>
      </c>
      <c r="Z33" s="264" t="s">
        <v>284</v>
      </c>
      <c r="AA33" s="264" t="s">
        <v>285</v>
      </c>
      <c r="AB33" s="264" t="s">
        <v>286</v>
      </c>
    </row>
    <row r="34" spans="1:30" ht="14.1" customHeight="1">
      <c r="A34" s="375" t="s">
        <v>33</v>
      </c>
      <c r="B34" s="376"/>
      <c r="C34" s="193" t="s">
        <v>34</v>
      </c>
      <c r="D34" s="377" t="s">
        <v>166</v>
      </c>
      <c r="E34" s="376"/>
      <c r="F34" s="194"/>
      <c r="G34" s="12">
        <v>1</v>
      </c>
      <c r="H34" s="197"/>
      <c r="I34" s="13">
        <v>80000</v>
      </c>
      <c r="J34" s="225">
        <f t="shared" ref="J34:J57" si="14">IF(ISBLANK(M34),0,IF(ISBLANK(H34),1,SUMIFS($AA$104:$AA$116,$Y$104:$Y$116,X34,$Z$104:$Z$116,W34,$AB$104:$AB$116,AA34,$AC$104:$AC$116,AB34)))</f>
        <v>1</v>
      </c>
      <c r="K34" s="378">
        <f>IFERROR(G34*I34*J34,"")</f>
        <v>80000</v>
      </c>
      <c r="L34" s="379"/>
      <c r="M34" s="212">
        <v>43013</v>
      </c>
      <c r="N34" s="380"/>
      <c r="O34" s="380"/>
      <c r="P34" s="381"/>
      <c r="Q34" s="1" t="str">
        <f t="shared" ref="Q34:Q57" si="15">IFERROR(IF(C34&lt;&gt;0,IF(A34=$B$104,VLOOKUP(C34,$B$106:$B$114,1,FALSE),IF(A34=$C$104,VLOOKUP(C34,$C$106:$C$116,1,FALSE),IF(A34=$D$104,VLOOKUP(C34,$D$106:$D$114,1,FALSE),""))),""),"")</f>
        <v>1:彩色</v>
      </c>
      <c r="R34" s="1" t="str">
        <f t="shared" ref="R34:R57" si="16">IFERROR(IF(A34&lt;&gt;0,IF(A34=$B$104,VLOOKUP(D34,$B$125:$B$141,1,FALSE),IF(A34=$C$104,VLOOKUP(D34,$C$125:$C$133,1,FALSE),IF(A34=$D$104,VLOOKUP(D34,$D$125:$D$141,1,FALSE),""))),""),"")</f>
        <v>1215:五十嵐</v>
      </c>
      <c r="S34" s="76"/>
      <c r="T34" s="15"/>
      <c r="V34" s="15"/>
      <c r="W34" s="1">
        <f t="shared" ref="W34:W57" si="17">IFERROR(VLOOKUP(H34,$O$105:$P$107,2,FALSE),1)</f>
        <v>1</v>
      </c>
      <c r="X34" s="1">
        <v>2</v>
      </c>
      <c r="Y34" s="1">
        <f t="shared" ref="Y34:Y57" si="18">W34</f>
        <v>1</v>
      </c>
      <c r="Z34" s="15"/>
      <c r="AA34" s="1" t="str">
        <f t="shared" ref="AA34:AA57" si="19">CONCATENATE("&lt;=",M34)</f>
        <v>&lt;=43013</v>
      </c>
      <c r="AB34" s="1" t="str">
        <f t="shared" ref="AB34:AB57" si="20">CONCATENATE("&gt;=",M34)</f>
        <v>&gt;=43013</v>
      </c>
      <c r="AD34" s="1">
        <v>3</v>
      </c>
    </row>
    <row r="35" spans="1:30" ht="14.1" customHeight="1">
      <c r="A35" s="375" t="s">
        <v>33</v>
      </c>
      <c r="B35" s="376"/>
      <c r="C35" s="193" t="s">
        <v>35</v>
      </c>
      <c r="D35" s="377"/>
      <c r="E35" s="376"/>
      <c r="F35" s="194"/>
      <c r="G35" s="12"/>
      <c r="H35" s="197"/>
      <c r="I35" s="13"/>
      <c r="J35" s="225">
        <f t="shared" si="14"/>
        <v>0</v>
      </c>
      <c r="K35" s="378">
        <f t="shared" ref="K35:K57" si="21">IFERROR(G35*I35*J35,"")</f>
        <v>0</v>
      </c>
      <c r="L35" s="379"/>
      <c r="M35" s="212"/>
      <c r="N35" s="380"/>
      <c r="O35" s="380"/>
      <c r="P35" s="381"/>
      <c r="Q35" s="1" t="str">
        <f t="shared" si="15"/>
        <v>4:版下・製版代</v>
      </c>
      <c r="R35" s="1" t="str">
        <f t="shared" si="16"/>
        <v/>
      </c>
      <c r="S35" s="76"/>
      <c r="T35" s="15"/>
      <c r="V35" s="15"/>
      <c r="W35" s="1">
        <f t="shared" si="17"/>
        <v>1</v>
      </c>
      <c r="X35" s="1">
        <v>2</v>
      </c>
      <c r="Y35" s="1">
        <f t="shared" si="18"/>
        <v>1</v>
      </c>
      <c r="Z35" s="15"/>
      <c r="AA35" s="1" t="str">
        <f t="shared" si="19"/>
        <v>&lt;=</v>
      </c>
      <c r="AB35" s="1" t="str">
        <f t="shared" si="20"/>
        <v>&gt;=</v>
      </c>
      <c r="AD35" s="1">
        <v>3</v>
      </c>
    </row>
    <row r="36" spans="1:30" ht="14.1" customHeight="1">
      <c r="A36" s="375" t="s">
        <v>33</v>
      </c>
      <c r="B36" s="376"/>
      <c r="C36" s="193" t="s">
        <v>35</v>
      </c>
      <c r="D36" s="377" t="s">
        <v>58</v>
      </c>
      <c r="E36" s="376"/>
      <c r="F36" s="194"/>
      <c r="G36" s="12"/>
      <c r="H36" s="197"/>
      <c r="I36" s="13"/>
      <c r="J36" s="225">
        <f t="shared" si="14"/>
        <v>0</v>
      </c>
      <c r="K36" s="378">
        <f t="shared" si="21"/>
        <v>0</v>
      </c>
      <c r="L36" s="379"/>
      <c r="M36" s="212"/>
      <c r="N36" s="380"/>
      <c r="O36" s="380"/>
      <c r="P36" s="381"/>
      <c r="Q36" s="1" t="str">
        <f t="shared" si="15"/>
        <v>4:版下・製版代</v>
      </c>
      <c r="R36" s="1" t="str">
        <f t="shared" si="16"/>
        <v>2211:協和メタル</v>
      </c>
      <c r="S36" s="76"/>
      <c r="T36" s="15"/>
      <c r="V36" s="15"/>
      <c r="W36" s="1">
        <f t="shared" si="17"/>
        <v>1</v>
      </c>
      <c r="X36" s="1">
        <v>2</v>
      </c>
      <c r="Y36" s="1">
        <f t="shared" si="18"/>
        <v>1</v>
      </c>
      <c r="Z36" s="15"/>
      <c r="AA36" s="1" t="str">
        <f t="shared" si="19"/>
        <v>&lt;=</v>
      </c>
      <c r="AB36" s="1" t="str">
        <f t="shared" si="20"/>
        <v>&gt;=</v>
      </c>
      <c r="AD36" s="1">
        <v>3</v>
      </c>
    </row>
    <row r="37" spans="1:30" ht="14.1" customHeight="1">
      <c r="A37" s="375" t="s">
        <v>33</v>
      </c>
      <c r="B37" s="376"/>
      <c r="C37" s="193" t="s">
        <v>35</v>
      </c>
      <c r="D37" s="377"/>
      <c r="E37" s="376"/>
      <c r="F37" s="194"/>
      <c r="G37" s="12"/>
      <c r="H37" s="197"/>
      <c r="I37" s="13"/>
      <c r="J37" s="225">
        <f t="shared" si="14"/>
        <v>0</v>
      </c>
      <c r="K37" s="378">
        <f t="shared" si="21"/>
        <v>0</v>
      </c>
      <c r="L37" s="379"/>
      <c r="M37" s="212"/>
      <c r="N37" s="380"/>
      <c r="O37" s="380"/>
      <c r="P37" s="381"/>
      <c r="Q37" s="1" t="str">
        <f t="shared" si="15"/>
        <v>4:版下・製版代</v>
      </c>
      <c r="R37" s="1" t="str">
        <f t="shared" si="16"/>
        <v/>
      </c>
      <c r="S37" s="76"/>
      <c r="T37" s="15"/>
      <c r="V37" s="15"/>
      <c r="W37" s="1">
        <f t="shared" si="17"/>
        <v>1</v>
      </c>
      <c r="X37" s="1">
        <v>2</v>
      </c>
      <c r="Y37" s="1">
        <f t="shared" si="18"/>
        <v>1</v>
      </c>
      <c r="Z37" s="15"/>
      <c r="AA37" s="1" t="str">
        <f t="shared" si="19"/>
        <v>&lt;=</v>
      </c>
      <c r="AB37" s="1" t="str">
        <f t="shared" si="20"/>
        <v>&gt;=</v>
      </c>
      <c r="AD37" s="1">
        <v>3</v>
      </c>
    </row>
    <row r="38" spans="1:30" ht="14.1" customHeight="1">
      <c r="A38" s="375"/>
      <c r="B38" s="376"/>
      <c r="C38" s="193"/>
      <c r="D38" s="377"/>
      <c r="E38" s="376"/>
      <c r="F38" s="194"/>
      <c r="G38" s="12"/>
      <c r="H38" s="197"/>
      <c r="I38" s="13"/>
      <c r="J38" s="225">
        <f t="shared" si="14"/>
        <v>0</v>
      </c>
      <c r="K38" s="378">
        <f t="shared" si="21"/>
        <v>0</v>
      </c>
      <c r="L38" s="379"/>
      <c r="M38" s="212"/>
      <c r="N38" s="380"/>
      <c r="O38" s="380"/>
      <c r="P38" s="381"/>
      <c r="Q38" s="1" t="str">
        <f t="shared" si="15"/>
        <v/>
      </c>
      <c r="R38" s="1" t="str">
        <f t="shared" si="16"/>
        <v/>
      </c>
      <c r="S38" s="76"/>
      <c r="T38" s="15"/>
      <c r="V38" s="15"/>
      <c r="W38" s="1">
        <f t="shared" si="17"/>
        <v>1</v>
      </c>
      <c r="X38" s="1">
        <v>2</v>
      </c>
      <c r="Y38" s="1">
        <f t="shared" si="18"/>
        <v>1</v>
      </c>
      <c r="Z38" s="15"/>
      <c r="AA38" s="1" t="str">
        <f t="shared" si="19"/>
        <v>&lt;=</v>
      </c>
      <c r="AB38" s="1" t="str">
        <f t="shared" si="20"/>
        <v>&gt;=</v>
      </c>
      <c r="AD38" s="1">
        <v>3</v>
      </c>
    </row>
    <row r="39" spans="1:30" ht="14.1" customHeight="1">
      <c r="A39" s="375" t="s">
        <v>29</v>
      </c>
      <c r="B39" s="376"/>
      <c r="C39" s="193" t="s">
        <v>30</v>
      </c>
      <c r="D39" s="377"/>
      <c r="E39" s="376"/>
      <c r="F39" s="194" t="s">
        <v>147</v>
      </c>
      <c r="G39" s="12">
        <v>1</v>
      </c>
      <c r="H39" s="197" t="s">
        <v>14</v>
      </c>
      <c r="I39" s="13">
        <v>200000</v>
      </c>
      <c r="J39" s="225">
        <f t="shared" si="14"/>
        <v>1</v>
      </c>
      <c r="K39" s="378">
        <f t="shared" si="21"/>
        <v>200000</v>
      </c>
      <c r="L39" s="379"/>
      <c r="M39" s="212">
        <v>43013</v>
      </c>
      <c r="N39" s="380"/>
      <c r="O39" s="380"/>
      <c r="P39" s="381"/>
      <c r="Q39" s="1" t="str">
        <f t="shared" si="15"/>
        <v>1:原型</v>
      </c>
      <c r="R39" s="1" t="str">
        <f t="shared" si="16"/>
        <v/>
      </c>
      <c r="S39" s="76"/>
      <c r="T39" s="15"/>
      <c r="V39" s="15"/>
      <c r="W39" s="1">
        <f t="shared" si="17"/>
        <v>1</v>
      </c>
      <c r="X39" s="1">
        <v>2</v>
      </c>
      <c r="Y39" s="1">
        <f t="shared" si="18"/>
        <v>1</v>
      </c>
      <c r="Z39" s="15"/>
      <c r="AA39" s="1" t="str">
        <f t="shared" si="19"/>
        <v>&lt;=43013</v>
      </c>
      <c r="AB39" s="1" t="str">
        <f t="shared" si="20"/>
        <v>&gt;=43013</v>
      </c>
      <c r="AD39" s="1">
        <v>3</v>
      </c>
    </row>
    <row r="40" spans="1:30" ht="14.1" customHeight="1">
      <c r="A40" s="375" t="s">
        <v>29</v>
      </c>
      <c r="B40" s="376"/>
      <c r="C40" s="193" t="s">
        <v>30</v>
      </c>
      <c r="D40" s="377"/>
      <c r="E40" s="376"/>
      <c r="F40" s="194"/>
      <c r="G40" s="12"/>
      <c r="H40" s="197"/>
      <c r="I40" s="13"/>
      <c r="J40" s="225">
        <f t="shared" si="14"/>
        <v>0</v>
      </c>
      <c r="K40" s="378">
        <f t="shared" si="21"/>
        <v>0</v>
      </c>
      <c r="L40" s="379"/>
      <c r="M40" s="212"/>
      <c r="N40" s="380"/>
      <c r="O40" s="380"/>
      <c r="P40" s="381"/>
      <c r="Q40" s="1" t="str">
        <f t="shared" si="15"/>
        <v>1:原型</v>
      </c>
      <c r="R40" s="1" t="str">
        <f t="shared" si="16"/>
        <v/>
      </c>
      <c r="S40" s="76"/>
      <c r="T40" s="15"/>
      <c r="V40" s="15"/>
      <c r="W40" s="1">
        <f t="shared" si="17"/>
        <v>1</v>
      </c>
      <c r="X40" s="1">
        <v>2</v>
      </c>
      <c r="Y40" s="1">
        <f t="shared" si="18"/>
        <v>1</v>
      </c>
      <c r="Z40" s="15"/>
      <c r="AA40" s="1" t="str">
        <f t="shared" si="19"/>
        <v>&lt;=</v>
      </c>
      <c r="AB40" s="1" t="str">
        <f t="shared" si="20"/>
        <v>&gt;=</v>
      </c>
      <c r="AD40" s="1">
        <v>3</v>
      </c>
    </row>
    <row r="41" spans="1:30" ht="14.1" customHeight="1">
      <c r="A41" s="375" t="s">
        <v>33</v>
      </c>
      <c r="B41" s="376"/>
      <c r="C41" s="193" t="s">
        <v>316</v>
      </c>
      <c r="D41" s="377" t="s">
        <v>313</v>
      </c>
      <c r="E41" s="376"/>
      <c r="F41" s="194"/>
      <c r="G41" s="12"/>
      <c r="H41" s="197"/>
      <c r="I41" s="13"/>
      <c r="J41" s="225">
        <f t="shared" si="14"/>
        <v>0</v>
      </c>
      <c r="K41" s="378">
        <f t="shared" si="21"/>
        <v>0</v>
      </c>
      <c r="L41" s="379"/>
      <c r="M41" s="212"/>
      <c r="N41" s="380"/>
      <c r="O41" s="380"/>
      <c r="P41" s="381"/>
      <c r="Q41" s="1" t="str">
        <f t="shared" si="15"/>
        <v>3:製図</v>
      </c>
      <c r="R41" s="1" t="str">
        <f t="shared" si="16"/>
        <v>2216:旭栄</v>
      </c>
      <c r="S41" s="76"/>
      <c r="T41" s="15"/>
      <c r="V41" s="15"/>
      <c r="W41" s="1">
        <f t="shared" si="17"/>
        <v>1</v>
      </c>
      <c r="X41" s="1">
        <v>2</v>
      </c>
      <c r="Y41" s="1">
        <f t="shared" si="18"/>
        <v>1</v>
      </c>
      <c r="Z41" s="15"/>
      <c r="AA41" s="1" t="str">
        <f t="shared" si="19"/>
        <v>&lt;=</v>
      </c>
      <c r="AB41" s="1" t="str">
        <f t="shared" si="20"/>
        <v>&gt;=</v>
      </c>
      <c r="AD41" s="1">
        <v>3</v>
      </c>
    </row>
    <row r="42" spans="1:30" ht="14.1" customHeight="1">
      <c r="A42" s="375" t="s">
        <v>29</v>
      </c>
      <c r="B42" s="376"/>
      <c r="C42" s="193" t="s">
        <v>31</v>
      </c>
      <c r="D42" s="377"/>
      <c r="E42" s="376"/>
      <c r="F42" s="194"/>
      <c r="G42" s="12"/>
      <c r="H42" s="197"/>
      <c r="I42" s="13"/>
      <c r="J42" s="225">
        <f t="shared" si="14"/>
        <v>0</v>
      </c>
      <c r="K42" s="378">
        <f t="shared" si="21"/>
        <v>0</v>
      </c>
      <c r="L42" s="379"/>
      <c r="M42" s="212"/>
      <c r="N42" s="382"/>
      <c r="O42" s="383"/>
      <c r="P42" s="384"/>
      <c r="Q42" s="1" t="str">
        <f t="shared" si="15"/>
        <v>4:シリコン</v>
      </c>
      <c r="R42" s="1" t="str">
        <f t="shared" si="16"/>
        <v/>
      </c>
      <c r="S42" s="76"/>
      <c r="T42" s="15"/>
      <c r="V42" s="15"/>
      <c r="W42" s="1">
        <f t="shared" si="17"/>
        <v>1</v>
      </c>
      <c r="X42" s="1">
        <v>2</v>
      </c>
      <c r="Y42" s="1">
        <f t="shared" si="18"/>
        <v>1</v>
      </c>
      <c r="Z42" s="15"/>
      <c r="AA42" s="1" t="str">
        <f t="shared" si="19"/>
        <v>&lt;=</v>
      </c>
      <c r="AB42" s="1" t="str">
        <f t="shared" si="20"/>
        <v>&gt;=</v>
      </c>
      <c r="AD42" s="1">
        <v>3</v>
      </c>
    </row>
    <row r="43" spans="1:30" ht="14.1" customHeight="1">
      <c r="A43" s="375" t="s">
        <v>29</v>
      </c>
      <c r="B43" s="376"/>
      <c r="C43" s="193" t="s">
        <v>32</v>
      </c>
      <c r="D43" s="377"/>
      <c r="E43" s="376"/>
      <c r="F43" s="194"/>
      <c r="G43" s="12"/>
      <c r="H43" s="197"/>
      <c r="I43" s="13"/>
      <c r="J43" s="225">
        <f t="shared" si="14"/>
        <v>0</v>
      </c>
      <c r="K43" s="378">
        <f t="shared" si="21"/>
        <v>0</v>
      </c>
      <c r="L43" s="379"/>
      <c r="M43" s="212"/>
      <c r="N43" s="380"/>
      <c r="O43" s="380"/>
      <c r="P43" s="381"/>
      <c r="Q43" s="1" t="str">
        <f t="shared" si="15"/>
        <v>3:キャスト</v>
      </c>
      <c r="R43" s="1" t="str">
        <f t="shared" si="16"/>
        <v/>
      </c>
      <c r="S43" s="76"/>
      <c r="T43" s="15"/>
      <c r="V43" s="15"/>
      <c r="W43" s="1">
        <f t="shared" si="17"/>
        <v>1</v>
      </c>
      <c r="X43" s="1">
        <v>2</v>
      </c>
      <c r="Y43" s="1">
        <f t="shared" si="18"/>
        <v>1</v>
      </c>
      <c r="Z43" s="15"/>
      <c r="AA43" s="1" t="str">
        <f t="shared" si="19"/>
        <v>&lt;=</v>
      </c>
      <c r="AB43" s="1" t="str">
        <f t="shared" si="20"/>
        <v>&gt;=</v>
      </c>
      <c r="AD43" s="1">
        <v>3</v>
      </c>
    </row>
    <row r="44" spans="1:30" ht="14.1" customHeight="1">
      <c r="A44" s="375"/>
      <c r="B44" s="376"/>
      <c r="C44" s="193"/>
      <c r="D44" s="377"/>
      <c r="E44" s="376"/>
      <c r="F44" s="194"/>
      <c r="G44" s="12"/>
      <c r="H44" s="197"/>
      <c r="I44" s="13"/>
      <c r="J44" s="225">
        <f t="shared" si="14"/>
        <v>0</v>
      </c>
      <c r="K44" s="378">
        <f t="shared" si="21"/>
        <v>0</v>
      </c>
      <c r="L44" s="379"/>
      <c r="M44" s="212"/>
      <c r="N44" s="380"/>
      <c r="O44" s="380"/>
      <c r="P44" s="381"/>
      <c r="Q44" s="1" t="str">
        <f t="shared" si="15"/>
        <v/>
      </c>
      <c r="R44" s="1" t="str">
        <f t="shared" si="16"/>
        <v/>
      </c>
      <c r="S44" s="76"/>
      <c r="T44" s="15"/>
      <c r="V44" s="15"/>
      <c r="W44" s="1">
        <f t="shared" si="17"/>
        <v>1</v>
      </c>
      <c r="X44" s="1">
        <v>2</v>
      </c>
      <c r="Y44" s="1">
        <f t="shared" si="18"/>
        <v>1</v>
      </c>
      <c r="Z44" s="15"/>
      <c r="AA44" s="1" t="str">
        <f t="shared" si="19"/>
        <v>&lt;=</v>
      </c>
      <c r="AB44" s="1" t="str">
        <f t="shared" si="20"/>
        <v>&gt;=</v>
      </c>
      <c r="AD44" s="1">
        <v>3</v>
      </c>
    </row>
    <row r="45" spans="1:30" ht="14.1" customHeight="1">
      <c r="A45" s="375" t="s">
        <v>36</v>
      </c>
      <c r="B45" s="376"/>
      <c r="C45" s="193" t="s">
        <v>37</v>
      </c>
      <c r="D45" s="377" t="s">
        <v>57</v>
      </c>
      <c r="E45" s="376"/>
      <c r="F45" s="194" t="s">
        <v>147</v>
      </c>
      <c r="G45" s="12">
        <v>1</v>
      </c>
      <c r="H45" s="197" t="s">
        <v>148</v>
      </c>
      <c r="I45" s="13">
        <v>10000</v>
      </c>
      <c r="J45" s="225">
        <f t="shared" si="14"/>
        <v>111</v>
      </c>
      <c r="K45" s="378">
        <f t="shared" si="21"/>
        <v>1110000</v>
      </c>
      <c r="L45" s="379"/>
      <c r="M45" s="212">
        <v>43646</v>
      </c>
      <c r="N45" s="382" t="s">
        <v>305</v>
      </c>
      <c r="O45" s="383"/>
      <c r="P45" s="384"/>
      <c r="Q45" s="1" t="str">
        <f t="shared" si="15"/>
        <v>1:Injection Mold</v>
      </c>
      <c r="R45" s="1" t="str">
        <f t="shared" si="16"/>
        <v>0000:その他</v>
      </c>
      <c r="S45" s="76"/>
      <c r="T45" s="15"/>
      <c r="V45" s="15"/>
      <c r="W45" s="1">
        <f t="shared" si="17"/>
        <v>2</v>
      </c>
      <c r="X45" s="1">
        <v>2</v>
      </c>
      <c r="Y45" s="1">
        <f t="shared" si="18"/>
        <v>2</v>
      </c>
      <c r="Z45" s="15"/>
      <c r="AA45" s="1" t="str">
        <f t="shared" si="19"/>
        <v>&lt;=43646</v>
      </c>
      <c r="AB45" s="1" t="str">
        <f t="shared" si="20"/>
        <v>&gt;=43646</v>
      </c>
      <c r="AD45" s="1">
        <v>3</v>
      </c>
    </row>
    <row r="46" spans="1:30" ht="14.1" customHeight="1">
      <c r="A46" s="375" t="s">
        <v>36</v>
      </c>
      <c r="B46" s="376"/>
      <c r="C46" s="193" t="s">
        <v>37</v>
      </c>
      <c r="D46" s="377" t="s">
        <v>57</v>
      </c>
      <c r="E46" s="376"/>
      <c r="F46" s="194" t="s">
        <v>147</v>
      </c>
      <c r="G46" s="12">
        <v>1</v>
      </c>
      <c r="H46" s="197" t="s">
        <v>148</v>
      </c>
      <c r="I46" s="13">
        <v>8700</v>
      </c>
      <c r="J46" s="225">
        <f t="shared" si="14"/>
        <v>111</v>
      </c>
      <c r="K46" s="378">
        <f t="shared" si="21"/>
        <v>965700</v>
      </c>
      <c r="L46" s="379"/>
      <c r="M46" s="212">
        <v>43646</v>
      </c>
      <c r="N46" s="382"/>
      <c r="O46" s="383"/>
      <c r="P46" s="384"/>
      <c r="Q46" s="1" t="str">
        <f t="shared" si="15"/>
        <v>1:Injection Mold</v>
      </c>
      <c r="R46" s="1" t="str">
        <f t="shared" si="16"/>
        <v>0000:その他</v>
      </c>
      <c r="S46" s="76"/>
      <c r="T46" s="15"/>
      <c r="V46" s="15"/>
      <c r="W46" s="1">
        <f t="shared" si="17"/>
        <v>2</v>
      </c>
      <c r="X46" s="1">
        <v>2</v>
      </c>
      <c r="Y46" s="1">
        <f t="shared" si="18"/>
        <v>2</v>
      </c>
      <c r="Z46" s="15"/>
      <c r="AA46" s="1" t="str">
        <f t="shared" si="19"/>
        <v>&lt;=43646</v>
      </c>
      <c r="AB46" s="1" t="str">
        <f t="shared" si="20"/>
        <v>&gt;=43646</v>
      </c>
      <c r="AD46" s="1">
        <v>3</v>
      </c>
    </row>
    <row r="47" spans="1:30" ht="14.1" customHeight="1">
      <c r="A47" s="375" t="s">
        <v>36</v>
      </c>
      <c r="B47" s="376"/>
      <c r="C47" s="193" t="s">
        <v>37</v>
      </c>
      <c r="D47" s="377" t="s">
        <v>57</v>
      </c>
      <c r="E47" s="376"/>
      <c r="F47" s="194" t="s">
        <v>147</v>
      </c>
      <c r="G47" s="12">
        <v>1</v>
      </c>
      <c r="H47" s="197" t="s">
        <v>148</v>
      </c>
      <c r="I47" s="13">
        <v>8700</v>
      </c>
      <c r="J47" s="225">
        <f t="shared" si="14"/>
        <v>111</v>
      </c>
      <c r="K47" s="378">
        <f t="shared" si="21"/>
        <v>965700</v>
      </c>
      <c r="L47" s="379"/>
      <c r="M47" s="212">
        <v>43646</v>
      </c>
      <c r="N47" s="382"/>
      <c r="O47" s="383"/>
      <c r="P47" s="384"/>
      <c r="Q47" s="1" t="str">
        <f t="shared" si="15"/>
        <v>1:Injection Mold</v>
      </c>
      <c r="R47" s="1" t="str">
        <f t="shared" si="16"/>
        <v>0000:その他</v>
      </c>
      <c r="S47" s="76"/>
      <c r="T47" s="15"/>
      <c r="V47" s="15"/>
      <c r="W47" s="1">
        <f t="shared" si="17"/>
        <v>2</v>
      </c>
      <c r="X47" s="1">
        <v>2</v>
      </c>
      <c r="Y47" s="1">
        <f t="shared" si="18"/>
        <v>2</v>
      </c>
      <c r="Z47" s="15"/>
      <c r="AA47" s="1" t="str">
        <f t="shared" si="19"/>
        <v>&lt;=43646</v>
      </c>
      <c r="AB47" s="1" t="str">
        <f t="shared" si="20"/>
        <v>&gt;=43646</v>
      </c>
      <c r="AD47" s="1">
        <v>3</v>
      </c>
    </row>
    <row r="48" spans="1:30" ht="14.1" customHeight="1">
      <c r="A48" s="375" t="s">
        <v>36</v>
      </c>
      <c r="B48" s="376"/>
      <c r="C48" s="193" t="s">
        <v>37</v>
      </c>
      <c r="D48" s="377"/>
      <c r="E48" s="376"/>
      <c r="F48" s="194"/>
      <c r="G48" s="12"/>
      <c r="H48" s="197"/>
      <c r="I48" s="13"/>
      <c r="J48" s="225">
        <f t="shared" si="14"/>
        <v>0</v>
      </c>
      <c r="K48" s="378">
        <f t="shared" si="21"/>
        <v>0</v>
      </c>
      <c r="L48" s="379"/>
      <c r="M48" s="212"/>
      <c r="N48" s="382"/>
      <c r="O48" s="383"/>
      <c r="P48" s="384"/>
      <c r="Q48" s="1" t="str">
        <f t="shared" si="15"/>
        <v>1:Injection Mold</v>
      </c>
      <c r="R48" s="1" t="str">
        <f t="shared" si="16"/>
        <v/>
      </c>
      <c r="S48" s="76"/>
      <c r="T48" s="15"/>
      <c r="V48" s="15"/>
      <c r="W48" s="1">
        <f t="shared" si="17"/>
        <v>1</v>
      </c>
      <c r="X48" s="1">
        <v>2</v>
      </c>
      <c r="Y48" s="1">
        <f t="shared" si="18"/>
        <v>1</v>
      </c>
      <c r="Z48" s="15"/>
      <c r="AA48" s="1" t="str">
        <f t="shared" si="19"/>
        <v>&lt;=</v>
      </c>
      <c r="AB48" s="1" t="str">
        <f t="shared" si="20"/>
        <v>&gt;=</v>
      </c>
      <c r="AD48" s="1">
        <v>3</v>
      </c>
    </row>
    <row r="49" spans="1:30" ht="14.1" customHeight="1">
      <c r="A49" s="375" t="s">
        <v>36</v>
      </c>
      <c r="B49" s="376"/>
      <c r="C49" s="193" t="s">
        <v>38</v>
      </c>
      <c r="D49" s="377" t="s">
        <v>57</v>
      </c>
      <c r="E49" s="376"/>
      <c r="F49" s="194" t="s">
        <v>147</v>
      </c>
      <c r="G49" s="12">
        <v>1</v>
      </c>
      <c r="H49" s="197" t="s">
        <v>148</v>
      </c>
      <c r="I49" s="13">
        <v>350</v>
      </c>
      <c r="J49" s="225">
        <f t="shared" si="14"/>
        <v>111</v>
      </c>
      <c r="K49" s="378">
        <f t="shared" si="21"/>
        <v>38850</v>
      </c>
      <c r="L49" s="379"/>
      <c r="M49" s="212">
        <v>43646</v>
      </c>
      <c r="N49" s="382"/>
      <c r="O49" s="383"/>
      <c r="P49" s="384"/>
      <c r="Q49" s="1" t="str">
        <f t="shared" si="15"/>
        <v>2:Spray Mask Mold</v>
      </c>
      <c r="R49" s="1" t="str">
        <f t="shared" si="16"/>
        <v>0000:その他</v>
      </c>
      <c r="S49" s="76"/>
      <c r="T49" s="15"/>
      <c r="V49" s="15"/>
      <c r="W49" s="1">
        <f t="shared" si="17"/>
        <v>2</v>
      </c>
      <c r="X49" s="1">
        <v>2</v>
      </c>
      <c r="Y49" s="1">
        <f t="shared" si="18"/>
        <v>2</v>
      </c>
      <c r="Z49" s="15"/>
      <c r="AA49" s="1" t="str">
        <f t="shared" si="19"/>
        <v>&lt;=43646</v>
      </c>
      <c r="AB49" s="1" t="str">
        <f t="shared" si="20"/>
        <v>&gt;=43646</v>
      </c>
      <c r="AD49" s="1">
        <v>3</v>
      </c>
    </row>
    <row r="50" spans="1:30" ht="14.1" customHeight="1">
      <c r="A50" s="375" t="s">
        <v>36</v>
      </c>
      <c r="B50" s="376"/>
      <c r="C50" s="193" t="s">
        <v>38</v>
      </c>
      <c r="D50" s="377"/>
      <c r="E50" s="376"/>
      <c r="F50" s="194"/>
      <c r="G50" s="12"/>
      <c r="H50" s="197"/>
      <c r="I50" s="13"/>
      <c r="J50" s="225">
        <f t="shared" si="14"/>
        <v>0</v>
      </c>
      <c r="K50" s="378">
        <f t="shared" si="21"/>
        <v>0</v>
      </c>
      <c r="L50" s="379"/>
      <c r="M50" s="212"/>
      <c r="N50" s="382"/>
      <c r="O50" s="383"/>
      <c r="P50" s="384"/>
      <c r="Q50" s="1" t="str">
        <f t="shared" si="15"/>
        <v>2:Spray Mask Mold</v>
      </c>
      <c r="R50" s="1" t="str">
        <f t="shared" si="16"/>
        <v/>
      </c>
      <c r="S50" s="76"/>
      <c r="T50" s="15"/>
      <c r="V50" s="15"/>
      <c r="W50" s="1">
        <f t="shared" si="17"/>
        <v>1</v>
      </c>
      <c r="X50" s="1">
        <v>2</v>
      </c>
      <c r="Y50" s="1">
        <f t="shared" si="18"/>
        <v>1</v>
      </c>
      <c r="Z50" s="15"/>
      <c r="AA50" s="1" t="str">
        <f t="shared" si="19"/>
        <v>&lt;=</v>
      </c>
      <c r="AB50" s="1" t="str">
        <f t="shared" si="20"/>
        <v>&gt;=</v>
      </c>
      <c r="AD50" s="1">
        <v>3</v>
      </c>
    </row>
    <row r="51" spans="1:30" ht="14.1" customHeight="1">
      <c r="A51" s="375" t="s">
        <v>36</v>
      </c>
      <c r="B51" s="376"/>
      <c r="C51" s="193" t="s">
        <v>39</v>
      </c>
      <c r="D51" s="377"/>
      <c r="E51" s="376"/>
      <c r="F51" s="194"/>
      <c r="G51" s="12"/>
      <c r="H51" s="197"/>
      <c r="I51" s="13"/>
      <c r="J51" s="225">
        <f t="shared" si="14"/>
        <v>0</v>
      </c>
      <c r="K51" s="378">
        <f t="shared" si="21"/>
        <v>0</v>
      </c>
      <c r="L51" s="379"/>
      <c r="M51" s="212"/>
      <c r="N51" s="380"/>
      <c r="O51" s="380"/>
      <c r="P51" s="381"/>
      <c r="Q51" s="1" t="str">
        <f t="shared" si="15"/>
        <v>99:－</v>
      </c>
      <c r="R51" s="1" t="str">
        <f t="shared" si="16"/>
        <v/>
      </c>
      <c r="S51" s="76"/>
      <c r="T51" s="15"/>
      <c r="V51" s="15"/>
      <c r="W51" s="1">
        <f t="shared" si="17"/>
        <v>1</v>
      </c>
      <c r="X51" s="1">
        <v>2</v>
      </c>
      <c r="Y51" s="1">
        <f t="shared" si="18"/>
        <v>1</v>
      </c>
      <c r="Z51" s="15"/>
      <c r="AA51" s="1" t="str">
        <f t="shared" si="19"/>
        <v>&lt;=</v>
      </c>
      <c r="AB51" s="1" t="str">
        <f t="shared" si="20"/>
        <v>&gt;=</v>
      </c>
      <c r="AD51" s="1">
        <v>3</v>
      </c>
    </row>
    <row r="52" spans="1:30" ht="14.1" customHeight="1">
      <c r="A52" s="375" t="s">
        <v>36</v>
      </c>
      <c r="B52" s="376"/>
      <c r="C52" s="193" t="s">
        <v>39</v>
      </c>
      <c r="D52" s="377"/>
      <c r="E52" s="376"/>
      <c r="F52" s="194"/>
      <c r="G52" s="12"/>
      <c r="H52" s="197"/>
      <c r="I52" s="13"/>
      <c r="J52" s="225">
        <f t="shared" si="14"/>
        <v>0</v>
      </c>
      <c r="K52" s="378">
        <f t="shared" si="21"/>
        <v>0</v>
      </c>
      <c r="L52" s="379"/>
      <c r="M52" s="212"/>
      <c r="N52" s="380"/>
      <c r="O52" s="380"/>
      <c r="P52" s="381"/>
      <c r="Q52" s="1" t="str">
        <f t="shared" si="15"/>
        <v>99:－</v>
      </c>
      <c r="R52" s="1" t="str">
        <f t="shared" si="16"/>
        <v/>
      </c>
      <c r="S52" s="76"/>
      <c r="T52" s="15"/>
      <c r="V52" s="15"/>
      <c r="W52" s="1">
        <f t="shared" si="17"/>
        <v>1</v>
      </c>
      <c r="X52" s="1">
        <v>2</v>
      </c>
      <c r="Y52" s="1">
        <f t="shared" si="18"/>
        <v>1</v>
      </c>
      <c r="Z52" s="15"/>
      <c r="AA52" s="1" t="str">
        <f t="shared" si="19"/>
        <v>&lt;=</v>
      </c>
      <c r="AB52" s="1" t="str">
        <f t="shared" si="20"/>
        <v>&gt;=</v>
      </c>
      <c r="AD52" s="1">
        <v>3</v>
      </c>
    </row>
    <row r="53" spans="1:30" ht="14.1" customHeight="1">
      <c r="A53" s="375" t="s">
        <v>36</v>
      </c>
      <c r="B53" s="376"/>
      <c r="C53" s="193" t="s">
        <v>319</v>
      </c>
      <c r="D53" s="377"/>
      <c r="E53" s="376"/>
      <c r="F53" s="194"/>
      <c r="G53" s="12"/>
      <c r="H53" s="197"/>
      <c r="I53" s="13"/>
      <c r="J53" s="225">
        <f t="shared" si="14"/>
        <v>0</v>
      </c>
      <c r="K53" s="378">
        <f t="shared" si="21"/>
        <v>0</v>
      </c>
      <c r="L53" s="379"/>
      <c r="M53" s="212"/>
      <c r="N53" s="380"/>
      <c r="O53" s="380"/>
      <c r="P53" s="381"/>
      <c r="Q53" s="1" t="str">
        <f t="shared" si="15"/>
        <v>3:Prot type</v>
      </c>
      <c r="R53" s="1" t="str">
        <f t="shared" si="16"/>
        <v/>
      </c>
      <c r="S53" s="76"/>
      <c r="T53" s="15"/>
      <c r="V53" s="15"/>
      <c r="W53" s="1">
        <f t="shared" si="17"/>
        <v>1</v>
      </c>
      <c r="X53" s="1">
        <v>2</v>
      </c>
      <c r="Y53" s="1">
        <f t="shared" si="18"/>
        <v>1</v>
      </c>
      <c r="Z53" s="15"/>
      <c r="AA53" s="1" t="str">
        <f t="shared" si="19"/>
        <v>&lt;=</v>
      </c>
      <c r="AB53" s="1" t="str">
        <f t="shared" si="20"/>
        <v>&gt;=</v>
      </c>
      <c r="AD53" s="1">
        <v>3</v>
      </c>
    </row>
    <row r="54" spans="1:30" ht="14.1" customHeight="1">
      <c r="A54" s="375"/>
      <c r="B54" s="376"/>
      <c r="C54" s="193"/>
      <c r="D54" s="377"/>
      <c r="E54" s="376"/>
      <c r="F54" s="194"/>
      <c r="G54" s="12"/>
      <c r="H54" s="197"/>
      <c r="I54" s="13"/>
      <c r="J54" s="225">
        <f t="shared" si="14"/>
        <v>0</v>
      </c>
      <c r="K54" s="378">
        <f t="shared" si="21"/>
        <v>0</v>
      </c>
      <c r="L54" s="379"/>
      <c r="M54" s="212"/>
      <c r="N54" s="380"/>
      <c r="O54" s="380"/>
      <c r="P54" s="381"/>
      <c r="Q54" s="1" t="str">
        <f t="shared" si="15"/>
        <v/>
      </c>
      <c r="R54" s="1" t="str">
        <f t="shared" si="16"/>
        <v/>
      </c>
      <c r="S54" s="76"/>
      <c r="T54" s="15"/>
      <c r="V54" s="15"/>
      <c r="W54" s="1">
        <f t="shared" si="17"/>
        <v>1</v>
      </c>
      <c r="X54" s="1">
        <v>2</v>
      </c>
      <c r="Y54" s="1">
        <f t="shared" si="18"/>
        <v>1</v>
      </c>
      <c r="Z54" s="15"/>
      <c r="AA54" s="1" t="str">
        <f t="shared" si="19"/>
        <v>&lt;=</v>
      </c>
      <c r="AB54" s="1" t="str">
        <f t="shared" si="20"/>
        <v>&gt;=</v>
      </c>
      <c r="AD54" s="1">
        <v>3</v>
      </c>
    </row>
    <row r="55" spans="1:30" ht="14.1" customHeight="1">
      <c r="A55" s="375"/>
      <c r="B55" s="376"/>
      <c r="C55" s="193"/>
      <c r="D55" s="377"/>
      <c r="E55" s="376"/>
      <c r="F55" s="194"/>
      <c r="G55" s="12"/>
      <c r="H55" s="197"/>
      <c r="I55" s="13"/>
      <c r="J55" s="225">
        <f t="shared" si="14"/>
        <v>0</v>
      </c>
      <c r="K55" s="378">
        <f t="shared" si="21"/>
        <v>0</v>
      </c>
      <c r="L55" s="379"/>
      <c r="M55" s="212"/>
      <c r="N55" s="380"/>
      <c r="O55" s="380"/>
      <c r="P55" s="381"/>
      <c r="Q55" s="1" t="str">
        <f t="shared" si="15"/>
        <v/>
      </c>
      <c r="R55" s="1" t="str">
        <f t="shared" si="16"/>
        <v/>
      </c>
      <c r="S55" s="76"/>
      <c r="T55" s="15"/>
      <c r="V55" s="15"/>
      <c r="W55" s="1">
        <f t="shared" si="17"/>
        <v>1</v>
      </c>
      <c r="X55" s="1">
        <v>2</v>
      </c>
      <c r="Y55" s="1">
        <f t="shared" si="18"/>
        <v>1</v>
      </c>
      <c r="Z55" s="15"/>
      <c r="AA55" s="1" t="str">
        <f t="shared" si="19"/>
        <v>&lt;=</v>
      </c>
      <c r="AB55" s="1" t="str">
        <f t="shared" si="20"/>
        <v>&gt;=</v>
      </c>
      <c r="AD55" s="1">
        <v>3</v>
      </c>
    </row>
    <row r="56" spans="1:30" ht="14.1" customHeight="1">
      <c r="A56" s="375"/>
      <c r="B56" s="376"/>
      <c r="C56" s="193"/>
      <c r="D56" s="377"/>
      <c r="E56" s="376"/>
      <c r="F56" s="194"/>
      <c r="G56" s="12"/>
      <c r="H56" s="197"/>
      <c r="I56" s="13"/>
      <c r="J56" s="225">
        <f t="shared" si="14"/>
        <v>0</v>
      </c>
      <c r="K56" s="378">
        <f t="shared" si="21"/>
        <v>0</v>
      </c>
      <c r="L56" s="379"/>
      <c r="M56" s="212"/>
      <c r="N56" s="380"/>
      <c r="O56" s="380"/>
      <c r="P56" s="381"/>
      <c r="Q56" s="1" t="str">
        <f t="shared" si="15"/>
        <v/>
      </c>
      <c r="R56" s="1" t="str">
        <f t="shared" si="16"/>
        <v/>
      </c>
      <c r="S56" s="76"/>
      <c r="T56" s="14"/>
      <c r="V56" s="15"/>
      <c r="W56" s="1">
        <f t="shared" si="17"/>
        <v>1</v>
      </c>
      <c r="X56" s="1">
        <v>2</v>
      </c>
      <c r="Y56" s="1">
        <f t="shared" si="18"/>
        <v>1</v>
      </c>
      <c r="Z56" s="15"/>
      <c r="AA56" s="1" t="str">
        <f t="shared" si="19"/>
        <v>&lt;=</v>
      </c>
      <c r="AB56" s="1" t="str">
        <f t="shared" si="20"/>
        <v>&gt;=</v>
      </c>
      <c r="AD56" s="1">
        <v>3</v>
      </c>
    </row>
    <row r="57" spans="1:30" ht="15" customHeight="1" thickBot="1">
      <c r="A57" s="375"/>
      <c r="B57" s="376"/>
      <c r="C57" s="195"/>
      <c r="D57" s="377"/>
      <c r="E57" s="376"/>
      <c r="F57" s="196"/>
      <c r="G57" s="20"/>
      <c r="H57" s="198"/>
      <c r="I57" s="97"/>
      <c r="J57" s="226">
        <f t="shared" si="14"/>
        <v>0</v>
      </c>
      <c r="K57" s="378">
        <f t="shared" si="21"/>
        <v>0</v>
      </c>
      <c r="L57" s="379"/>
      <c r="M57" s="216"/>
      <c r="N57" s="385"/>
      <c r="O57" s="385"/>
      <c r="P57" s="386"/>
      <c r="Q57" s="1" t="str">
        <f t="shared" si="15"/>
        <v/>
      </c>
      <c r="R57" s="1" t="str">
        <f t="shared" si="16"/>
        <v/>
      </c>
      <c r="S57" s="78"/>
      <c r="T57" s="21"/>
      <c r="V57" s="15"/>
      <c r="W57" s="1">
        <f t="shared" si="17"/>
        <v>1</v>
      </c>
      <c r="X57" s="1">
        <v>2</v>
      </c>
      <c r="Y57" s="1">
        <f t="shared" si="18"/>
        <v>1</v>
      </c>
      <c r="Z57" s="15"/>
      <c r="AA57" s="1" t="str">
        <f t="shared" si="19"/>
        <v>&lt;=</v>
      </c>
      <c r="AB57" s="1" t="str">
        <f t="shared" si="20"/>
        <v>&gt;=</v>
      </c>
      <c r="AD57" s="1">
        <v>3</v>
      </c>
    </row>
    <row r="58" spans="1:30" ht="15" customHeight="1" thickBot="1">
      <c r="A58" s="387" t="s">
        <v>40</v>
      </c>
      <c r="B58" s="388"/>
      <c r="C58" s="388"/>
      <c r="D58" s="388"/>
      <c r="E58" s="388"/>
      <c r="F58" s="389"/>
      <c r="G58" s="22"/>
      <c r="H58" s="23"/>
      <c r="I58" s="358">
        <f>SUM(K34:K57)</f>
        <v>3360250</v>
      </c>
      <c r="J58" s="359"/>
      <c r="K58" s="359"/>
      <c r="L58" s="360"/>
      <c r="M58" s="217"/>
      <c r="N58" s="390">
        <f>SUMIF(F34:F57,"&lt;&gt;"&amp;hdn_payoff_circle,K34:K57)</f>
        <v>80000</v>
      </c>
      <c r="O58" s="391"/>
      <c r="P58" s="392"/>
      <c r="S58" s="77"/>
      <c r="T58" s="21"/>
      <c r="V58" s="15"/>
      <c r="W58" s="15"/>
      <c r="X58" s="15"/>
      <c r="Y58" s="15"/>
      <c r="Z58" s="15"/>
      <c r="AA58" s="15"/>
    </row>
    <row r="59" spans="1:30" ht="8.25" customHeight="1" thickBot="1">
      <c r="A59" s="393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5"/>
      <c r="S59" s="77"/>
      <c r="T59" s="21"/>
      <c r="V59" s="15"/>
      <c r="W59" s="15"/>
      <c r="X59" s="15"/>
      <c r="Y59" s="15"/>
      <c r="Z59" s="15"/>
      <c r="AA59" s="15"/>
    </row>
    <row r="60" spans="1:30" ht="19.5" customHeight="1">
      <c r="A60" s="363" t="s">
        <v>22</v>
      </c>
      <c r="B60" s="364"/>
      <c r="C60" s="199" t="s">
        <v>23</v>
      </c>
      <c r="D60" s="365" t="s">
        <v>24</v>
      </c>
      <c r="E60" s="364"/>
      <c r="F60" s="201" t="s">
        <v>25</v>
      </c>
      <c r="G60" s="201" t="s">
        <v>26</v>
      </c>
      <c r="H60" s="201" t="s">
        <v>9</v>
      </c>
      <c r="I60" s="201" t="s">
        <v>27</v>
      </c>
      <c r="J60" s="219" t="s">
        <v>258</v>
      </c>
      <c r="K60" s="365" t="s">
        <v>28</v>
      </c>
      <c r="L60" s="364"/>
      <c r="M60" s="200" t="s">
        <v>238</v>
      </c>
      <c r="N60" s="365" t="s">
        <v>257</v>
      </c>
      <c r="O60" s="366"/>
      <c r="P60" s="367"/>
      <c r="S60" s="79" t="s">
        <v>200</v>
      </c>
      <c r="W60" s="15"/>
      <c r="X60" s="264" t="s">
        <v>282</v>
      </c>
      <c r="Y60" s="264" t="s">
        <v>283</v>
      </c>
      <c r="Z60" s="264" t="s">
        <v>284</v>
      </c>
      <c r="AA60" s="264" t="s">
        <v>285</v>
      </c>
      <c r="AB60" s="264" t="s">
        <v>286</v>
      </c>
    </row>
    <row r="61" spans="1:30" ht="14.1" customHeight="1">
      <c r="A61" s="375" t="s">
        <v>41</v>
      </c>
      <c r="B61" s="376"/>
      <c r="C61" s="193" t="s">
        <v>42</v>
      </c>
      <c r="D61" s="377"/>
      <c r="E61" s="376"/>
      <c r="F61" s="194"/>
      <c r="G61" s="277">
        <f>IF(A61&lt;&gt;"",$P$4,0)</f>
        <v>10600</v>
      </c>
      <c r="H61" s="197" t="s">
        <v>148</v>
      </c>
      <c r="I61" s="13">
        <v>5.8376999999999999</v>
      </c>
      <c r="J61" s="225">
        <f t="shared" ref="J61:J85" si="22">IF(ISBLANK(M61),0,IF(ISBLANK(H61),1,SUMIFS($AA$104:$AA$116,$Y$104:$Y$116,X61,$Z$104:$Z$116,W61,$AB$104:$AB$116,AA61,$AC$104:$AC$116,AB61)))</f>
        <v>111</v>
      </c>
      <c r="K61" s="378">
        <f>IFERROR(G61*I61*J61,"")</f>
        <v>6868637.8199999994</v>
      </c>
      <c r="L61" s="379"/>
      <c r="M61" s="212">
        <v>43646</v>
      </c>
      <c r="N61" s="353"/>
      <c r="O61" s="353"/>
      <c r="P61" s="354"/>
      <c r="Q61" s="1" t="str">
        <f>IFERROR(IF(C61&lt;&gt;0,IF(A61=$F$104,VLOOKUP(C61,$F$106:$F$121,1,FALSE),IF(A61=$G$104,VLOOKUP(C61,$G$106:$G$122,1,FALSE),IF(A61=$H$104,VLOOKUP(C61,$H$106:$H$114,1,FALSE),""))),""),"")</f>
        <v>1:Mass Product</v>
      </c>
      <c r="R61" s="1" t="str">
        <f t="shared" ref="R61:R76" si="23">IFERROR(IF(A61&lt;&gt;0,IF(A61=$F$104,VLOOKUP(D61,$F$125:$F$143,1,FALSE),IF(A61=$G$104,VLOOKUP(D61,$G$125:$G$141,1,FALSE),IF(A61=$H$104,VLOOKUP(D61,$H$125:$H$141,1,FALSE),""))),""),"")</f>
        <v/>
      </c>
      <c r="S61" s="76"/>
      <c r="W61" s="1">
        <f t="shared" ref="W61:W86" si="24">IFERROR(VLOOKUP(H61,$O$105:$P$107,2,FALSE),1)</f>
        <v>2</v>
      </c>
      <c r="X61" s="1">
        <v>2</v>
      </c>
      <c r="Y61" s="1">
        <f t="shared" ref="Y61:Y86" si="25">W61</f>
        <v>2</v>
      </c>
      <c r="AA61" s="1" t="str">
        <f t="shared" ref="AA61:AA86" si="26">CONCATENATE("&lt;=",M61)</f>
        <v>&lt;=43646</v>
      </c>
      <c r="AB61" s="1" t="str">
        <f t="shared" ref="AB61:AB86" si="27">CONCATENATE("&gt;=",M61)</f>
        <v>&gt;=43646</v>
      </c>
      <c r="AD61" s="1">
        <v>4</v>
      </c>
    </row>
    <row r="62" spans="1:30" ht="14.1" customHeight="1">
      <c r="A62" s="375" t="s">
        <v>41</v>
      </c>
      <c r="B62" s="376"/>
      <c r="C62" s="193" t="s">
        <v>243</v>
      </c>
      <c r="D62" s="377"/>
      <c r="E62" s="376"/>
      <c r="F62" s="194" t="s">
        <v>147</v>
      </c>
      <c r="G62" s="277">
        <f t="shared" ref="G62:G65" si="28">IF(A62&lt;&gt;"",$P$4,0)</f>
        <v>10600</v>
      </c>
      <c r="H62" s="197" t="s">
        <v>148</v>
      </c>
      <c r="I62" s="13">
        <v>5.83</v>
      </c>
      <c r="J62" s="225">
        <f t="shared" si="22"/>
        <v>111</v>
      </c>
      <c r="K62" s="378">
        <f t="shared" ref="K62:K85" si="29">IFERROR(G62*I62*J62,"")</f>
        <v>6859578</v>
      </c>
      <c r="L62" s="379"/>
      <c r="M62" s="212">
        <v>43646</v>
      </c>
      <c r="N62" s="353"/>
      <c r="O62" s="353"/>
      <c r="P62" s="354"/>
      <c r="Q62" s="1" t="str">
        <f t="shared" ref="Q62:Q76" si="30">IFERROR(IF(C62&lt;&gt;0,IF(A62=$F$104,VLOOKUP(C62,$F$106:$F$121,1,FALSE),IF(A62=$G$104,VLOOKUP(C62,$G$106:$G$122,1,FALSE),IF(A62=$H$104,VLOOKUP(C62,$H$106:$H$114,1,FALSE),""))),""),"")</f>
        <v>2:Set Sample</v>
      </c>
      <c r="R62" s="1" t="str">
        <f t="shared" si="23"/>
        <v/>
      </c>
      <c r="S62" s="76"/>
      <c r="W62" s="1">
        <f t="shared" si="24"/>
        <v>2</v>
      </c>
      <c r="X62" s="1">
        <v>2</v>
      </c>
      <c r="Y62" s="1">
        <f t="shared" si="25"/>
        <v>2</v>
      </c>
      <c r="AA62" s="1" t="str">
        <f t="shared" si="26"/>
        <v>&lt;=43646</v>
      </c>
      <c r="AB62" s="1" t="str">
        <f t="shared" si="27"/>
        <v>&gt;=43646</v>
      </c>
      <c r="AD62" s="1">
        <v>4</v>
      </c>
    </row>
    <row r="63" spans="1:30" ht="14.1" customHeight="1">
      <c r="A63" s="375" t="s">
        <v>49</v>
      </c>
      <c r="B63" s="376"/>
      <c r="C63" s="193" t="s">
        <v>307</v>
      </c>
      <c r="D63" s="377"/>
      <c r="E63" s="376"/>
      <c r="F63" s="194"/>
      <c r="G63" s="277">
        <f t="shared" si="28"/>
        <v>10600</v>
      </c>
      <c r="H63" s="197" t="s">
        <v>148</v>
      </c>
      <c r="I63" s="13">
        <v>5.83</v>
      </c>
      <c r="J63" s="225">
        <f t="shared" si="22"/>
        <v>111</v>
      </c>
      <c r="K63" s="378">
        <f t="shared" si="29"/>
        <v>6859578</v>
      </c>
      <c r="L63" s="379"/>
      <c r="M63" s="212">
        <v>43646</v>
      </c>
      <c r="N63" s="396"/>
      <c r="O63" s="397"/>
      <c r="P63" s="398"/>
      <c r="Q63" s="1" t="str">
        <f t="shared" si="30"/>
        <v>4:製品見直し代</v>
      </c>
      <c r="R63" s="1" t="str">
        <f t="shared" si="23"/>
        <v/>
      </c>
      <c r="S63" s="76"/>
      <c r="W63" s="1">
        <f t="shared" si="24"/>
        <v>2</v>
      </c>
      <c r="X63" s="1">
        <v>2</v>
      </c>
      <c r="Y63" s="1">
        <f t="shared" si="25"/>
        <v>2</v>
      </c>
      <c r="AA63" s="1" t="str">
        <f t="shared" si="26"/>
        <v>&lt;=43646</v>
      </c>
      <c r="AB63" s="1" t="str">
        <f t="shared" si="27"/>
        <v>&gt;=43646</v>
      </c>
      <c r="AD63" s="1">
        <v>4</v>
      </c>
    </row>
    <row r="64" spans="1:30" ht="14.1" customHeight="1">
      <c r="A64" s="375"/>
      <c r="B64" s="376"/>
      <c r="C64" s="193"/>
      <c r="D64" s="377"/>
      <c r="E64" s="376"/>
      <c r="F64" s="194"/>
      <c r="G64" s="277">
        <f t="shared" si="28"/>
        <v>0</v>
      </c>
      <c r="H64" s="197"/>
      <c r="I64" s="13"/>
      <c r="J64" s="225">
        <f t="shared" si="22"/>
        <v>0</v>
      </c>
      <c r="K64" s="378">
        <f t="shared" si="29"/>
        <v>0</v>
      </c>
      <c r="L64" s="379"/>
      <c r="M64" s="212"/>
      <c r="N64" s="353"/>
      <c r="O64" s="353"/>
      <c r="P64" s="354"/>
      <c r="Q64" s="1" t="str">
        <f t="shared" si="30"/>
        <v/>
      </c>
      <c r="R64" s="1" t="str">
        <f t="shared" si="23"/>
        <v/>
      </c>
      <c r="S64" s="76"/>
      <c r="W64" s="1">
        <f t="shared" si="24"/>
        <v>1</v>
      </c>
      <c r="X64" s="1">
        <v>2</v>
      </c>
      <c r="Y64" s="1">
        <f t="shared" si="25"/>
        <v>1</v>
      </c>
      <c r="AA64" s="1" t="str">
        <f t="shared" si="26"/>
        <v>&lt;=</v>
      </c>
      <c r="AB64" s="1" t="str">
        <f t="shared" si="27"/>
        <v>&gt;=</v>
      </c>
      <c r="AD64" s="1">
        <v>4</v>
      </c>
    </row>
    <row r="65" spans="1:30" ht="14.1" customHeight="1">
      <c r="A65" s="375"/>
      <c r="B65" s="376"/>
      <c r="C65" s="193"/>
      <c r="D65" s="377"/>
      <c r="E65" s="376"/>
      <c r="F65" s="194"/>
      <c r="G65" s="277">
        <f t="shared" si="28"/>
        <v>0</v>
      </c>
      <c r="H65" s="197"/>
      <c r="I65" s="13"/>
      <c r="J65" s="225">
        <f t="shared" si="22"/>
        <v>0</v>
      </c>
      <c r="K65" s="378">
        <f t="shared" si="29"/>
        <v>0</v>
      </c>
      <c r="L65" s="379"/>
      <c r="M65" s="212"/>
      <c r="N65" s="353"/>
      <c r="O65" s="353"/>
      <c r="P65" s="354"/>
      <c r="Q65" s="1" t="str">
        <f t="shared" si="30"/>
        <v/>
      </c>
      <c r="R65" s="1" t="str">
        <f t="shared" si="23"/>
        <v/>
      </c>
      <c r="S65" s="76"/>
      <c r="W65" s="1">
        <f t="shared" si="24"/>
        <v>1</v>
      </c>
      <c r="X65" s="1">
        <v>2</v>
      </c>
      <c r="Y65" s="1">
        <f t="shared" si="25"/>
        <v>1</v>
      </c>
      <c r="AA65" s="1" t="str">
        <f t="shared" si="26"/>
        <v>&lt;=</v>
      </c>
      <c r="AB65" s="1" t="str">
        <f t="shared" si="27"/>
        <v>&gt;=</v>
      </c>
      <c r="AD65" s="1">
        <v>4</v>
      </c>
    </row>
    <row r="66" spans="1:30" ht="14.1" customHeight="1">
      <c r="A66" s="375"/>
      <c r="B66" s="376"/>
      <c r="C66" s="193"/>
      <c r="D66" s="377"/>
      <c r="E66" s="376"/>
      <c r="F66" s="194"/>
      <c r="G66" s="277">
        <f t="shared" ref="G66:G77" si="31">IF(A66&lt;&gt;"",$P$4,0)</f>
        <v>0</v>
      </c>
      <c r="H66" s="197"/>
      <c r="I66" s="13"/>
      <c r="J66" s="225">
        <f t="shared" si="22"/>
        <v>0</v>
      </c>
      <c r="K66" s="378">
        <f t="shared" si="29"/>
        <v>0</v>
      </c>
      <c r="L66" s="379"/>
      <c r="M66" s="212"/>
      <c r="N66" s="353"/>
      <c r="O66" s="353"/>
      <c r="P66" s="354"/>
      <c r="Q66" s="1" t="str">
        <f t="shared" si="30"/>
        <v/>
      </c>
      <c r="R66" s="1" t="str">
        <f t="shared" si="23"/>
        <v/>
      </c>
      <c r="S66" s="76"/>
      <c r="W66" s="1">
        <f t="shared" si="24"/>
        <v>1</v>
      </c>
      <c r="X66" s="1">
        <v>2</v>
      </c>
      <c r="Y66" s="1">
        <f t="shared" si="25"/>
        <v>1</v>
      </c>
      <c r="AA66" s="1" t="str">
        <f t="shared" si="26"/>
        <v>&lt;=</v>
      </c>
      <c r="AB66" s="1" t="str">
        <f t="shared" si="27"/>
        <v>&gt;=</v>
      </c>
      <c r="AD66" s="1">
        <v>4</v>
      </c>
    </row>
    <row r="67" spans="1:30" ht="14.1" customHeight="1">
      <c r="A67" s="375" t="s">
        <v>41</v>
      </c>
      <c r="B67" s="376"/>
      <c r="C67" s="193" t="s">
        <v>42</v>
      </c>
      <c r="D67" s="377" t="s">
        <v>57</v>
      </c>
      <c r="E67" s="376"/>
      <c r="F67" s="194"/>
      <c r="G67" s="277">
        <f t="shared" si="31"/>
        <v>10600</v>
      </c>
      <c r="H67" s="197"/>
      <c r="I67" s="13"/>
      <c r="J67" s="225">
        <f t="shared" si="22"/>
        <v>0</v>
      </c>
      <c r="K67" s="378">
        <f t="shared" si="29"/>
        <v>0</v>
      </c>
      <c r="L67" s="379"/>
      <c r="M67" s="212"/>
      <c r="N67" s="353"/>
      <c r="O67" s="353"/>
      <c r="P67" s="354"/>
      <c r="Q67" s="1" t="str">
        <f t="shared" si="30"/>
        <v>1:Mass Product</v>
      </c>
      <c r="R67" s="1" t="str">
        <f t="shared" si="23"/>
        <v>0000:その他</v>
      </c>
      <c r="S67" s="76"/>
      <c r="W67" s="1">
        <f t="shared" si="24"/>
        <v>1</v>
      </c>
      <c r="X67" s="1">
        <v>2</v>
      </c>
      <c r="Y67" s="1">
        <f t="shared" si="25"/>
        <v>1</v>
      </c>
      <c r="AA67" s="1" t="str">
        <f t="shared" si="26"/>
        <v>&lt;=</v>
      </c>
      <c r="AB67" s="1" t="str">
        <f t="shared" si="27"/>
        <v>&gt;=</v>
      </c>
      <c r="AD67" s="1">
        <v>4</v>
      </c>
    </row>
    <row r="68" spans="1:30" ht="14.1" customHeight="1">
      <c r="A68" s="375"/>
      <c r="B68" s="376"/>
      <c r="C68" s="193"/>
      <c r="D68" s="377"/>
      <c r="E68" s="376"/>
      <c r="F68" s="194"/>
      <c r="G68" s="277">
        <f t="shared" si="31"/>
        <v>0</v>
      </c>
      <c r="H68" s="197"/>
      <c r="I68" s="13"/>
      <c r="J68" s="225">
        <f t="shared" si="22"/>
        <v>0</v>
      </c>
      <c r="K68" s="378">
        <f t="shared" si="29"/>
        <v>0</v>
      </c>
      <c r="L68" s="379"/>
      <c r="M68" s="212"/>
      <c r="N68" s="353"/>
      <c r="O68" s="353"/>
      <c r="P68" s="354"/>
      <c r="Q68" s="1" t="str">
        <f t="shared" si="30"/>
        <v/>
      </c>
      <c r="R68" s="1" t="str">
        <f t="shared" si="23"/>
        <v/>
      </c>
      <c r="S68" s="76"/>
      <c r="W68" s="1">
        <f t="shared" si="24"/>
        <v>1</v>
      </c>
      <c r="X68" s="1">
        <v>2</v>
      </c>
      <c r="Y68" s="1">
        <f t="shared" si="25"/>
        <v>1</v>
      </c>
      <c r="AA68" s="1" t="str">
        <f t="shared" si="26"/>
        <v>&lt;=</v>
      </c>
      <c r="AB68" s="1" t="str">
        <f t="shared" si="27"/>
        <v>&gt;=</v>
      </c>
      <c r="AD68" s="1">
        <v>4</v>
      </c>
    </row>
    <row r="69" spans="1:30" ht="14.1" customHeight="1">
      <c r="A69" s="375"/>
      <c r="B69" s="376"/>
      <c r="C69" s="193"/>
      <c r="D69" s="377"/>
      <c r="E69" s="376"/>
      <c r="F69" s="194"/>
      <c r="G69" s="277">
        <f t="shared" si="31"/>
        <v>0</v>
      </c>
      <c r="H69" s="197"/>
      <c r="I69" s="13"/>
      <c r="J69" s="225">
        <f t="shared" si="22"/>
        <v>0</v>
      </c>
      <c r="K69" s="378">
        <f t="shared" si="29"/>
        <v>0</v>
      </c>
      <c r="L69" s="379"/>
      <c r="M69" s="212"/>
      <c r="N69" s="353"/>
      <c r="O69" s="353"/>
      <c r="P69" s="354"/>
      <c r="Q69" s="1" t="str">
        <f t="shared" si="30"/>
        <v/>
      </c>
      <c r="R69" s="1" t="str">
        <f t="shared" si="23"/>
        <v/>
      </c>
      <c r="S69" s="76"/>
      <c r="W69" s="1">
        <f t="shared" si="24"/>
        <v>1</v>
      </c>
      <c r="X69" s="1">
        <v>2</v>
      </c>
      <c r="Y69" s="1">
        <f t="shared" si="25"/>
        <v>1</v>
      </c>
      <c r="AA69" s="1" t="str">
        <f t="shared" si="26"/>
        <v>&lt;=</v>
      </c>
      <c r="AB69" s="1" t="str">
        <f t="shared" si="27"/>
        <v>&gt;=</v>
      </c>
      <c r="AD69" s="1">
        <v>4</v>
      </c>
    </row>
    <row r="70" spans="1:30" ht="14.1" customHeight="1">
      <c r="A70" s="375"/>
      <c r="B70" s="376"/>
      <c r="C70" s="193"/>
      <c r="D70" s="377"/>
      <c r="E70" s="376"/>
      <c r="F70" s="194"/>
      <c r="G70" s="277">
        <f t="shared" si="31"/>
        <v>0</v>
      </c>
      <c r="H70" s="197"/>
      <c r="I70" s="13"/>
      <c r="J70" s="225">
        <f t="shared" si="22"/>
        <v>0</v>
      </c>
      <c r="K70" s="378">
        <f t="shared" si="29"/>
        <v>0</v>
      </c>
      <c r="L70" s="379"/>
      <c r="M70" s="212"/>
      <c r="N70" s="353"/>
      <c r="O70" s="353"/>
      <c r="P70" s="354"/>
      <c r="Q70" s="1" t="str">
        <f t="shared" si="30"/>
        <v/>
      </c>
      <c r="R70" s="1" t="str">
        <f t="shared" si="23"/>
        <v/>
      </c>
      <c r="S70" s="76"/>
      <c r="W70" s="1">
        <f t="shared" si="24"/>
        <v>1</v>
      </c>
      <c r="X70" s="1">
        <v>2</v>
      </c>
      <c r="Y70" s="1">
        <f t="shared" si="25"/>
        <v>1</v>
      </c>
      <c r="AA70" s="1" t="str">
        <f t="shared" si="26"/>
        <v>&lt;=</v>
      </c>
      <c r="AB70" s="1" t="str">
        <f t="shared" si="27"/>
        <v>&gt;=</v>
      </c>
      <c r="AD70" s="1">
        <v>4</v>
      </c>
    </row>
    <row r="71" spans="1:30" ht="14.1" customHeight="1">
      <c r="A71" s="375"/>
      <c r="B71" s="376"/>
      <c r="C71" s="193"/>
      <c r="D71" s="377"/>
      <c r="E71" s="376"/>
      <c r="F71" s="194"/>
      <c r="G71" s="277">
        <f t="shared" si="31"/>
        <v>0</v>
      </c>
      <c r="H71" s="197"/>
      <c r="I71" s="13"/>
      <c r="J71" s="225">
        <f t="shared" si="22"/>
        <v>0</v>
      </c>
      <c r="K71" s="378">
        <f t="shared" si="29"/>
        <v>0</v>
      </c>
      <c r="L71" s="379"/>
      <c r="M71" s="212"/>
      <c r="N71" s="353"/>
      <c r="O71" s="353"/>
      <c r="P71" s="354"/>
      <c r="Q71" s="1" t="str">
        <f t="shared" si="30"/>
        <v/>
      </c>
      <c r="R71" s="1" t="str">
        <f t="shared" si="23"/>
        <v/>
      </c>
      <c r="S71" s="76"/>
      <c r="W71" s="1">
        <f t="shared" si="24"/>
        <v>1</v>
      </c>
      <c r="X71" s="1">
        <v>2</v>
      </c>
      <c r="Y71" s="1">
        <f t="shared" si="25"/>
        <v>1</v>
      </c>
      <c r="AA71" s="1" t="str">
        <f t="shared" si="26"/>
        <v>&lt;=</v>
      </c>
      <c r="AB71" s="1" t="str">
        <f t="shared" si="27"/>
        <v>&gt;=</v>
      </c>
      <c r="AD71" s="1">
        <v>4</v>
      </c>
    </row>
    <row r="72" spans="1:30" ht="14.1" customHeight="1">
      <c r="A72" s="375"/>
      <c r="B72" s="376"/>
      <c r="C72" s="193"/>
      <c r="D72" s="377"/>
      <c r="E72" s="376"/>
      <c r="F72" s="194"/>
      <c r="G72" s="277">
        <f t="shared" si="31"/>
        <v>0</v>
      </c>
      <c r="H72" s="197"/>
      <c r="I72" s="13"/>
      <c r="J72" s="225">
        <f t="shared" si="22"/>
        <v>0</v>
      </c>
      <c r="K72" s="378">
        <f t="shared" si="29"/>
        <v>0</v>
      </c>
      <c r="L72" s="379"/>
      <c r="M72" s="212"/>
      <c r="N72" s="353"/>
      <c r="O72" s="353"/>
      <c r="P72" s="354"/>
      <c r="Q72" s="1" t="str">
        <f t="shared" si="30"/>
        <v/>
      </c>
      <c r="R72" s="1" t="str">
        <f t="shared" si="23"/>
        <v/>
      </c>
      <c r="S72" s="76"/>
      <c r="W72" s="1">
        <f t="shared" si="24"/>
        <v>1</v>
      </c>
      <c r="X72" s="1">
        <v>2</v>
      </c>
      <c r="Y72" s="1">
        <f t="shared" si="25"/>
        <v>1</v>
      </c>
      <c r="AA72" s="1" t="str">
        <f t="shared" si="26"/>
        <v>&lt;=</v>
      </c>
      <c r="AB72" s="1" t="str">
        <f t="shared" si="27"/>
        <v>&gt;=</v>
      </c>
      <c r="AD72" s="1">
        <v>4</v>
      </c>
    </row>
    <row r="73" spans="1:30" ht="14.1" customHeight="1">
      <c r="A73" s="375"/>
      <c r="B73" s="376"/>
      <c r="C73" s="193"/>
      <c r="D73" s="377"/>
      <c r="E73" s="376"/>
      <c r="F73" s="194"/>
      <c r="G73" s="277">
        <f t="shared" si="31"/>
        <v>0</v>
      </c>
      <c r="H73" s="197"/>
      <c r="I73" s="13"/>
      <c r="J73" s="225">
        <f t="shared" si="22"/>
        <v>0</v>
      </c>
      <c r="K73" s="378">
        <f t="shared" si="29"/>
        <v>0</v>
      </c>
      <c r="L73" s="379"/>
      <c r="M73" s="212"/>
      <c r="N73" s="353"/>
      <c r="O73" s="353"/>
      <c r="P73" s="354"/>
      <c r="Q73" s="1" t="str">
        <f t="shared" si="30"/>
        <v/>
      </c>
      <c r="R73" s="1" t="str">
        <f t="shared" si="23"/>
        <v/>
      </c>
      <c r="S73" s="76"/>
      <c r="W73" s="1">
        <f t="shared" si="24"/>
        <v>1</v>
      </c>
      <c r="X73" s="1">
        <v>2</v>
      </c>
      <c r="Y73" s="1">
        <f t="shared" si="25"/>
        <v>1</v>
      </c>
      <c r="AA73" s="1" t="str">
        <f t="shared" si="26"/>
        <v>&lt;=</v>
      </c>
      <c r="AB73" s="1" t="str">
        <f t="shared" si="27"/>
        <v>&gt;=</v>
      </c>
      <c r="AD73" s="1">
        <v>4</v>
      </c>
    </row>
    <row r="74" spans="1:30" ht="14.1" customHeight="1">
      <c r="A74" s="375" t="s">
        <v>43</v>
      </c>
      <c r="B74" s="376"/>
      <c r="C74" s="193" t="s">
        <v>317</v>
      </c>
      <c r="D74" s="377"/>
      <c r="E74" s="376"/>
      <c r="F74" s="194"/>
      <c r="G74" s="277">
        <f t="shared" si="31"/>
        <v>10600</v>
      </c>
      <c r="H74" s="197"/>
      <c r="I74" s="13"/>
      <c r="J74" s="225">
        <f t="shared" si="22"/>
        <v>0</v>
      </c>
      <c r="K74" s="378">
        <f t="shared" si="29"/>
        <v>0</v>
      </c>
      <c r="L74" s="379"/>
      <c r="M74" s="212"/>
      <c r="N74" s="353"/>
      <c r="O74" s="353"/>
      <c r="P74" s="354"/>
      <c r="Q74" s="1" t="str">
        <f t="shared" si="30"/>
        <v>12:カートン</v>
      </c>
      <c r="R74" s="1" t="str">
        <f t="shared" si="23"/>
        <v/>
      </c>
      <c r="S74" s="76"/>
      <c r="W74" s="1">
        <f t="shared" si="24"/>
        <v>1</v>
      </c>
      <c r="X74" s="1">
        <v>2</v>
      </c>
      <c r="Y74" s="1">
        <f t="shared" si="25"/>
        <v>1</v>
      </c>
      <c r="AA74" s="1" t="str">
        <f t="shared" si="26"/>
        <v>&lt;=</v>
      </c>
      <c r="AB74" s="1" t="str">
        <f t="shared" si="27"/>
        <v>&gt;=</v>
      </c>
      <c r="AD74" s="1">
        <v>4</v>
      </c>
    </row>
    <row r="75" spans="1:30" ht="14.1" customHeight="1">
      <c r="A75" s="375"/>
      <c r="B75" s="376"/>
      <c r="C75" s="193"/>
      <c r="D75" s="377"/>
      <c r="E75" s="376"/>
      <c r="F75" s="194"/>
      <c r="G75" s="277">
        <f t="shared" si="31"/>
        <v>0</v>
      </c>
      <c r="H75" s="197"/>
      <c r="I75" s="13"/>
      <c r="J75" s="225">
        <f t="shared" si="22"/>
        <v>0</v>
      </c>
      <c r="K75" s="378">
        <f t="shared" si="29"/>
        <v>0</v>
      </c>
      <c r="L75" s="379"/>
      <c r="M75" s="212"/>
      <c r="N75" s="396"/>
      <c r="O75" s="397"/>
      <c r="P75" s="398"/>
      <c r="Q75" s="1" t="str">
        <f t="shared" si="30"/>
        <v/>
      </c>
      <c r="R75" s="1" t="str">
        <f t="shared" si="23"/>
        <v/>
      </c>
      <c r="S75" s="76"/>
      <c r="W75" s="1">
        <f t="shared" si="24"/>
        <v>1</v>
      </c>
      <c r="X75" s="1">
        <v>2</v>
      </c>
      <c r="Y75" s="1">
        <f t="shared" si="25"/>
        <v>1</v>
      </c>
      <c r="AA75" s="1" t="str">
        <f t="shared" si="26"/>
        <v>&lt;=</v>
      </c>
      <c r="AB75" s="1" t="str">
        <f t="shared" si="27"/>
        <v>&gt;=</v>
      </c>
      <c r="AD75" s="1">
        <v>4</v>
      </c>
    </row>
    <row r="76" spans="1:30" ht="14.1" customHeight="1">
      <c r="A76" s="375"/>
      <c r="B76" s="376"/>
      <c r="C76" s="193"/>
      <c r="D76" s="377"/>
      <c r="E76" s="376"/>
      <c r="F76" s="194"/>
      <c r="G76" s="277">
        <f t="shared" si="31"/>
        <v>0</v>
      </c>
      <c r="H76" s="197"/>
      <c r="I76" s="13"/>
      <c r="J76" s="225">
        <f t="shared" si="22"/>
        <v>0</v>
      </c>
      <c r="K76" s="378">
        <f t="shared" si="29"/>
        <v>0</v>
      </c>
      <c r="L76" s="379"/>
      <c r="M76" s="212"/>
      <c r="N76" s="353"/>
      <c r="O76" s="353"/>
      <c r="P76" s="354"/>
      <c r="Q76" s="1" t="str">
        <f t="shared" si="30"/>
        <v/>
      </c>
      <c r="R76" s="1" t="str">
        <f t="shared" si="23"/>
        <v/>
      </c>
      <c r="S76" s="76"/>
      <c r="W76" s="1">
        <f t="shared" si="24"/>
        <v>1</v>
      </c>
      <c r="X76" s="1">
        <v>2</v>
      </c>
      <c r="Y76" s="1">
        <f t="shared" si="25"/>
        <v>1</v>
      </c>
      <c r="AA76" s="1" t="str">
        <f t="shared" si="26"/>
        <v>&lt;=</v>
      </c>
      <c r="AB76" s="1" t="str">
        <f t="shared" si="27"/>
        <v>&gt;=</v>
      </c>
      <c r="AD76" s="1">
        <v>4</v>
      </c>
    </row>
    <row r="77" spans="1:30" ht="14.1" customHeight="1">
      <c r="A77" s="399" t="s">
        <v>45</v>
      </c>
      <c r="B77" s="400"/>
      <c r="C77" s="238" t="s">
        <v>152</v>
      </c>
      <c r="D77" s="401">
        <v>0.03</v>
      </c>
      <c r="E77" s="402"/>
      <c r="F77" s="246"/>
      <c r="G77" s="277">
        <f t="shared" si="31"/>
        <v>10600</v>
      </c>
      <c r="H77" s="247" t="s">
        <v>69</v>
      </c>
      <c r="I77" s="252">
        <f t="shared" ref="I77:I85" si="32">IF(D77&lt;&gt;"",IF(G77&lt;&gt;"",ROUNDDOWN(IF(C77=hdn_import_cost,calculation_import_cost,IF(C77=hdn_tariff,calculation_tariff,0))*D77/G77,4),""),"")</f>
        <v>47.571100000000001</v>
      </c>
      <c r="J77" s="253">
        <f t="shared" si="22"/>
        <v>1</v>
      </c>
      <c r="K77" s="403">
        <f t="shared" si="29"/>
        <v>504253.66000000003</v>
      </c>
      <c r="L77" s="404"/>
      <c r="M77" s="212">
        <v>43646</v>
      </c>
      <c r="N77" s="353" t="s">
        <v>210</v>
      </c>
      <c r="O77" s="353"/>
      <c r="P77" s="354"/>
      <c r="Q77" s="1" t="str">
        <f t="shared" ref="Q77:Q86" si="33">IFERROR(IF(C77&lt;&gt;0,IF(A77=$J$104,VLOOKUP(C77,$J$106:$J$107,1,FALSE),IF(A77=$K$104,VLOOKUP(C77,$K$106:$K$109,1,FALSE),IF(A77=$L$104,VLOOKUP(C77,$L$106:$L$109,1,FALSE),""))),),"")</f>
        <v>3:関税</v>
      </c>
      <c r="S77" s="76"/>
      <c r="T77" s="1">
        <f t="shared" ref="T77:T86" si="34">IF(Q77=hdn_tariff,K77,0)</f>
        <v>504253.66000000003</v>
      </c>
      <c r="W77" s="1">
        <f t="shared" si="24"/>
        <v>1</v>
      </c>
      <c r="X77" s="1">
        <v>2</v>
      </c>
      <c r="Y77" s="1">
        <f t="shared" si="25"/>
        <v>1</v>
      </c>
      <c r="AA77" s="1" t="str">
        <f t="shared" si="26"/>
        <v>&lt;=43646</v>
      </c>
      <c r="AB77" s="1" t="str">
        <f t="shared" si="27"/>
        <v>&gt;=43646</v>
      </c>
      <c r="AD77" s="1">
        <v>5</v>
      </c>
    </row>
    <row r="78" spans="1:30" ht="14.1" customHeight="1">
      <c r="A78" s="399" t="s">
        <v>45</v>
      </c>
      <c r="B78" s="400"/>
      <c r="C78" s="238" t="s">
        <v>204</v>
      </c>
      <c r="D78" s="405">
        <v>0.02</v>
      </c>
      <c r="E78" s="406"/>
      <c r="F78" s="246"/>
      <c r="G78" s="277">
        <v>400</v>
      </c>
      <c r="H78" s="247" t="s">
        <v>14</v>
      </c>
      <c r="I78" s="252">
        <f t="shared" si="32"/>
        <v>899.25279999999998</v>
      </c>
      <c r="J78" s="253">
        <f t="shared" si="22"/>
        <v>1</v>
      </c>
      <c r="K78" s="403">
        <f t="shared" si="29"/>
        <v>359701.12</v>
      </c>
      <c r="L78" s="404"/>
      <c r="M78" s="212">
        <v>43646</v>
      </c>
      <c r="N78" s="353" t="s">
        <v>211</v>
      </c>
      <c r="O78" s="353"/>
      <c r="P78" s="354"/>
      <c r="Q78" s="1" t="str">
        <f t="shared" si="33"/>
        <v>2:輸入費用</v>
      </c>
      <c r="S78" s="76"/>
      <c r="T78" s="1">
        <f t="shared" si="34"/>
        <v>0</v>
      </c>
      <c r="W78" s="1">
        <f t="shared" si="24"/>
        <v>1</v>
      </c>
      <c r="X78" s="1">
        <v>2</v>
      </c>
      <c r="Y78" s="1">
        <f t="shared" si="25"/>
        <v>1</v>
      </c>
      <c r="AA78" s="1" t="str">
        <f t="shared" si="26"/>
        <v>&lt;=43646</v>
      </c>
      <c r="AB78" s="1" t="str">
        <f t="shared" si="27"/>
        <v>&gt;=43646</v>
      </c>
      <c r="AD78" s="1">
        <v>5</v>
      </c>
    </row>
    <row r="79" spans="1:30" ht="14.1" customHeight="1">
      <c r="A79" s="399" t="s">
        <v>43</v>
      </c>
      <c r="B79" s="400"/>
      <c r="C79" s="238" t="s">
        <v>44</v>
      </c>
      <c r="D79" s="405"/>
      <c r="E79" s="406"/>
      <c r="F79" s="246"/>
      <c r="G79" s="277">
        <f t="shared" ref="G79:G85" si="35">IF(A79&lt;&gt;"",$P$4,0)</f>
        <v>10600</v>
      </c>
      <c r="H79" s="247" t="s">
        <v>14</v>
      </c>
      <c r="I79" s="252" t="str">
        <f t="shared" si="32"/>
        <v/>
      </c>
      <c r="J79" s="253">
        <f t="shared" si="22"/>
        <v>1</v>
      </c>
      <c r="K79" s="403" t="str">
        <f t="shared" si="29"/>
        <v/>
      </c>
      <c r="L79" s="404"/>
      <c r="M79" s="212">
        <v>43646</v>
      </c>
      <c r="N79" s="353" t="s">
        <v>212</v>
      </c>
      <c r="O79" s="353"/>
      <c r="P79" s="354"/>
      <c r="Q79" s="1" t="str">
        <f t="shared" si="33"/>
        <v>1:証紙</v>
      </c>
      <c r="S79" s="76"/>
      <c r="T79" s="1">
        <f t="shared" si="34"/>
        <v>0</v>
      </c>
      <c r="W79" s="1">
        <f t="shared" si="24"/>
        <v>1</v>
      </c>
      <c r="X79" s="1">
        <v>2</v>
      </c>
      <c r="Y79" s="1">
        <f t="shared" si="25"/>
        <v>1</v>
      </c>
      <c r="AA79" s="1" t="str">
        <f t="shared" si="26"/>
        <v>&lt;=43646</v>
      </c>
      <c r="AB79" s="1" t="str">
        <f t="shared" si="27"/>
        <v>&gt;=43646</v>
      </c>
      <c r="AD79" s="1">
        <v>5</v>
      </c>
    </row>
    <row r="80" spans="1:30" ht="14.1" customHeight="1">
      <c r="A80" s="407" t="s">
        <v>45</v>
      </c>
      <c r="B80" s="408"/>
      <c r="C80" s="239" t="s">
        <v>152</v>
      </c>
      <c r="D80" s="405">
        <v>0.04</v>
      </c>
      <c r="E80" s="406"/>
      <c r="F80" s="246"/>
      <c r="G80" s="277">
        <f t="shared" si="35"/>
        <v>10600</v>
      </c>
      <c r="H80" s="247" t="s">
        <v>14</v>
      </c>
      <c r="I80" s="252">
        <f t="shared" si="32"/>
        <v>63.428100000000001</v>
      </c>
      <c r="J80" s="253">
        <f t="shared" si="22"/>
        <v>1</v>
      </c>
      <c r="K80" s="403">
        <f t="shared" si="29"/>
        <v>672337.86</v>
      </c>
      <c r="L80" s="404"/>
      <c r="M80" s="212">
        <v>43646</v>
      </c>
      <c r="N80" s="396" t="s">
        <v>207</v>
      </c>
      <c r="O80" s="397"/>
      <c r="P80" s="398"/>
      <c r="Q80" s="1" t="str">
        <f t="shared" si="33"/>
        <v>3:関税</v>
      </c>
      <c r="S80" s="76"/>
      <c r="T80" s="1">
        <f t="shared" si="34"/>
        <v>672337.86</v>
      </c>
      <c r="W80" s="1">
        <f t="shared" si="24"/>
        <v>1</v>
      </c>
      <c r="X80" s="1">
        <v>2</v>
      </c>
      <c r="Y80" s="1">
        <f t="shared" si="25"/>
        <v>1</v>
      </c>
      <c r="AA80" s="1" t="str">
        <f t="shared" si="26"/>
        <v>&lt;=43646</v>
      </c>
      <c r="AB80" s="1" t="str">
        <f t="shared" si="27"/>
        <v>&gt;=43646</v>
      </c>
      <c r="AD80" s="1">
        <v>5</v>
      </c>
    </row>
    <row r="81" spans="1:30" ht="14.1" customHeight="1">
      <c r="A81" s="407" t="s">
        <v>50</v>
      </c>
      <c r="B81" s="408"/>
      <c r="C81" s="239" t="s">
        <v>158</v>
      </c>
      <c r="D81" s="405"/>
      <c r="E81" s="406"/>
      <c r="F81" s="246"/>
      <c r="G81" s="277">
        <f t="shared" si="35"/>
        <v>10600</v>
      </c>
      <c r="H81" s="247" t="s">
        <v>14</v>
      </c>
      <c r="I81" s="252" t="str">
        <f t="shared" si="32"/>
        <v/>
      </c>
      <c r="J81" s="253">
        <f t="shared" si="22"/>
        <v>0</v>
      </c>
      <c r="K81" s="403" t="str">
        <f t="shared" si="29"/>
        <v/>
      </c>
      <c r="L81" s="404"/>
      <c r="M81" s="255"/>
      <c r="N81" s="396"/>
      <c r="O81" s="397"/>
      <c r="P81" s="398"/>
      <c r="Q81" s="1" t="str">
        <f t="shared" si="33"/>
        <v>3:運賃(FEDEX、BLPなど)</v>
      </c>
      <c r="S81" s="230"/>
      <c r="T81" s="1">
        <f t="shared" si="34"/>
        <v>0</v>
      </c>
      <c r="W81" s="1">
        <f t="shared" si="24"/>
        <v>1</v>
      </c>
      <c r="X81" s="1">
        <v>2</v>
      </c>
      <c r="Y81" s="1">
        <f t="shared" si="25"/>
        <v>1</v>
      </c>
      <c r="AA81" s="1" t="str">
        <f t="shared" si="26"/>
        <v>&lt;=</v>
      </c>
      <c r="AB81" s="1" t="str">
        <f t="shared" si="27"/>
        <v>&gt;=</v>
      </c>
      <c r="AD81" s="1">
        <v>5</v>
      </c>
    </row>
    <row r="82" spans="1:30" ht="14.1" customHeight="1">
      <c r="A82" s="407" t="s">
        <v>45</v>
      </c>
      <c r="B82" s="408"/>
      <c r="C82" s="239" t="s">
        <v>39</v>
      </c>
      <c r="D82" s="405"/>
      <c r="E82" s="406"/>
      <c r="F82" s="246"/>
      <c r="G82" s="277">
        <f t="shared" si="35"/>
        <v>10600</v>
      </c>
      <c r="H82" s="247" t="s">
        <v>14</v>
      </c>
      <c r="I82" s="252" t="str">
        <f t="shared" si="32"/>
        <v/>
      </c>
      <c r="J82" s="253">
        <f t="shared" si="22"/>
        <v>0</v>
      </c>
      <c r="K82" s="403" t="str">
        <f t="shared" si="29"/>
        <v/>
      </c>
      <c r="L82" s="404"/>
      <c r="M82" s="255"/>
      <c r="N82" s="396"/>
      <c r="O82" s="397"/>
      <c r="P82" s="398"/>
      <c r="Q82" s="1" t="str">
        <f t="shared" si="33"/>
        <v>99:－</v>
      </c>
      <c r="S82" s="230"/>
      <c r="T82" s="1">
        <f t="shared" si="34"/>
        <v>0</v>
      </c>
      <c r="W82" s="1">
        <f t="shared" si="24"/>
        <v>1</v>
      </c>
      <c r="X82" s="1">
        <v>2</v>
      </c>
      <c r="Y82" s="1">
        <f t="shared" si="25"/>
        <v>1</v>
      </c>
      <c r="AA82" s="1" t="str">
        <f t="shared" si="26"/>
        <v>&lt;=</v>
      </c>
      <c r="AB82" s="1" t="str">
        <f t="shared" si="27"/>
        <v>&gt;=</v>
      </c>
      <c r="AD82" s="1">
        <v>5</v>
      </c>
    </row>
    <row r="83" spans="1:30" ht="14.1" customHeight="1" thickBot="1">
      <c r="A83" s="407"/>
      <c r="B83" s="408"/>
      <c r="C83" s="239"/>
      <c r="D83" s="405"/>
      <c r="E83" s="406"/>
      <c r="F83" s="246"/>
      <c r="G83" s="277">
        <f t="shared" si="35"/>
        <v>0</v>
      </c>
      <c r="H83" s="247" t="s">
        <v>14</v>
      </c>
      <c r="I83" s="252" t="str">
        <f t="shared" si="32"/>
        <v/>
      </c>
      <c r="J83" s="253">
        <f t="shared" si="22"/>
        <v>0</v>
      </c>
      <c r="K83" s="403" t="str">
        <f t="shared" si="29"/>
        <v/>
      </c>
      <c r="L83" s="404"/>
      <c r="M83" s="212"/>
      <c r="N83" s="396" t="s">
        <v>208</v>
      </c>
      <c r="O83" s="397"/>
      <c r="P83" s="398"/>
      <c r="Q83" s="1">
        <f t="shared" si="33"/>
        <v>0</v>
      </c>
      <c r="S83" s="78"/>
      <c r="T83" s="1">
        <f t="shared" si="34"/>
        <v>0</v>
      </c>
      <c r="W83" s="1">
        <f t="shared" si="24"/>
        <v>1</v>
      </c>
      <c r="X83" s="1">
        <v>2</v>
      </c>
      <c r="Y83" s="1">
        <f t="shared" si="25"/>
        <v>1</v>
      </c>
      <c r="AA83" s="1" t="str">
        <f t="shared" si="26"/>
        <v>&lt;=</v>
      </c>
      <c r="AB83" s="1" t="str">
        <f t="shared" si="27"/>
        <v>&gt;=</v>
      </c>
      <c r="AD83" s="1">
        <v>5</v>
      </c>
    </row>
    <row r="84" spans="1:30" ht="14.1" customHeight="1">
      <c r="A84" s="407"/>
      <c r="B84" s="408"/>
      <c r="C84" s="240"/>
      <c r="D84" s="405"/>
      <c r="E84" s="406"/>
      <c r="F84" s="248"/>
      <c r="G84" s="278">
        <f t="shared" si="35"/>
        <v>0</v>
      </c>
      <c r="H84" s="249"/>
      <c r="I84" s="252" t="str">
        <f t="shared" si="32"/>
        <v/>
      </c>
      <c r="J84" s="253">
        <f t="shared" si="22"/>
        <v>0</v>
      </c>
      <c r="K84" s="403" t="str">
        <f t="shared" si="29"/>
        <v/>
      </c>
      <c r="L84" s="404"/>
      <c r="M84" s="256"/>
      <c r="N84" s="396"/>
      <c r="O84" s="397"/>
      <c r="P84" s="398"/>
      <c r="Q84" s="1">
        <f t="shared" si="33"/>
        <v>0</v>
      </c>
      <c r="S84" s="231"/>
      <c r="T84" s="1">
        <f t="shared" si="34"/>
        <v>0</v>
      </c>
      <c r="W84" s="1">
        <f t="shared" si="24"/>
        <v>1</v>
      </c>
      <c r="X84" s="1">
        <v>2</v>
      </c>
      <c r="Y84" s="1">
        <f t="shared" si="25"/>
        <v>1</v>
      </c>
      <c r="AA84" s="1" t="str">
        <f t="shared" si="26"/>
        <v>&lt;=</v>
      </c>
      <c r="AB84" s="1" t="str">
        <f t="shared" si="27"/>
        <v>&gt;=</v>
      </c>
      <c r="AD84" s="1">
        <v>5</v>
      </c>
    </row>
    <row r="85" spans="1:30" ht="14.1" customHeight="1">
      <c r="A85" s="407"/>
      <c r="B85" s="408"/>
      <c r="C85" s="240"/>
      <c r="D85" s="405"/>
      <c r="E85" s="406"/>
      <c r="F85" s="248"/>
      <c r="G85" s="278">
        <f t="shared" si="35"/>
        <v>0</v>
      </c>
      <c r="H85" s="249"/>
      <c r="I85" s="252" t="str">
        <f t="shared" si="32"/>
        <v/>
      </c>
      <c r="J85" s="253">
        <f t="shared" si="22"/>
        <v>0</v>
      </c>
      <c r="K85" s="403" t="str">
        <f t="shared" si="29"/>
        <v/>
      </c>
      <c r="L85" s="404"/>
      <c r="M85" s="256"/>
      <c r="N85" s="396"/>
      <c r="O85" s="397"/>
      <c r="P85" s="398"/>
      <c r="Q85" s="1">
        <f t="shared" si="33"/>
        <v>0</v>
      </c>
      <c r="S85" s="231"/>
      <c r="T85" s="1">
        <f t="shared" si="34"/>
        <v>0</v>
      </c>
      <c r="W85" s="1">
        <f t="shared" si="24"/>
        <v>1</v>
      </c>
      <c r="X85" s="1">
        <v>2</v>
      </c>
      <c r="Y85" s="1">
        <f t="shared" si="25"/>
        <v>1</v>
      </c>
      <c r="AA85" s="1" t="str">
        <f t="shared" si="26"/>
        <v>&lt;=</v>
      </c>
      <c r="AB85" s="1" t="str">
        <f t="shared" si="27"/>
        <v>&gt;=</v>
      </c>
      <c r="AD85" s="1">
        <v>5</v>
      </c>
    </row>
    <row r="86" spans="1:30" ht="14.1" customHeight="1" thickBot="1">
      <c r="A86" s="421"/>
      <c r="B86" s="422"/>
      <c r="C86" s="241"/>
      <c r="D86" s="423"/>
      <c r="E86" s="424"/>
      <c r="F86" s="250"/>
      <c r="G86" s="279"/>
      <c r="H86" s="251"/>
      <c r="I86" s="270"/>
      <c r="J86" s="254"/>
      <c r="K86" s="425"/>
      <c r="L86" s="426"/>
      <c r="M86" s="257"/>
      <c r="N86" s="427"/>
      <c r="O86" s="428"/>
      <c r="P86" s="429"/>
      <c r="Q86" s="1">
        <f t="shared" si="33"/>
        <v>0</v>
      </c>
      <c r="T86" s="1">
        <f t="shared" si="34"/>
        <v>0</v>
      </c>
      <c r="W86" s="1">
        <f t="shared" si="24"/>
        <v>1</v>
      </c>
      <c r="X86" s="1">
        <v>2</v>
      </c>
      <c r="Y86" s="1">
        <f t="shared" si="25"/>
        <v>1</v>
      </c>
      <c r="AA86" s="1" t="str">
        <f t="shared" si="26"/>
        <v>&lt;=</v>
      </c>
      <c r="AB86" s="1" t="str">
        <f t="shared" si="27"/>
        <v>&gt;=</v>
      </c>
      <c r="AD86" s="1">
        <v>5</v>
      </c>
    </row>
    <row r="87" spans="1:30" ht="6" customHeight="1" thickBot="1">
      <c r="A87" s="242"/>
      <c r="B87" s="243"/>
      <c r="C87" s="243"/>
      <c r="D87" s="243"/>
      <c r="E87" s="243"/>
      <c r="F87" s="243"/>
      <c r="G87" s="244"/>
      <c r="H87" s="244"/>
      <c r="I87" s="245"/>
      <c r="J87" s="245"/>
      <c r="K87" s="245"/>
      <c r="L87" s="245"/>
      <c r="M87" s="29"/>
      <c r="N87" s="409"/>
      <c r="O87" s="409"/>
      <c r="P87" s="410"/>
    </row>
    <row r="88" spans="1:30" ht="16.5" customHeight="1">
      <c r="A88" s="411" t="s">
        <v>240</v>
      </c>
      <c r="B88" s="412"/>
      <c r="C88" s="272">
        <f>I16</f>
        <v>9564617.2839000002</v>
      </c>
      <c r="D88" s="129"/>
      <c r="E88" s="413" t="s">
        <v>239</v>
      </c>
      <c r="F88" s="414"/>
      <c r="G88" s="412"/>
      <c r="H88" s="415">
        <f>I31</f>
        <v>236100</v>
      </c>
      <c r="I88" s="416"/>
      <c r="J88" s="258"/>
      <c r="K88" s="130"/>
      <c r="L88" s="417" t="s">
        <v>241</v>
      </c>
      <c r="M88" s="418"/>
      <c r="N88" s="419">
        <f>C88+H88</f>
        <v>9800717.2839000002</v>
      </c>
      <c r="O88" s="420"/>
      <c r="P88" s="131"/>
    </row>
    <row r="89" spans="1:30" ht="16.5" customHeight="1">
      <c r="A89" s="440" t="s">
        <v>261</v>
      </c>
      <c r="B89" s="441"/>
      <c r="C89" s="273">
        <f>C88-K94</f>
        <v>-15839719.176100001</v>
      </c>
      <c r="D89" s="158">
        <f>C89/C88</f>
        <v>-1.6560745407725619</v>
      </c>
      <c r="E89" s="442" t="s">
        <v>262</v>
      </c>
      <c r="F89" s="443"/>
      <c r="G89" s="444"/>
      <c r="H89" s="445">
        <f>H88-N58</f>
        <v>156100</v>
      </c>
      <c r="I89" s="446"/>
      <c r="J89" s="259"/>
      <c r="K89" s="158">
        <f>H89/H88</f>
        <v>0.66116052520118596</v>
      </c>
      <c r="L89" s="442" t="s">
        <v>250</v>
      </c>
      <c r="M89" s="444"/>
      <c r="N89" s="447">
        <f>C89+H89</f>
        <v>-15683619.176100001</v>
      </c>
      <c r="O89" s="448"/>
      <c r="P89" s="126">
        <f>N89/N88</f>
        <v>-1.6002521776507175</v>
      </c>
    </row>
    <row r="90" spans="1:30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49" t="s">
        <v>242</v>
      </c>
      <c r="L90" s="450"/>
      <c r="M90" s="451"/>
      <c r="N90" s="452">
        <f>ROUNDDOWN((N88*P90),0)</f>
        <v>595883</v>
      </c>
      <c r="O90" s="453"/>
      <c r="P90" s="183">
        <v>6.08E-2</v>
      </c>
    </row>
    <row r="91" spans="1:30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30" t="s">
        <v>248</v>
      </c>
      <c r="L91" s="431"/>
      <c r="M91" s="432"/>
      <c r="N91" s="433">
        <f>N89-N90</f>
        <v>-16279502.176100001</v>
      </c>
      <c r="O91" s="434"/>
      <c r="P91" s="127">
        <f>N91/N88</f>
        <v>-1.6610521153225122</v>
      </c>
    </row>
    <row r="92" spans="1:30" ht="16.5" customHeight="1">
      <c r="A92" s="435" t="s">
        <v>46</v>
      </c>
      <c r="B92" s="436"/>
      <c r="C92" s="437" t="s">
        <v>253</v>
      </c>
      <c r="D92" s="437"/>
      <c r="E92" s="437"/>
      <c r="F92" s="437"/>
      <c r="G92" s="30">
        <f>$P$4</f>
        <v>10600</v>
      </c>
      <c r="H92" s="31"/>
      <c r="I92" s="32">
        <f>IF(G92&gt;0,K92/G92,)</f>
        <v>1440.0479679245282</v>
      </c>
      <c r="J92" s="32"/>
      <c r="K92" s="438">
        <f>SUMIF(F61:F86,"&lt;&gt;"&amp;hdn_payoff_circle,K61:K86)</f>
        <v>15264508.459999999</v>
      </c>
      <c r="L92" s="438"/>
      <c r="M92" s="32"/>
      <c r="N92" s="439"/>
      <c r="O92" s="439"/>
      <c r="P92" s="118"/>
    </row>
    <row r="93" spans="1:30" ht="16.5" customHeight="1">
      <c r="A93" s="456" t="s">
        <v>47</v>
      </c>
      <c r="B93" s="457"/>
      <c r="C93" s="458" t="s">
        <v>254</v>
      </c>
      <c r="D93" s="458"/>
      <c r="E93" s="458"/>
      <c r="F93" s="458"/>
      <c r="G93" s="33">
        <f>$P$4</f>
        <v>10600</v>
      </c>
      <c r="H93" s="34"/>
      <c r="I93" s="117">
        <f>IF(G93&gt;0,K93/G93,)</f>
        <v>956.58754716981127</v>
      </c>
      <c r="J93" s="92"/>
      <c r="K93" s="459">
        <f>SUMIF(F34:F86,hdn_payoff_circle,K34:K86)</f>
        <v>10139828</v>
      </c>
      <c r="L93" s="460"/>
      <c r="M93" s="92"/>
      <c r="N93" s="461"/>
      <c r="O93" s="462"/>
      <c r="P93" s="35"/>
    </row>
    <row r="94" spans="1:30" ht="16.5" customHeight="1" thickBot="1">
      <c r="A94" s="463" t="s">
        <v>251</v>
      </c>
      <c r="B94" s="464"/>
      <c r="C94" s="465" t="s">
        <v>252</v>
      </c>
      <c r="D94" s="465"/>
      <c r="E94" s="465"/>
      <c r="F94" s="465"/>
      <c r="G94" s="232">
        <f>$P$4</f>
        <v>10600</v>
      </c>
      <c r="H94" s="233"/>
      <c r="I94" s="115">
        <f>IF(G94&gt;0,K94/G94,)</f>
        <v>2396.6355150943396</v>
      </c>
      <c r="J94" s="228"/>
      <c r="K94" s="466">
        <f>SUM(K92:K93)</f>
        <v>25404336.460000001</v>
      </c>
      <c r="L94" s="467"/>
      <c r="M94" s="430" t="s">
        <v>245</v>
      </c>
      <c r="N94" s="432"/>
      <c r="O94" s="466">
        <f>N58</f>
        <v>80000</v>
      </c>
      <c r="P94" s="468"/>
    </row>
    <row r="95" spans="1:30" ht="16.5" customHeight="1">
      <c r="A95" s="454" t="s">
        <v>48</v>
      </c>
      <c r="B95" s="454"/>
      <c r="C95" s="454"/>
      <c r="D95" s="454"/>
      <c r="E95" s="454"/>
      <c r="F95" s="454"/>
      <c r="G95" s="454"/>
      <c r="H95" s="260"/>
      <c r="I95" s="455" t="s">
        <v>66</v>
      </c>
      <c r="J95" s="455"/>
      <c r="K95" s="455"/>
      <c r="L95" s="455"/>
      <c r="M95" s="455"/>
      <c r="N95" s="455"/>
      <c r="O95" s="455"/>
      <c r="P95" s="455"/>
    </row>
    <row r="96" spans="1:30" ht="9" customHeight="1">
      <c r="A96" s="409" t="s">
        <v>67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</row>
    <row r="97" spans="1:29" ht="9" customHeight="1">
      <c r="A97" s="284"/>
      <c r="B97" s="285">
        <f>SUMIF(A34:A57,hdn_mold_overseas_depreciation,K34:K57)+SUMIF(A61:A76,hdn_import_parts_cost,K61:K76)</f>
        <v>16808465.82</v>
      </c>
      <c r="C97" s="286" t="s">
        <v>163</v>
      </c>
      <c r="D97" s="284"/>
      <c r="E97" s="284"/>
      <c r="F97" s="284"/>
      <c r="G97" s="284"/>
      <c r="H97" s="284"/>
      <c r="I97" s="284"/>
      <c r="J97" s="284"/>
      <c r="K97" s="284"/>
      <c r="L97" s="284"/>
      <c r="M97" s="284"/>
      <c r="N97" s="284"/>
      <c r="O97" s="284"/>
      <c r="P97" s="284"/>
    </row>
    <row r="98" spans="1:29" ht="9" customHeight="1">
      <c r="A98" s="284"/>
      <c r="B98" s="285">
        <f>SUMIF(A61:A86,hdn_material_parts_cost,K61:K86)+SUMIF(A61:A86,hdn_import_parts_cost,K61:K86)+SUMIF(A34:A56,hdn_material_tools_cost,K34:K56)</f>
        <v>13808215.82</v>
      </c>
      <c r="C98" s="286" t="s">
        <v>156</v>
      </c>
      <c r="D98" s="284"/>
      <c r="E98" s="284"/>
      <c r="F98" s="284"/>
      <c r="G98" s="284"/>
      <c r="H98" s="284"/>
      <c r="I98" s="284"/>
      <c r="J98" s="284"/>
      <c r="K98" s="284"/>
      <c r="L98" s="284"/>
      <c r="M98" s="284"/>
      <c r="N98" s="284"/>
      <c r="O98" s="284"/>
      <c r="P98" s="284"/>
    </row>
    <row r="99" spans="1:29" ht="9" customHeight="1">
      <c r="A99" s="284"/>
      <c r="B99" s="287">
        <f>SUMIF(A34:A57,hdn_mold_overseas_depreciation,K34:K57)+SUMIF(A61:A76,hdn_import_parts_cost,K61:K76)</f>
        <v>16808465.82</v>
      </c>
      <c r="C99" s="282" t="s">
        <v>199</v>
      </c>
      <c r="D99" s="284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</row>
    <row r="100" spans="1:29" ht="9" customHeight="1">
      <c r="A100" s="284"/>
      <c r="B100" s="286">
        <f>SUMIF(C61:C83,hdn_mass_product,K61:K83)</f>
        <v>6868637.8199999994</v>
      </c>
      <c r="C100" s="282" t="s">
        <v>292</v>
      </c>
      <c r="D100" s="284"/>
      <c r="E100" s="284"/>
      <c r="F100" s="284"/>
      <c r="G100" s="284"/>
      <c r="H100" s="284"/>
      <c r="I100" s="284"/>
      <c r="J100" s="284"/>
      <c r="K100" s="284"/>
      <c r="L100" s="284"/>
      <c r="M100" s="284"/>
      <c r="N100" s="284"/>
      <c r="O100" s="284"/>
      <c r="P100" s="284"/>
    </row>
    <row r="101" spans="1:29" ht="9" customHeight="1">
      <c r="A101" s="284"/>
      <c r="B101" s="282">
        <f>SUM(T77:T86)</f>
        <v>1176591.52</v>
      </c>
      <c r="C101" s="282" t="s">
        <v>321</v>
      </c>
      <c r="D101" s="284"/>
      <c r="E101" s="284"/>
      <c r="F101" s="284"/>
      <c r="G101" s="284"/>
      <c r="H101" s="284"/>
      <c r="I101" s="284"/>
      <c r="J101" s="284"/>
      <c r="K101" s="284"/>
      <c r="L101" s="284"/>
      <c r="M101" s="284"/>
      <c r="N101" s="284"/>
      <c r="O101" s="284"/>
      <c r="P101" s="284"/>
    </row>
    <row r="102" spans="1:29" ht="9" customHeight="1">
      <c r="A102" s="284"/>
      <c r="B102" s="288">
        <f>calculation_tariff+tariff_total</f>
        <v>17985057.34</v>
      </c>
      <c r="C102" s="282" t="s">
        <v>293</v>
      </c>
      <c r="D102" s="284"/>
      <c r="E102" s="284"/>
      <c r="F102" s="284"/>
      <c r="G102" s="284"/>
      <c r="H102" s="284"/>
      <c r="I102" s="284"/>
      <c r="J102" s="284"/>
      <c r="K102" s="284"/>
      <c r="L102" s="284"/>
      <c r="M102" s="284"/>
      <c r="N102" s="284"/>
      <c r="O102" s="284"/>
      <c r="P102" s="284"/>
    </row>
    <row r="103" spans="1:29" ht="66">
      <c r="O103" s="283"/>
      <c r="Q103" s="1" t="s">
        <v>320</v>
      </c>
      <c r="Y103" s="264" t="s">
        <v>282</v>
      </c>
      <c r="Z103" s="264" t="s">
        <v>283</v>
      </c>
      <c r="AA103" s="264" t="s">
        <v>284</v>
      </c>
      <c r="AB103" s="264" t="s">
        <v>285</v>
      </c>
      <c r="AC103" s="264" t="s">
        <v>286</v>
      </c>
    </row>
    <row r="104" spans="1:29" s="42" customFormat="1" ht="86.4">
      <c r="B104" s="38" t="s">
        <v>33</v>
      </c>
      <c r="C104" s="38" t="s">
        <v>29</v>
      </c>
      <c r="D104" s="39" t="s">
        <v>68</v>
      </c>
      <c r="E104" s="39"/>
      <c r="F104" s="40" t="s">
        <v>318</v>
      </c>
      <c r="G104" s="38" t="s">
        <v>41</v>
      </c>
      <c r="H104" s="38" t="s">
        <v>49</v>
      </c>
      <c r="I104" s="38"/>
      <c r="J104" s="38" t="s">
        <v>318</v>
      </c>
      <c r="K104" s="38" t="s">
        <v>45</v>
      </c>
      <c r="L104" s="38" t="s">
        <v>50</v>
      </c>
      <c r="M104" s="41" t="s">
        <v>6</v>
      </c>
      <c r="N104" s="42" t="s">
        <v>197</v>
      </c>
      <c r="Q104" s="42" t="s">
        <v>233</v>
      </c>
      <c r="U104" s="93" t="s">
        <v>264</v>
      </c>
      <c r="V104" s="93" t="s">
        <v>265</v>
      </c>
      <c r="W104" s="93" t="s">
        <v>296</v>
      </c>
      <c r="X104" s="93"/>
      <c r="Y104" s="265">
        <v>2</v>
      </c>
      <c r="Z104" s="265">
        <v>1</v>
      </c>
      <c r="AA104" s="266">
        <v>1</v>
      </c>
      <c r="AB104" s="267">
        <v>153</v>
      </c>
      <c r="AC104" s="267">
        <v>2958465</v>
      </c>
    </row>
    <row r="105" spans="1:29" s="42" customFormat="1" ht="13.2">
      <c r="B105" s="38"/>
      <c r="C105" s="38"/>
      <c r="D105" s="39"/>
      <c r="E105" s="39"/>
      <c r="F105" s="40"/>
      <c r="G105" s="38"/>
      <c r="H105" s="38"/>
      <c r="I105" s="38"/>
      <c r="J105" s="38"/>
      <c r="K105" s="38"/>
      <c r="L105" s="38"/>
      <c r="M105" s="41"/>
      <c r="O105" s="42" t="s">
        <v>69</v>
      </c>
      <c r="P105" s="42">
        <v>1</v>
      </c>
      <c r="Y105" s="265">
        <v>2</v>
      </c>
      <c r="Z105" s="265">
        <v>2</v>
      </c>
      <c r="AA105" s="266">
        <v>111</v>
      </c>
      <c r="AB105" s="267">
        <v>43617</v>
      </c>
      <c r="AC105" s="267">
        <v>43646</v>
      </c>
    </row>
    <row r="106" spans="1:29" s="42" customFormat="1" ht="54">
      <c r="B106" s="43" t="s">
        <v>70</v>
      </c>
      <c r="C106" s="43" t="s">
        <v>71</v>
      </c>
      <c r="D106" s="40" t="s">
        <v>72</v>
      </c>
      <c r="E106" s="40"/>
      <c r="F106" s="43" t="s">
        <v>84</v>
      </c>
      <c r="G106" s="43" t="s">
        <v>74</v>
      </c>
      <c r="H106" s="43" t="s">
        <v>75</v>
      </c>
      <c r="I106" s="43"/>
      <c r="J106" s="43" t="s">
        <v>73</v>
      </c>
      <c r="K106" s="43" t="s">
        <v>76</v>
      </c>
      <c r="L106" s="43" t="s">
        <v>77</v>
      </c>
      <c r="M106" s="41" t="s">
        <v>78</v>
      </c>
      <c r="N106" s="45" t="s">
        <v>79</v>
      </c>
      <c r="O106" s="42" t="s">
        <v>80</v>
      </c>
      <c r="P106" s="42">
        <v>2</v>
      </c>
      <c r="Q106" s="39" t="s">
        <v>68</v>
      </c>
      <c r="U106" s="42" t="s">
        <v>266</v>
      </c>
      <c r="V106" s="42" t="s">
        <v>267</v>
      </c>
      <c r="W106" s="42" t="s">
        <v>233</v>
      </c>
      <c r="Y106" s="265">
        <v>2</v>
      </c>
      <c r="Z106" s="265">
        <v>3</v>
      </c>
      <c r="AA106" s="266">
        <v>14.18</v>
      </c>
      <c r="AB106" s="267">
        <v>43617</v>
      </c>
      <c r="AC106" s="267">
        <v>43646</v>
      </c>
    </row>
    <row r="107" spans="1:29" s="42" customFormat="1" ht="32.4">
      <c r="B107" s="43" t="s">
        <v>81</v>
      </c>
      <c r="C107" s="43" t="s">
        <v>82</v>
      </c>
      <c r="D107" s="40" t="s">
        <v>83</v>
      </c>
      <c r="E107" s="40"/>
      <c r="F107" s="43" t="s">
        <v>90</v>
      </c>
      <c r="G107" s="43" t="s">
        <v>85</v>
      </c>
      <c r="H107" s="43" t="s">
        <v>86</v>
      </c>
      <c r="I107" s="43"/>
      <c r="J107" s="43"/>
      <c r="K107" s="41" t="s">
        <v>204</v>
      </c>
      <c r="L107" s="41" t="s">
        <v>158</v>
      </c>
      <c r="M107" s="41" t="s">
        <v>87</v>
      </c>
      <c r="N107" s="45"/>
      <c r="O107" s="42" t="s">
        <v>260</v>
      </c>
      <c r="P107" s="42">
        <v>3</v>
      </c>
      <c r="Q107" s="40" t="s">
        <v>43</v>
      </c>
      <c r="W107" s="42" t="s">
        <v>297</v>
      </c>
      <c r="Y107" s="265">
        <v>2</v>
      </c>
      <c r="Z107" s="265">
        <v>2</v>
      </c>
      <c r="AA107" s="266">
        <v>111</v>
      </c>
      <c r="AB107" s="267">
        <v>43647</v>
      </c>
      <c r="AC107" s="267">
        <v>43677</v>
      </c>
    </row>
    <row r="108" spans="1:29" s="42" customFormat="1" ht="43.2">
      <c r="B108" s="43" t="s">
        <v>88</v>
      </c>
      <c r="C108" s="43" t="s">
        <v>51</v>
      </c>
      <c r="D108" s="40" t="s">
        <v>89</v>
      </c>
      <c r="E108" s="40"/>
      <c r="F108" s="43" t="s">
        <v>97</v>
      </c>
      <c r="G108" s="43" t="s">
        <v>91</v>
      </c>
      <c r="H108" s="43" t="s">
        <v>92</v>
      </c>
      <c r="I108" s="43"/>
      <c r="J108" s="43"/>
      <c r="K108" s="43" t="s">
        <v>152</v>
      </c>
      <c r="L108" s="41" t="s">
        <v>159</v>
      </c>
      <c r="M108" s="41" t="s">
        <v>93</v>
      </c>
      <c r="N108" s="45" t="s">
        <v>198</v>
      </c>
      <c r="Q108" s="38" t="s">
        <v>41</v>
      </c>
      <c r="W108" s="42" t="s">
        <v>298</v>
      </c>
      <c r="Y108" s="265">
        <v>2</v>
      </c>
      <c r="Z108" s="265">
        <v>3</v>
      </c>
      <c r="AA108" s="266">
        <v>15.18</v>
      </c>
      <c r="AB108" s="267">
        <v>43647</v>
      </c>
      <c r="AC108" s="267">
        <v>43677</v>
      </c>
    </row>
    <row r="109" spans="1:29" s="42" customFormat="1" ht="13.5" customHeight="1">
      <c r="B109" s="43" t="s">
        <v>94</v>
      </c>
      <c r="C109" s="43" t="s">
        <v>95</v>
      </c>
      <c r="D109" s="40" t="s">
        <v>96</v>
      </c>
      <c r="E109" s="40"/>
      <c r="F109" s="43" t="s">
        <v>103</v>
      </c>
      <c r="G109" s="43" t="s">
        <v>98</v>
      </c>
      <c r="H109" s="43" t="s">
        <v>52</v>
      </c>
      <c r="I109" s="43"/>
      <c r="J109" s="43"/>
      <c r="K109" s="43" t="s">
        <v>52</v>
      </c>
      <c r="L109" s="49" t="s">
        <v>52</v>
      </c>
      <c r="M109" s="41" t="s">
        <v>99</v>
      </c>
      <c r="Q109" s="38" t="s">
        <v>33</v>
      </c>
      <c r="W109" s="42" t="s">
        <v>236</v>
      </c>
      <c r="Y109" s="265">
        <v>2</v>
      </c>
      <c r="Z109" s="265">
        <v>2</v>
      </c>
      <c r="AA109" s="266">
        <v>112</v>
      </c>
      <c r="AB109" s="267">
        <v>43678</v>
      </c>
      <c r="AC109" s="267">
        <v>43708</v>
      </c>
    </row>
    <row r="110" spans="1:29" s="42" customFormat="1" ht="13.5" customHeight="1">
      <c r="B110" s="43" t="s">
        <v>100</v>
      </c>
      <c r="C110" s="43" t="s">
        <v>101</v>
      </c>
      <c r="D110" s="40" t="s">
        <v>102</v>
      </c>
      <c r="E110" s="40"/>
      <c r="F110" s="41" t="s">
        <v>150</v>
      </c>
      <c r="G110" s="43" t="s">
        <v>104</v>
      </c>
      <c r="H110" s="48"/>
      <c r="I110" s="48"/>
      <c r="J110" s="48"/>
      <c r="K110" s="38"/>
      <c r="L110" s="41"/>
      <c r="M110" s="41" t="s">
        <v>105</v>
      </c>
      <c r="Y110" s="265">
        <v>2</v>
      </c>
      <c r="Z110" s="265">
        <v>3</v>
      </c>
      <c r="AA110" s="266">
        <v>16.18</v>
      </c>
      <c r="AB110" s="267">
        <v>43678</v>
      </c>
      <c r="AC110" s="267">
        <v>43708</v>
      </c>
    </row>
    <row r="111" spans="1:29" s="42" customFormat="1" ht="13.5" customHeight="1">
      <c r="B111" s="43" t="s">
        <v>106</v>
      </c>
      <c r="C111" s="43" t="s">
        <v>107</v>
      </c>
      <c r="D111" s="40" t="s">
        <v>108</v>
      </c>
      <c r="E111" s="40"/>
      <c r="F111" s="41" t="s">
        <v>109</v>
      </c>
      <c r="G111" s="43" t="s">
        <v>110</v>
      </c>
      <c r="H111" s="48"/>
      <c r="I111" s="48"/>
      <c r="J111" s="48"/>
      <c r="K111" s="38"/>
      <c r="L111" s="41"/>
      <c r="M111" s="41" t="s">
        <v>111</v>
      </c>
      <c r="Q111" s="43" t="s">
        <v>74</v>
      </c>
      <c r="Y111" s="265">
        <v>2</v>
      </c>
      <c r="Z111" s="265">
        <v>2</v>
      </c>
      <c r="AA111" s="266">
        <v>113</v>
      </c>
      <c r="AB111" s="267">
        <v>43709</v>
      </c>
      <c r="AC111" s="267">
        <v>43738</v>
      </c>
    </row>
    <row r="112" spans="1:29" s="42" customFormat="1" ht="13.5" customHeight="1">
      <c r="B112" s="41" t="s">
        <v>53</v>
      </c>
      <c r="C112" s="43" t="s">
        <v>112</v>
      </c>
      <c r="D112" s="40" t="s">
        <v>52</v>
      </c>
      <c r="E112" s="40"/>
      <c r="F112" s="41" t="s">
        <v>54</v>
      </c>
      <c r="G112" s="43" t="s">
        <v>113</v>
      </c>
      <c r="H112" s="48"/>
      <c r="I112" s="48"/>
      <c r="J112" s="48"/>
      <c r="K112" s="38"/>
      <c r="L112" s="38"/>
      <c r="M112" s="41" t="s">
        <v>114</v>
      </c>
      <c r="Y112" s="265">
        <v>2</v>
      </c>
      <c r="Z112" s="265">
        <v>3</v>
      </c>
      <c r="AA112" s="266">
        <v>14.28</v>
      </c>
      <c r="AB112" s="267">
        <v>43709</v>
      </c>
      <c r="AC112" s="267">
        <v>43738</v>
      </c>
    </row>
    <row r="113" spans="2:29" s="42" customFormat="1" ht="32.4">
      <c r="B113" s="48" t="s">
        <v>55</v>
      </c>
      <c r="C113" s="43" t="s">
        <v>115</v>
      </c>
      <c r="D113" s="40"/>
      <c r="E113" s="40"/>
      <c r="F113" s="43" t="s">
        <v>116</v>
      </c>
      <c r="G113" s="43" t="s">
        <v>117</v>
      </c>
      <c r="H113" s="48"/>
      <c r="I113" s="48"/>
      <c r="J113" s="48"/>
      <c r="K113" s="38"/>
      <c r="L113" s="38"/>
      <c r="M113" s="41" t="s">
        <v>118</v>
      </c>
      <c r="Q113" s="42" t="s">
        <v>204</v>
      </c>
      <c r="Y113" s="265">
        <v>2</v>
      </c>
      <c r="Z113" s="265">
        <v>2</v>
      </c>
      <c r="AA113" s="266">
        <v>114</v>
      </c>
      <c r="AB113" s="267">
        <v>43739</v>
      </c>
      <c r="AC113" s="267">
        <v>43769</v>
      </c>
    </row>
    <row r="114" spans="2:29" s="42" customFormat="1" ht="32.4">
      <c r="B114" s="43" t="s">
        <v>52</v>
      </c>
      <c r="C114" s="43" t="s">
        <v>52</v>
      </c>
      <c r="D114" s="40"/>
      <c r="E114" s="40"/>
      <c r="F114" s="43" t="s">
        <v>119</v>
      </c>
      <c r="G114" s="43" t="s">
        <v>120</v>
      </c>
      <c r="H114" s="48"/>
      <c r="I114" s="48"/>
      <c r="J114" s="48"/>
      <c r="K114" s="38"/>
      <c r="L114" s="38"/>
      <c r="M114" s="41" t="s">
        <v>121</v>
      </c>
      <c r="Q114" s="46" t="s">
        <v>152</v>
      </c>
      <c r="Y114" s="265">
        <v>2</v>
      </c>
      <c r="Z114" s="265">
        <v>3</v>
      </c>
      <c r="AA114" s="266">
        <v>16.18</v>
      </c>
      <c r="AB114" s="267">
        <v>43739</v>
      </c>
      <c r="AC114" s="267">
        <v>43769</v>
      </c>
    </row>
    <row r="115" spans="2:29" s="42" customFormat="1" ht="43.2">
      <c r="B115" s="48"/>
      <c r="C115" s="38"/>
      <c r="D115" s="40"/>
      <c r="E115" s="40"/>
      <c r="F115" s="43" t="s">
        <v>122</v>
      </c>
      <c r="G115" s="43" t="s">
        <v>123</v>
      </c>
      <c r="H115" s="48"/>
      <c r="I115" s="48"/>
      <c r="J115" s="48"/>
      <c r="K115" s="38"/>
      <c r="L115" s="38"/>
      <c r="M115" s="41" t="s">
        <v>154</v>
      </c>
      <c r="Y115" s="265">
        <v>2</v>
      </c>
      <c r="Z115" s="265">
        <v>2</v>
      </c>
      <c r="AA115" s="266">
        <v>115</v>
      </c>
      <c r="AB115" s="267">
        <v>43770</v>
      </c>
      <c r="AC115" s="267">
        <v>43799</v>
      </c>
    </row>
    <row r="116" spans="2:29" s="42" customFormat="1" ht="43.2">
      <c r="B116" s="48"/>
      <c r="C116" s="38"/>
      <c r="D116" s="40"/>
      <c r="E116" s="40"/>
      <c r="F116" s="43" t="s">
        <v>124</v>
      </c>
      <c r="G116" s="43" t="s">
        <v>125</v>
      </c>
      <c r="H116" s="48"/>
      <c r="I116" s="48"/>
      <c r="J116" s="48"/>
      <c r="K116" s="38"/>
      <c r="L116" s="38"/>
      <c r="M116" s="41" t="s">
        <v>323</v>
      </c>
      <c r="Q116" s="41" t="s">
        <v>154</v>
      </c>
      <c r="Y116" s="265">
        <v>2</v>
      </c>
      <c r="Z116" s="265">
        <v>3</v>
      </c>
      <c r="AA116" s="266">
        <v>15.11</v>
      </c>
      <c r="AB116" s="267">
        <v>43770</v>
      </c>
      <c r="AC116" s="267">
        <v>43799</v>
      </c>
    </row>
    <row r="117" spans="2:29" s="42" customFormat="1" ht="32.4">
      <c r="B117" s="48"/>
      <c r="C117" s="38"/>
      <c r="D117" s="40"/>
      <c r="E117" s="40"/>
      <c r="F117" s="43" t="s">
        <v>126</v>
      </c>
      <c r="G117" s="43" t="s">
        <v>127</v>
      </c>
      <c r="H117" s="48"/>
      <c r="I117" s="48"/>
      <c r="J117" s="48"/>
      <c r="K117" s="38"/>
      <c r="L117" s="38"/>
      <c r="M117" s="41" t="s">
        <v>324</v>
      </c>
    </row>
    <row r="118" spans="2:29" s="42" customFormat="1" ht="21.6">
      <c r="B118" s="48"/>
      <c r="C118" s="38"/>
      <c r="D118" s="40"/>
      <c r="E118" s="40"/>
      <c r="F118" s="43" t="s">
        <v>52</v>
      </c>
      <c r="G118" s="43" t="s">
        <v>128</v>
      </c>
      <c r="H118" s="48"/>
      <c r="I118" s="48"/>
      <c r="J118" s="48"/>
      <c r="K118" s="38"/>
      <c r="L118" s="38"/>
      <c r="M118" s="41" t="s">
        <v>52</v>
      </c>
    </row>
    <row r="119" spans="2:29" s="42" customFormat="1" ht="22.2">
      <c r="B119" s="48"/>
      <c r="C119" s="38"/>
      <c r="D119" s="40"/>
      <c r="E119" s="40"/>
      <c r="F119" s="43"/>
      <c r="G119" s="43" t="s">
        <v>129</v>
      </c>
      <c r="H119" s="48"/>
      <c r="I119" s="48"/>
      <c r="J119" s="48"/>
      <c r="K119" s="38"/>
      <c r="L119" s="38"/>
      <c r="M119" s="41"/>
      <c r="S119" s="50"/>
    </row>
    <row r="120" spans="2:29" s="42" customFormat="1" ht="13.2">
      <c r="B120" s="48"/>
      <c r="C120" s="38"/>
      <c r="D120" s="40"/>
      <c r="E120" s="40"/>
      <c r="F120" s="38"/>
      <c r="G120" s="43" t="s">
        <v>130</v>
      </c>
      <c r="H120" s="48"/>
      <c r="I120" s="48"/>
      <c r="J120" s="48"/>
      <c r="K120" s="38"/>
      <c r="L120" s="38"/>
      <c r="M120" s="41"/>
      <c r="S120" s="51"/>
    </row>
    <row r="121" spans="2:29" s="42" customFormat="1" ht="22.2">
      <c r="B121" s="48"/>
      <c r="C121" s="48"/>
      <c r="D121" s="40"/>
      <c r="E121" s="40"/>
      <c r="F121" s="38"/>
      <c r="G121" s="43" t="s">
        <v>131</v>
      </c>
      <c r="H121" s="48"/>
      <c r="I121" s="48"/>
      <c r="J121" s="48"/>
      <c r="K121" s="38"/>
      <c r="L121" s="38"/>
      <c r="M121" s="41"/>
      <c r="S121" s="51"/>
    </row>
    <row r="122" spans="2:29" s="42" customFormat="1" ht="13.2">
      <c r="B122" s="41"/>
      <c r="C122" s="281"/>
      <c r="D122" s="281"/>
      <c r="E122" s="281"/>
      <c r="F122" s="281"/>
      <c r="G122" s="43" t="s">
        <v>52</v>
      </c>
      <c r="H122" s="41"/>
      <c r="I122" s="41"/>
      <c r="J122" s="41"/>
      <c r="K122" s="41"/>
      <c r="L122" s="41"/>
      <c r="M122" s="41"/>
      <c r="S122" s="51"/>
    </row>
    <row r="123" spans="2:29" s="42" customFormat="1" ht="13.2">
      <c r="B123" s="41" t="s">
        <v>56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S123" s="51"/>
    </row>
    <row r="124" spans="2:29" s="42" customFormat="1" ht="13.2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S124" s="51"/>
    </row>
    <row r="125" spans="2:29" s="42" customFormat="1" ht="13.2">
      <c r="B125" s="41" t="s">
        <v>57</v>
      </c>
      <c r="C125" s="41" t="s">
        <v>57</v>
      </c>
      <c r="D125" s="41" t="s">
        <v>57</v>
      </c>
      <c r="E125" s="41"/>
      <c r="F125" s="41" t="s">
        <v>57</v>
      </c>
      <c r="G125" s="41" t="s">
        <v>57</v>
      </c>
      <c r="H125" s="41" t="s">
        <v>57</v>
      </c>
      <c r="I125" s="41"/>
      <c r="J125" s="41"/>
      <c r="K125" s="41"/>
      <c r="L125" s="41"/>
      <c r="M125" s="41" t="s">
        <v>57</v>
      </c>
      <c r="S125" s="51"/>
    </row>
    <row r="126" spans="2:29" s="42" customFormat="1" ht="13.2">
      <c r="B126" s="41" t="s">
        <v>165</v>
      </c>
      <c r="C126" s="41" t="s">
        <v>166</v>
      </c>
      <c r="D126" s="41" t="s">
        <v>180</v>
      </c>
      <c r="E126" s="41"/>
      <c r="F126" s="41" t="s">
        <v>165</v>
      </c>
      <c r="G126" s="41" t="s">
        <v>180</v>
      </c>
      <c r="H126" s="41" t="s">
        <v>165</v>
      </c>
      <c r="I126" s="41"/>
      <c r="J126" s="41"/>
      <c r="K126" s="41"/>
      <c r="L126" s="41"/>
      <c r="M126" s="53" t="s">
        <v>133</v>
      </c>
      <c r="S126" s="51"/>
    </row>
    <row r="127" spans="2:29" s="42" customFormat="1" ht="12">
      <c r="B127" s="41" t="s">
        <v>166</v>
      </c>
      <c r="C127" s="75" t="s">
        <v>168</v>
      </c>
      <c r="D127" s="41" t="s">
        <v>134</v>
      </c>
      <c r="E127" s="41"/>
      <c r="F127" s="41" t="s">
        <v>166</v>
      </c>
      <c r="G127" s="41" t="s">
        <v>134</v>
      </c>
      <c r="H127" s="41" t="s">
        <v>167</v>
      </c>
      <c r="I127" s="41"/>
      <c r="J127" s="41"/>
      <c r="K127" s="41"/>
      <c r="L127" s="41"/>
      <c r="M127" s="53" t="s">
        <v>136</v>
      </c>
    </row>
    <row r="128" spans="2:29" s="42" customFormat="1" ht="12">
      <c r="B128" s="41" t="s">
        <v>167</v>
      </c>
      <c r="C128" s="41" t="s">
        <v>169</v>
      </c>
      <c r="D128" s="41" t="s">
        <v>139</v>
      </c>
      <c r="E128" s="41"/>
      <c r="F128" s="41" t="s">
        <v>167</v>
      </c>
      <c r="G128" s="41" t="s">
        <v>139</v>
      </c>
      <c r="H128" s="41" t="s">
        <v>169</v>
      </c>
      <c r="I128" s="41"/>
      <c r="J128" s="41"/>
      <c r="K128" s="41"/>
      <c r="L128" s="41"/>
      <c r="M128" s="53" t="s">
        <v>138</v>
      </c>
    </row>
    <row r="129" spans="1:16" s="42" customFormat="1" ht="12">
      <c r="B129" s="41" t="s">
        <v>58</v>
      </c>
      <c r="C129" s="41" t="s">
        <v>171</v>
      </c>
      <c r="D129" s="41" t="s">
        <v>181</v>
      </c>
      <c r="E129" s="41"/>
      <c r="F129" s="41" t="s">
        <v>58</v>
      </c>
      <c r="G129" s="41" t="s">
        <v>196</v>
      </c>
      <c r="H129" s="41" t="s">
        <v>177</v>
      </c>
      <c r="I129" s="41"/>
      <c r="J129" s="41"/>
      <c r="K129" s="41"/>
      <c r="L129" s="41"/>
      <c r="M129" s="53" t="s">
        <v>140</v>
      </c>
    </row>
    <row r="130" spans="1:16" s="42" customFormat="1" ht="12">
      <c r="B130" s="75" t="s">
        <v>168</v>
      </c>
      <c r="C130" s="41" t="s">
        <v>179</v>
      </c>
      <c r="D130" s="41" t="s">
        <v>182</v>
      </c>
      <c r="E130" s="41"/>
      <c r="F130" s="75" t="s">
        <v>168</v>
      </c>
      <c r="G130" s="41" t="s">
        <v>196</v>
      </c>
      <c r="H130" s="41" t="s">
        <v>178</v>
      </c>
      <c r="I130" s="41"/>
      <c r="J130" s="41"/>
      <c r="K130" s="41"/>
      <c r="L130" s="41"/>
      <c r="M130" s="53" t="s">
        <v>142</v>
      </c>
    </row>
    <row r="131" spans="1:16" s="42" customFormat="1" ht="12">
      <c r="B131" s="41" t="s">
        <v>169</v>
      </c>
      <c r="C131" s="41" t="s">
        <v>132</v>
      </c>
      <c r="D131" s="41" t="s">
        <v>196</v>
      </c>
      <c r="E131" s="41"/>
      <c r="F131" s="41" t="s">
        <v>188</v>
      </c>
      <c r="G131" s="41" t="s">
        <v>194</v>
      </c>
      <c r="H131" s="41" t="s">
        <v>132</v>
      </c>
      <c r="I131" s="41"/>
      <c r="J131" s="41"/>
      <c r="K131" s="41"/>
      <c r="L131" s="41"/>
      <c r="M131" s="53" t="s">
        <v>143</v>
      </c>
    </row>
    <row r="132" spans="1:16" s="42" customFormat="1" ht="12">
      <c r="B132" s="41" t="s">
        <v>170</v>
      </c>
      <c r="C132" s="41" t="s">
        <v>135</v>
      </c>
      <c r="D132" s="41" t="s">
        <v>194</v>
      </c>
      <c r="E132" s="41"/>
      <c r="F132" s="41" t="s">
        <v>169</v>
      </c>
      <c r="G132" s="41" t="s">
        <v>183</v>
      </c>
      <c r="H132" s="41" t="s">
        <v>135</v>
      </c>
      <c r="I132" s="41"/>
      <c r="J132" s="41"/>
      <c r="K132" s="41"/>
      <c r="L132" s="41"/>
      <c r="M132" s="53" t="s">
        <v>144</v>
      </c>
    </row>
    <row r="133" spans="1:16" s="42" customFormat="1" ht="12">
      <c r="B133" s="41" t="s">
        <v>171</v>
      </c>
      <c r="C133" s="41" t="s">
        <v>176</v>
      </c>
      <c r="D133" s="41" t="s">
        <v>183</v>
      </c>
      <c r="E133" s="41"/>
      <c r="F133" s="41" t="s">
        <v>189</v>
      </c>
      <c r="G133" s="41" t="s">
        <v>184</v>
      </c>
      <c r="H133" s="41"/>
      <c r="I133" s="41"/>
      <c r="J133" s="41"/>
      <c r="K133" s="41"/>
      <c r="L133" s="41"/>
      <c r="M133" s="53" t="s">
        <v>145</v>
      </c>
    </row>
    <row r="134" spans="1:16" s="42" customFormat="1" ht="13.2">
      <c r="B134" s="41" t="s">
        <v>172</v>
      </c>
      <c r="C134" s="54"/>
      <c r="D134" s="41" t="s">
        <v>184</v>
      </c>
      <c r="E134" s="41"/>
      <c r="F134" s="41" t="s">
        <v>190</v>
      </c>
      <c r="G134" s="41" t="s">
        <v>185</v>
      </c>
      <c r="H134" s="41"/>
      <c r="I134" s="41"/>
      <c r="J134" s="41"/>
      <c r="K134" s="41"/>
      <c r="L134" s="41"/>
      <c r="M134" s="41"/>
    </row>
    <row r="135" spans="1:16" s="42" customFormat="1" ht="13.2">
      <c r="B135" s="41" t="s">
        <v>173</v>
      </c>
      <c r="C135" s="54"/>
      <c r="D135" s="41" t="s">
        <v>185</v>
      </c>
      <c r="E135" s="41"/>
      <c r="F135" s="41" t="s">
        <v>171</v>
      </c>
      <c r="G135" s="41" t="s">
        <v>141</v>
      </c>
      <c r="H135" s="41"/>
      <c r="I135" s="41"/>
      <c r="J135" s="41"/>
      <c r="K135" s="41"/>
      <c r="L135" s="41"/>
      <c r="M135" s="41"/>
    </row>
    <row r="136" spans="1:16" s="42" customFormat="1" ht="13.2">
      <c r="B136" s="41" t="s">
        <v>174</v>
      </c>
      <c r="C136" s="54"/>
      <c r="D136" s="41" t="s">
        <v>141</v>
      </c>
      <c r="E136" s="41"/>
      <c r="F136" s="41" t="s">
        <v>172</v>
      </c>
      <c r="G136" s="41" t="s">
        <v>195</v>
      </c>
      <c r="H136" s="41"/>
      <c r="I136" s="41"/>
      <c r="J136" s="41"/>
      <c r="K136" s="41"/>
      <c r="L136" s="41"/>
      <c r="M136" s="41"/>
    </row>
    <row r="137" spans="1:16" s="42" customFormat="1" ht="13.2">
      <c r="B137" s="41" t="s">
        <v>59</v>
      </c>
      <c r="C137" s="54"/>
      <c r="D137" s="41" t="s">
        <v>195</v>
      </c>
      <c r="E137" s="41"/>
      <c r="F137" s="41" t="s">
        <v>173</v>
      </c>
      <c r="G137" s="41" t="s">
        <v>193</v>
      </c>
      <c r="H137" s="41"/>
      <c r="I137" s="41"/>
      <c r="J137" s="41"/>
      <c r="K137" s="41"/>
      <c r="L137" s="41"/>
      <c r="M137" s="41"/>
    </row>
    <row r="138" spans="1:16" s="42" customFormat="1" ht="13.2">
      <c r="B138" s="41" t="s">
        <v>132</v>
      </c>
      <c r="C138" s="54"/>
      <c r="D138" s="41" t="s">
        <v>193</v>
      </c>
      <c r="E138" s="41"/>
      <c r="F138" s="41" t="s">
        <v>174</v>
      </c>
      <c r="G138" s="41" t="s">
        <v>137</v>
      </c>
      <c r="H138" s="41"/>
      <c r="I138" s="41"/>
      <c r="J138" s="41"/>
      <c r="K138" s="41"/>
      <c r="L138" s="41"/>
      <c r="M138" s="41"/>
    </row>
    <row r="139" spans="1:16" s="42" customFormat="1" ht="13.2">
      <c r="B139" s="41" t="s">
        <v>135</v>
      </c>
      <c r="C139" s="54"/>
      <c r="D139" s="41" t="s">
        <v>137</v>
      </c>
      <c r="E139" s="41"/>
      <c r="F139" s="41" t="s">
        <v>59</v>
      </c>
      <c r="G139" s="41" t="s">
        <v>186</v>
      </c>
      <c r="H139" s="41"/>
      <c r="I139" s="41"/>
      <c r="J139" s="41"/>
      <c r="K139" s="41"/>
      <c r="L139" s="41"/>
      <c r="M139" s="41"/>
    </row>
    <row r="140" spans="1:16" s="42" customFormat="1" ht="13.2">
      <c r="B140" s="41" t="s">
        <v>175</v>
      </c>
      <c r="C140" s="54"/>
      <c r="D140" s="41" t="s">
        <v>186</v>
      </c>
      <c r="E140" s="41"/>
      <c r="F140" s="41" t="s">
        <v>146</v>
      </c>
      <c r="G140" s="41" t="s">
        <v>187</v>
      </c>
      <c r="H140" s="41"/>
      <c r="I140" s="41"/>
      <c r="J140" s="41"/>
      <c r="K140" s="41"/>
      <c r="L140" s="41"/>
      <c r="M140" s="41"/>
    </row>
    <row r="141" spans="1:16" s="42" customFormat="1" ht="13.2">
      <c r="B141" s="41" t="s">
        <v>176</v>
      </c>
      <c r="C141" s="54"/>
      <c r="D141" s="41" t="s">
        <v>187</v>
      </c>
      <c r="E141" s="41"/>
      <c r="F141" s="41" t="s">
        <v>191</v>
      </c>
      <c r="G141" s="41" t="s">
        <v>192</v>
      </c>
      <c r="H141" s="41"/>
      <c r="I141" s="41"/>
      <c r="J141" s="41"/>
      <c r="K141" s="41"/>
      <c r="L141" s="41"/>
      <c r="M141" s="41"/>
    </row>
    <row r="142" spans="1:16" s="42" customFormat="1">
      <c r="B142" s="41"/>
      <c r="C142" s="41"/>
      <c r="D142" s="41"/>
      <c r="E142" s="41"/>
      <c r="F142" s="41" t="s">
        <v>132</v>
      </c>
      <c r="G142" s="41"/>
      <c r="H142" s="41"/>
      <c r="I142" s="41"/>
      <c r="J142" s="41"/>
      <c r="K142" s="41"/>
      <c r="L142" s="41"/>
      <c r="M142" s="41"/>
    </row>
    <row r="143" spans="1:16" s="42" customFormat="1">
      <c r="B143" s="41"/>
      <c r="C143" s="41"/>
      <c r="D143" s="41"/>
      <c r="E143" s="41"/>
      <c r="F143" s="41" t="s">
        <v>135</v>
      </c>
      <c r="G143" s="41"/>
      <c r="H143" s="41"/>
      <c r="I143" s="41"/>
      <c r="J143" s="41"/>
      <c r="K143" s="41"/>
      <c r="L143" s="41"/>
      <c r="M143" s="41"/>
    </row>
    <row r="144" spans="1:16" s="42" customFormat="1">
      <c r="A144" s="41" t="s">
        <v>60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</row>
    <row r="145" spans="1:29" s="42" customFormat="1" ht="13.2">
      <c r="A145" s="41"/>
      <c r="B145" s="86" t="s">
        <v>214</v>
      </c>
      <c r="C145" s="87" t="s">
        <v>215</v>
      </c>
      <c r="D145" s="87" t="s">
        <v>216</v>
      </c>
      <c r="E145" s="87" t="s">
        <v>231</v>
      </c>
      <c r="F145" s="86" t="s">
        <v>217</v>
      </c>
      <c r="G145" s="87"/>
      <c r="H145" s="86"/>
      <c r="I145" s="86" t="s">
        <v>290</v>
      </c>
      <c r="J145" s="86"/>
      <c r="K145" s="63"/>
      <c r="L145" s="55"/>
      <c r="M145" s="55"/>
      <c r="N145" s="55"/>
      <c r="O145" s="41"/>
      <c r="P145" s="41"/>
    </row>
    <row r="146" spans="1:29" s="42" customFormat="1" ht="12">
      <c r="A146" s="41"/>
      <c r="B146" s="41"/>
      <c r="C146" s="85"/>
      <c r="D146" s="85"/>
      <c r="E146" s="85"/>
      <c r="F146" s="63"/>
      <c r="G146" s="85"/>
      <c r="H146" s="63"/>
      <c r="I146" s="63"/>
      <c r="J146" s="63"/>
      <c r="K146" s="63"/>
      <c r="L146" s="41"/>
      <c r="M146" s="41"/>
      <c r="N146" s="41"/>
      <c r="O146" s="41"/>
      <c r="P146" s="41"/>
    </row>
    <row r="147" spans="1:29" s="42" customFormat="1" ht="12">
      <c r="A147" s="41"/>
      <c r="B147" s="269" t="s">
        <v>222</v>
      </c>
      <c r="C147" s="269" t="s">
        <v>222</v>
      </c>
      <c r="D147" s="269" t="s">
        <v>225</v>
      </c>
      <c r="E147" s="269" t="s">
        <v>225</v>
      </c>
      <c r="F147" s="268" t="s">
        <v>227</v>
      </c>
      <c r="G147" s="269"/>
      <c r="H147" s="268"/>
      <c r="I147" s="268" t="s">
        <v>218</v>
      </c>
      <c r="J147" s="268"/>
      <c r="K147" s="63"/>
      <c r="L147" s="41"/>
      <c r="M147" s="41"/>
      <c r="N147" s="41"/>
      <c r="O147" s="41"/>
      <c r="P147" s="41"/>
    </row>
    <row r="148" spans="1:29" s="42" customFormat="1" ht="12">
      <c r="A148" s="41"/>
      <c r="B148" s="269"/>
      <c r="C148" s="86"/>
      <c r="D148" s="91"/>
      <c r="E148" s="91"/>
      <c r="F148" s="91"/>
      <c r="G148" s="91"/>
      <c r="H148" s="91"/>
      <c r="I148" s="91" t="s">
        <v>61</v>
      </c>
      <c r="J148" s="91"/>
      <c r="K148" s="63"/>
      <c r="L148" s="41"/>
      <c r="M148" s="41"/>
      <c r="N148" s="41"/>
      <c r="O148" s="41"/>
      <c r="P148" s="41"/>
    </row>
    <row r="149" spans="1:29" s="42" customFormat="1" ht="12">
      <c r="A149" s="41"/>
      <c r="B149" s="269"/>
      <c r="C149" s="86"/>
      <c r="D149" s="269"/>
      <c r="E149" s="269"/>
      <c r="F149" s="269"/>
      <c r="G149" s="269"/>
      <c r="H149" s="269"/>
      <c r="I149" s="269" t="s">
        <v>222</v>
      </c>
      <c r="J149" s="269"/>
      <c r="K149" s="63"/>
      <c r="L149" s="41"/>
      <c r="M149" s="41"/>
      <c r="N149" s="41"/>
      <c r="O149" s="41"/>
      <c r="P149" s="41"/>
    </row>
    <row r="150" spans="1:29" s="42" customFormat="1" ht="12">
      <c r="A150" s="41"/>
      <c r="B150" s="269"/>
      <c r="C150" s="87"/>
      <c r="D150" s="269"/>
      <c r="E150" s="91"/>
      <c r="F150" s="269"/>
      <c r="G150" s="269"/>
      <c r="H150" s="269"/>
      <c r="I150" s="269" t="s">
        <v>225</v>
      </c>
      <c r="J150" s="269"/>
      <c r="K150" s="63"/>
      <c r="L150" s="41"/>
      <c r="M150" s="41"/>
      <c r="N150" s="41"/>
      <c r="O150" s="41"/>
      <c r="P150" s="41"/>
    </row>
    <row r="151" spans="1:29" s="42" customFormat="1" ht="12">
      <c r="A151" s="268"/>
      <c r="B151" s="90"/>
      <c r="C151" s="268"/>
      <c r="D151" s="86"/>
      <c r="E151" s="268"/>
      <c r="F151" s="268"/>
      <c r="G151" s="268"/>
      <c r="H151" s="63"/>
      <c r="I151" s="268" t="s">
        <v>151</v>
      </c>
      <c r="J151" s="268"/>
      <c r="K151" s="63"/>
      <c r="L151" s="41"/>
      <c r="M151" s="41"/>
      <c r="N151" s="41"/>
      <c r="O151" s="41"/>
      <c r="P151" s="41"/>
    </row>
    <row r="152" spans="1:29" s="42" customFormat="1" ht="12">
      <c r="A152" s="269"/>
      <c r="B152" s="86"/>
      <c r="C152" s="269"/>
      <c r="D152" s="86"/>
      <c r="E152" s="269"/>
      <c r="F152" s="269"/>
      <c r="G152" s="269"/>
      <c r="H152" s="63"/>
      <c r="I152" s="269" t="s">
        <v>62</v>
      </c>
      <c r="J152" s="269"/>
      <c r="K152" s="63"/>
      <c r="L152" s="41"/>
      <c r="M152" s="41"/>
      <c r="N152" s="41"/>
      <c r="O152" s="41"/>
      <c r="P152" s="41"/>
    </row>
    <row r="153" spans="1:29" s="42" customFormat="1" ht="12">
      <c r="A153" s="90"/>
      <c r="B153" s="86"/>
      <c r="C153" s="90"/>
      <c r="D153" s="86"/>
      <c r="E153" s="90"/>
      <c r="F153" s="90"/>
      <c r="G153" s="90"/>
      <c r="H153" s="63"/>
      <c r="I153" s="90" t="s">
        <v>219</v>
      </c>
      <c r="J153" s="90"/>
      <c r="K153" s="63"/>
      <c r="L153" s="41"/>
      <c r="M153" s="41"/>
      <c r="N153" s="41"/>
      <c r="O153" s="41"/>
      <c r="P153" s="41"/>
    </row>
    <row r="154" spans="1:29" s="42" customFormat="1" ht="12">
      <c r="A154" s="91"/>
      <c r="B154" s="86"/>
      <c r="C154" s="91"/>
      <c r="D154" s="86"/>
      <c r="E154" s="91"/>
      <c r="F154" s="91"/>
      <c r="G154" s="91"/>
      <c r="H154" s="63"/>
      <c r="I154" s="91" t="s">
        <v>220</v>
      </c>
      <c r="J154" s="91"/>
      <c r="K154" s="63"/>
      <c r="L154" s="41"/>
      <c r="M154" s="41"/>
      <c r="N154" s="41"/>
      <c r="O154" s="41"/>
      <c r="P154" s="41"/>
    </row>
    <row r="155" spans="1:29" s="42" customFormat="1" ht="12">
      <c r="A155" s="269"/>
      <c r="B155" s="86"/>
      <c r="C155" s="269"/>
      <c r="D155" s="86"/>
      <c r="E155" s="269"/>
      <c r="F155" s="269"/>
      <c r="G155" s="269"/>
      <c r="H155" s="63"/>
      <c r="I155" s="269" t="s">
        <v>162</v>
      </c>
      <c r="J155" s="269"/>
      <c r="K155" s="63"/>
      <c r="L155" s="41"/>
      <c r="M155" s="41"/>
      <c r="N155" s="41"/>
      <c r="O155" s="41"/>
      <c r="P155" s="41"/>
    </row>
    <row r="156" spans="1:29" s="42" customFormat="1" ht="12">
      <c r="A156" s="269"/>
      <c r="B156" s="86"/>
      <c r="C156" s="269"/>
      <c r="D156" s="86"/>
      <c r="E156" s="269"/>
      <c r="F156" s="269"/>
      <c r="G156" s="269"/>
      <c r="H156" s="63"/>
      <c r="I156" s="269" t="s">
        <v>164</v>
      </c>
      <c r="J156" s="269"/>
      <c r="K156" s="63"/>
      <c r="L156" s="41"/>
      <c r="M156" s="41"/>
      <c r="N156" s="41"/>
      <c r="O156" s="41"/>
      <c r="P156" s="41"/>
    </row>
    <row r="157" spans="1:29" s="42" customFormat="1" ht="12">
      <c r="A157" s="269"/>
      <c r="B157" s="86"/>
      <c r="C157" s="269"/>
      <c r="D157" s="86"/>
      <c r="E157" s="269"/>
      <c r="F157" s="269"/>
      <c r="G157" s="269"/>
      <c r="H157" s="63"/>
      <c r="I157" s="269" t="s">
        <v>209</v>
      </c>
      <c r="J157" s="269"/>
      <c r="K157" s="63"/>
      <c r="L157" s="41"/>
      <c r="M157" s="41"/>
      <c r="N157" s="41"/>
      <c r="O157" s="41"/>
      <c r="P157" s="41"/>
    </row>
    <row r="158" spans="1:29" s="42" customFormat="1" ht="12">
      <c r="A158" s="269"/>
      <c r="B158" s="41"/>
      <c r="C158" s="269"/>
      <c r="D158" s="41"/>
      <c r="E158" s="269"/>
      <c r="F158" s="269"/>
      <c r="G158" s="269"/>
      <c r="H158" s="41"/>
      <c r="I158" s="269" t="s">
        <v>224</v>
      </c>
      <c r="J158" s="269"/>
      <c r="K158" s="41"/>
      <c r="L158" s="41"/>
      <c r="M158" s="41"/>
      <c r="N158" s="41"/>
      <c r="O158" s="41"/>
      <c r="P158" s="41"/>
    </row>
    <row r="159" spans="1:29" s="42" customFormat="1" ht="12">
      <c r="A159" s="90"/>
      <c r="B159" s="41"/>
      <c r="C159" s="90"/>
      <c r="D159" s="41"/>
      <c r="E159" s="90"/>
      <c r="F159" s="90"/>
      <c r="G159" s="90"/>
      <c r="H159" s="41"/>
      <c r="I159" s="90" t="s">
        <v>287</v>
      </c>
      <c r="J159" s="90"/>
      <c r="K159" s="41"/>
      <c r="L159" s="41"/>
      <c r="M159" s="41"/>
      <c r="N159" s="41"/>
      <c r="O159" s="41"/>
      <c r="P159" s="41"/>
    </row>
    <row r="160" spans="1:29" ht="12">
      <c r="A160" s="90"/>
      <c r="B160" s="282"/>
      <c r="C160" s="90"/>
      <c r="D160" s="282"/>
      <c r="E160" s="90"/>
      <c r="F160" s="90"/>
      <c r="G160" s="90"/>
      <c r="H160" s="282"/>
      <c r="I160" s="90" t="s">
        <v>288</v>
      </c>
      <c r="J160" s="90"/>
      <c r="K160" s="282"/>
      <c r="L160" s="282"/>
      <c r="M160" s="282"/>
      <c r="N160" s="282"/>
      <c r="O160" s="282"/>
      <c r="P160" s="282"/>
      <c r="Y160" s="42"/>
      <c r="Z160" s="42"/>
      <c r="AA160" s="42"/>
      <c r="AB160" s="42"/>
      <c r="AC160" s="42"/>
    </row>
    <row r="161" spans="1:16" ht="12">
      <c r="A161" s="269"/>
      <c r="B161" s="282"/>
      <c r="C161" s="269"/>
      <c r="D161" s="282"/>
      <c r="E161" s="269"/>
      <c r="F161" s="269"/>
      <c r="G161" s="269"/>
      <c r="H161" s="282"/>
      <c r="I161" s="269" t="s">
        <v>289</v>
      </c>
      <c r="J161" s="269"/>
      <c r="K161" s="282"/>
      <c r="L161" s="282"/>
      <c r="M161" s="282"/>
      <c r="N161" s="282"/>
      <c r="O161" s="282"/>
      <c r="P161" s="282"/>
    </row>
    <row r="164" spans="1:16" ht="12">
      <c r="A164" s="56">
        <f ca="1">TODAY()</f>
        <v>43777</v>
      </c>
      <c r="B164" s="56"/>
      <c r="C164" s="57">
        <f ca="1">YEAR(A164)</f>
        <v>2019</v>
      </c>
      <c r="D164" s="57"/>
      <c r="E164" s="58">
        <f ca="1">MONTH(A164)</f>
        <v>11</v>
      </c>
      <c r="F164" s="59" t="str">
        <f t="shared" ref="F164:F189" ca="1" si="36">CONCATENATE(C164,"/",E164)</f>
        <v>2019/11</v>
      </c>
    </row>
    <row r="165" spans="1:16" ht="12">
      <c r="A165" s="57"/>
      <c r="B165" s="57"/>
      <c r="C165" s="57">
        <f t="shared" ref="C165:C189" ca="1" si="37">IF(E164=12,C164+1,C164)</f>
        <v>2019</v>
      </c>
      <c r="D165" s="57"/>
      <c r="E165" s="58">
        <f t="shared" ref="E165:E189" ca="1" si="38">IF(E164=12,1,E164+1)</f>
        <v>12</v>
      </c>
      <c r="F165" s="59" t="str">
        <f t="shared" ca="1" si="36"/>
        <v>2019/12</v>
      </c>
    </row>
    <row r="166" spans="1:16" ht="12">
      <c r="A166" s="57"/>
      <c r="B166" s="57"/>
      <c r="C166" s="57">
        <f t="shared" ca="1" si="37"/>
        <v>2020</v>
      </c>
      <c r="D166" s="57"/>
      <c r="E166" s="58">
        <f t="shared" ca="1" si="38"/>
        <v>1</v>
      </c>
      <c r="F166" s="59" t="str">
        <f t="shared" ca="1" si="36"/>
        <v>2020/1</v>
      </c>
    </row>
    <row r="167" spans="1:16" ht="12">
      <c r="C167" s="57">
        <f t="shared" ca="1" si="37"/>
        <v>2020</v>
      </c>
      <c r="D167" s="57"/>
      <c r="E167" s="58">
        <f t="shared" ca="1" si="38"/>
        <v>2</v>
      </c>
      <c r="F167" s="59" t="str">
        <f t="shared" ca="1" si="36"/>
        <v>2020/2</v>
      </c>
    </row>
    <row r="168" spans="1:16" ht="12">
      <c r="C168" s="57">
        <f t="shared" ca="1" si="37"/>
        <v>2020</v>
      </c>
      <c r="D168" s="57"/>
      <c r="E168" s="58">
        <f t="shared" ca="1" si="38"/>
        <v>3</v>
      </c>
      <c r="F168" s="59" t="str">
        <f t="shared" ca="1" si="36"/>
        <v>2020/3</v>
      </c>
    </row>
    <row r="169" spans="1:16" ht="12">
      <c r="C169" s="57">
        <f t="shared" ca="1" si="37"/>
        <v>2020</v>
      </c>
      <c r="D169" s="57"/>
      <c r="E169" s="58">
        <f t="shared" ca="1" si="38"/>
        <v>4</v>
      </c>
      <c r="F169" s="59" t="str">
        <f t="shared" ca="1" si="36"/>
        <v>2020/4</v>
      </c>
    </row>
    <row r="170" spans="1:16" ht="12">
      <c r="C170" s="57">
        <f t="shared" ca="1" si="37"/>
        <v>2020</v>
      </c>
      <c r="D170" s="57"/>
      <c r="E170" s="58">
        <f t="shared" ca="1" si="38"/>
        <v>5</v>
      </c>
      <c r="F170" s="59" t="str">
        <f t="shared" ca="1" si="36"/>
        <v>2020/5</v>
      </c>
    </row>
    <row r="171" spans="1:16" ht="12">
      <c r="C171" s="57">
        <f t="shared" ca="1" si="37"/>
        <v>2020</v>
      </c>
      <c r="D171" s="57"/>
      <c r="E171" s="58">
        <f t="shared" ca="1" si="38"/>
        <v>6</v>
      </c>
      <c r="F171" s="59" t="str">
        <f t="shared" ca="1" si="36"/>
        <v>2020/6</v>
      </c>
    </row>
    <row r="172" spans="1:16" ht="12">
      <c r="C172" s="57">
        <f t="shared" ca="1" si="37"/>
        <v>2020</v>
      </c>
      <c r="D172" s="57"/>
      <c r="E172" s="58">
        <f t="shared" ca="1" si="38"/>
        <v>7</v>
      </c>
      <c r="F172" s="59" t="str">
        <f t="shared" ca="1" si="36"/>
        <v>2020/7</v>
      </c>
    </row>
    <row r="173" spans="1:16" ht="12">
      <c r="C173" s="57">
        <f t="shared" ca="1" si="37"/>
        <v>2020</v>
      </c>
      <c r="D173" s="57"/>
      <c r="E173" s="58">
        <f t="shared" ca="1" si="38"/>
        <v>8</v>
      </c>
      <c r="F173" s="59" t="str">
        <f t="shared" ca="1" si="36"/>
        <v>2020/8</v>
      </c>
    </row>
    <row r="174" spans="1:16" ht="12">
      <c r="C174" s="57">
        <f t="shared" ca="1" si="37"/>
        <v>2020</v>
      </c>
      <c r="D174" s="57"/>
      <c r="E174" s="58">
        <f t="shared" ca="1" si="38"/>
        <v>9</v>
      </c>
      <c r="F174" s="59" t="str">
        <f t="shared" ca="1" si="36"/>
        <v>2020/9</v>
      </c>
    </row>
    <row r="175" spans="1:16" ht="12">
      <c r="C175" s="57">
        <f t="shared" ca="1" si="37"/>
        <v>2020</v>
      </c>
      <c r="D175" s="57"/>
      <c r="E175" s="58">
        <f t="shared" ca="1" si="38"/>
        <v>10</v>
      </c>
      <c r="F175" s="59" t="str">
        <f t="shared" ca="1" si="36"/>
        <v>2020/10</v>
      </c>
    </row>
    <row r="176" spans="1:16" ht="12">
      <c r="C176" s="57">
        <f t="shared" ca="1" si="37"/>
        <v>2020</v>
      </c>
      <c r="D176" s="57"/>
      <c r="E176" s="58">
        <f t="shared" ca="1" si="38"/>
        <v>11</v>
      </c>
      <c r="F176" s="59" t="str">
        <f t="shared" ca="1" si="36"/>
        <v>2020/11</v>
      </c>
    </row>
    <row r="177" spans="1:19" ht="12">
      <c r="C177" s="57">
        <f t="shared" ca="1" si="37"/>
        <v>2020</v>
      </c>
      <c r="D177" s="57"/>
      <c r="E177" s="58">
        <f t="shared" ca="1" si="38"/>
        <v>12</v>
      </c>
      <c r="F177" s="59" t="str">
        <f t="shared" ca="1" si="36"/>
        <v>2020/12</v>
      </c>
    </row>
    <row r="178" spans="1:19" ht="12">
      <c r="C178" s="57">
        <f t="shared" ca="1" si="37"/>
        <v>2021</v>
      </c>
      <c r="D178" s="57"/>
      <c r="E178" s="58">
        <f t="shared" ca="1" si="38"/>
        <v>1</v>
      </c>
      <c r="F178" s="59" t="str">
        <f t="shared" ca="1" si="36"/>
        <v>2021/1</v>
      </c>
    </row>
    <row r="179" spans="1:19" ht="12">
      <c r="C179" s="57">
        <f t="shared" ca="1" si="37"/>
        <v>2021</v>
      </c>
      <c r="D179" s="57"/>
      <c r="E179" s="58">
        <f t="shared" ca="1" si="38"/>
        <v>2</v>
      </c>
      <c r="F179" s="59" t="str">
        <f t="shared" ca="1" si="36"/>
        <v>2021/2</v>
      </c>
    </row>
    <row r="180" spans="1:19" ht="12">
      <c r="C180" s="57">
        <f t="shared" ca="1" si="37"/>
        <v>2021</v>
      </c>
      <c r="D180" s="57"/>
      <c r="E180" s="58">
        <f t="shared" ca="1" si="38"/>
        <v>3</v>
      </c>
      <c r="F180" s="59" t="str">
        <f t="shared" ca="1" si="36"/>
        <v>2021/3</v>
      </c>
    </row>
    <row r="181" spans="1:19" ht="12">
      <c r="C181" s="57">
        <f t="shared" ca="1" si="37"/>
        <v>2021</v>
      </c>
      <c r="D181" s="57"/>
      <c r="E181" s="58">
        <f t="shared" ca="1" si="38"/>
        <v>4</v>
      </c>
      <c r="F181" s="59" t="str">
        <f t="shared" ca="1" si="36"/>
        <v>2021/4</v>
      </c>
    </row>
    <row r="182" spans="1:19" ht="12">
      <c r="C182" s="57">
        <f t="shared" ca="1" si="37"/>
        <v>2021</v>
      </c>
      <c r="D182" s="57"/>
      <c r="E182" s="58">
        <f t="shared" ca="1" si="38"/>
        <v>5</v>
      </c>
      <c r="F182" s="59" t="str">
        <f t="shared" ca="1" si="36"/>
        <v>2021/5</v>
      </c>
    </row>
    <row r="183" spans="1:19" ht="12">
      <c r="C183" s="57">
        <f t="shared" ca="1" si="37"/>
        <v>2021</v>
      </c>
      <c r="D183" s="57"/>
      <c r="E183" s="58">
        <f t="shared" ca="1" si="38"/>
        <v>6</v>
      </c>
      <c r="F183" s="59" t="str">
        <f t="shared" ca="1" si="36"/>
        <v>2021/6</v>
      </c>
    </row>
    <row r="184" spans="1:19" ht="12">
      <c r="C184" s="57">
        <f t="shared" ca="1" si="37"/>
        <v>2021</v>
      </c>
      <c r="D184" s="57"/>
      <c r="E184" s="58">
        <f t="shared" ca="1" si="38"/>
        <v>7</v>
      </c>
      <c r="F184" s="59" t="str">
        <f t="shared" ca="1" si="36"/>
        <v>2021/7</v>
      </c>
    </row>
    <row r="185" spans="1:19" ht="12">
      <c r="C185" s="57">
        <f t="shared" ca="1" si="37"/>
        <v>2021</v>
      </c>
      <c r="D185" s="57"/>
      <c r="E185" s="58">
        <f t="shared" ca="1" si="38"/>
        <v>8</v>
      </c>
      <c r="F185" s="59" t="str">
        <f t="shared" ca="1" si="36"/>
        <v>2021/8</v>
      </c>
    </row>
    <row r="186" spans="1:19" ht="12">
      <c r="C186" s="57">
        <f t="shared" ca="1" si="37"/>
        <v>2021</v>
      </c>
      <c r="D186" s="57"/>
      <c r="E186" s="58">
        <f t="shared" ca="1" si="38"/>
        <v>9</v>
      </c>
      <c r="F186" s="59" t="str">
        <f t="shared" ca="1" si="36"/>
        <v>2021/9</v>
      </c>
    </row>
    <row r="187" spans="1:19" ht="12">
      <c r="C187" s="57">
        <f t="shared" ca="1" si="37"/>
        <v>2021</v>
      </c>
      <c r="D187" s="57"/>
      <c r="E187" s="58">
        <f t="shared" ca="1" si="38"/>
        <v>10</v>
      </c>
      <c r="F187" s="59" t="str">
        <f t="shared" ca="1" si="36"/>
        <v>2021/10</v>
      </c>
    </row>
    <row r="188" spans="1:19" ht="12">
      <c r="C188" s="57">
        <f t="shared" ca="1" si="37"/>
        <v>2021</v>
      </c>
      <c r="D188" s="57"/>
      <c r="E188" s="58">
        <f t="shared" ca="1" si="38"/>
        <v>11</v>
      </c>
      <c r="F188" s="59" t="str">
        <f t="shared" ca="1" si="36"/>
        <v>2021/11</v>
      </c>
    </row>
    <row r="189" spans="1:19" ht="12">
      <c r="C189" s="57">
        <f t="shared" ca="1" si="37"/>
        <v>2021</v>
      </c>
      <c r="D189" s="57"/>
      <c r="E189" s="58">
        <f t="shared" ca="1" si="38"/>
        <v>12</v>
      </c>
      <c r="F189" s="59" t="str">
        <f t="shared" ca="1" si="36"/>
        <v>2021/12</v>
      </c>
    </row>
    <row r="191" spans="1:19" ht="13.2">
      <c r="C191" s="65" t="str">
        <f>B145</f>
        <v>31:ライフカプセル</v>
      </c>
      <c r="D191" s="65"/>
      <c r="E191" s="62" t="str">
        <f>C145</f>
        <v>32:ライフキャンディ</v>
      </c>
      <c r="F191" s="62" t="str">
        <f>F145</f>
        <v>50:新規企画</v>
      </c>
      <c r="G191" s="64">
        <f>G145</f>
        <v>0</v>
      </c>
      <c r="H191" s="63">
        <f>H145</f>
        <v>0</v>
      </c>
      <c r="I191" s="62" t="e">
        <f>#REF!</f>
        <v>#REF!</v>
      </c>
      <c r="J191" s="62"/>
      <c r="K191" s="63"/>
      <c r="L191" s="63"/>
      <c r="M191" s="63"/>
      <c r="N191" s="55"/>
    </row>
    <row r="192" spans="1:19">
      <c r="A192" s="68" t="s">
        <v>152</v>
      </c>
      <c r="B192" s="68"/>
      <c r="C192" s="72">
        <v>1.37E-2</v>
      </c>
      <c r="D192" s="72"/>
      <c r="E192" s="73">
        <v>1.15E-2</v>
      </c>
      <c r="F192" s="73">
        <v>1.35E-2</v>
      </c>
      <c r="G192" s="73">
        <v>4.4699999999999997E-2</v>
      </c>
      <c r="H192" s="73">
        <v>6.8599999999999994E-2</v>
      </c>
      <c r="I192" s="73">
        <v>8.2000000000000007E-3</v>
      </c>
      <c r="J192" s="73"/>
      <c r="K192" s="73"/>
      <c r="L192" s="73"/>
      <c r="M192" s="73"/>
      <c r="N192" s="73"/>
      <c r="P192" s="42"/>
      <c r="Q192" s="42"/>
      <c r="R192" s="42"/>
      <c r="S192" s="42"/>
    </row>
    <row r="193" spans="1:19">
      <c r="A193" s="69" t="s">
        <v>204</v>
      </c>
      <c r="B193" s="69"/>
      <c r="C193" s="73">
        <v>2.3099999999999999E-2</v>
      </c>
      <c r="D193" s="73"/>
      <c r="E193" s="73">
        <v>3.5900000000000001E-2</v>
      </c>
      <c r="F193" s="73">
        <v>2.4199999999999999E-2</v>
      </c>
      <c r="G193" s="73">
        <v>7.6999999999999999E-2</v>
      </c>
      <c r="H193" s="73">
        <v>4.9200000000000001E-2</v>
      </c>
      <c r="I193" s="73">
        <v>3.32E-2</v>
      </c>
      <c r="J193" s="73"/>
      <c r="K193" s="73"/>
      <c r="L193" s="73"/>
      <c r="M193" s="73"/>
      <c r="N193" s="73"/>
      <c r="P193" s="42"/>
      <c r="Q193" s="42"/>
      <c r="R193" s="42"/>
      <c r="S193" s="42"/>
    </row>
    <row r="194" spans="1:19">
      <c r="A194" s="70" t="s">
        <v>157</v>
      </c>
      <c r="B194" s="70"/>
      <c r="C194" s="74">
        <v>1.5299999999999999E-2</v>
      </c>
      <c r="D194" s="74"/>
      <c r="E194" s="74">
        <v>1.4E-2</v>
      </c>
      <c r="F194" s="74">
        <v>1.46E-2</v>
      </c>
      <c r="G194" s="74">
        <v>1.49E-2</v>
      </c>
      <c r="H194" s="74">
        <v>1.37E-2</v>
      </c>
      <c r="I194" s="74">
        <v>1.41E-2</v>
      </c>
      <c r="J194" s="74"/>
      <c r="K194" s="74"/>
      <c r="L194" s="74"/>
      <c r="M194" s="74"/>
      <c r="N194" s="74"/>
    </row>
    <row r="195" spans="1:19" ht="11.4" thickBot="1">
      <c r="A195" s="71" t="s">
        <v>160</v>
      </c>
      <c r="B195" s="95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</row>
  </sheetData>
  <mergeCells count="353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</mergeCells>
  <phoneticPr fontId="3"/>
  <conditionalFormatting sqref="C34:C57">
    <cfRule type="cellIs" dxfId="15" priority="18" stopIfTrue="1" operator="notEqual">
      <formula>Q34</formula>
    </cfRule>
  </conditionalFormatting>
  <conditionalFormatting sqref="D34:E57">
    <cfRule type="cellIs" dxfId="14" priority="16" stopIfTrue="1" operator="notEqual">
      <formula>R34</formula>
    </cfRule>
  </conditionalFormatting>
  <conditionalFormatting sqref="C61:C86">
    <cfRule type="cellIs" dxfId="13" priority="14" stopIfTrue="1" operator="notEqual">
      <formula>Q61</formula>
    </cfRule>
  </conditionalFormatting>
  <conditionalFormatting sqref="C7:C15">
    <cfRule type="cellIs" dxfId="12" priority="3" operator="notEqual">
      <formula>Q7</formula>
    </cfRule>
  </conditionalFormatting>
  <conditionalFormatting sqref="C19:C30">
    <cfRule type="cellIs" dxfId="11" priority="2" operator="notEqual">
      <formula>Q19</formula>
    </cfRule>
  </conditionalFormatting>
  <conditionalFormatting sqref="D61:E76">
    <cfRule type="cellIs" dxfId="10" priority="1" operator="notEqual">
      <formula>R61</formula>
    </cfRule>
  </conditionalFormatting>
  <conditionalFormatting sqref="D77:E86">
    <cfRule type="expression" dxfId="9" priority="37">
      <formula>OR($C77=$Q$113,$C77=$Q$114)</formula>
    </cfRule>
  </conditionalFormatting>
  <conditionalFormatting sqref="C19:F30">
    <cfRule type="expression" dxfId="8" priority="38">
      <formula>$C19=$Q$116</formula>
    </cfRule>
  </conditionalFormatting>
  <dataValidations count="29">
    <dataValidation type="list" allowBlank="1" showInputMessage="1" showErrorMessage="1" sqref="H61:H86" xr:uid="{00000000-0002-0000-0000-000000000000}">
      <formula1>$O$104:$O$107</formula1>
    </dataValidation>
    <dataValidation type="list" allowBlank="1" showInputMessage="1" showErrorMessage="1" sqref="D7:F15 D20:D29 D19:F19" xr:uid="{00000000-0002-0000-0000-000005000000}">
      <formula1>IF(C7&lt;&gt;0,$M$124:$M$136,)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S34:S57 S61:S85" xr:uid="{00000000-0002-0000-0000-000008000000}">
      <formula1>$N$107:$N$108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G34:G57 N4 P3 G7:G15 G19:G30 G61:G86" xr:uid="{00000000-0002-0000-0000-00000C000000}"/>
    <dataValidation type="list" allowBlank="1" showInputMessage="1" showErrorMessage="1" sqref="F34:F57 F61:F86" xr:uid="{00000000-0002-0000-0000-00000D000000}">
      <formula1>$N$105:$N$106</formula1>
    </dataValidation>
    <dataValidation type="list" allowBlank="1" showInputMessage="1" sqref="H7:H15 H19:H30 H34:H57" xr:uid="{00000000-0002-0000-0000-00000E000000}">
      <formula1>$O$104:$O$107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J4:K4" xr:uid="{00000000-0002-0000-0000-000012000000}">
      <formula1>$I$146:$I$164</formula1>
    </dataValidation>
    <dataValidation type="list" allowBlank="1" showInputMessage="1" showErrorMessage="1" sqref="D30" xr:uid="{00000000-0002-0000-0000-000009000000}">
      <formula1>IF(B30&lt;&gt;0,$M$105:$M$117,)</formula1>
    </dataValidation>
    <dataValidation type="list" allowBlank="1" showInputMessage="1" showErrorMessage="1" sqref="A61:B76" xr:uid="{B942091F-E2B7-43CA-BB0B-B5EC15900D5F}">
      <formula1>$E$104:$H$104</formula1>
    </dataValidation>
    <dataValidation type="list" allowBlank="1" showInputMessage="1" showErrorMessage="1" sqref="C61:C76" xr:uid="{A4317FBD-AECD-4AFE-90E1-989D2A61E912}">
      <formula1>IF(A61=$F$104,$F$105:$F$118,IF(A61=$G$104,$G$105:$G$122,IF(A61=$H$104,$H$105:$H$109,"")))</formula1>
    </dataValidation>
    <dataValidation type="list" allowBlank="1" showInputMessage="1" showErrorMessage="1" sqref="C77:C86" xr:uid="{6CC7DC5C-87C5-4852-AEEF-69BD44E376C7}">
      <formula1>IF(A77=$J$104,$J$105:$J$106,IF(A77=$K$104,$K$105:$K$109,IF(A77=$L$104,$L$105:$L$109,"")))</formula1>
    </dataValidation>
    <dataValidation type="list" allowBlank="1" showInputMessage="1" showErrorMessage="1" sqref="A77:B86" xr:uid="{52D12559-6CCA-481D-B778-6288A18AD002}">
      <formula1>$I$104:$L$104</formula1>
    </dataValidation>
    <dataValidation type="list" allowBlank="1" showInputMessage="1" showErrorMessage="1" sqref="B4:C4" xr:uid="{00000000-0002-0000-0000-000013000000}">
      <formula1>$A$145:$H$145</formula1>
    </dataValidation>
    <dataValidation type="list" allowBlank="1" showInputMessage="1" showErrorMessage="1" sqref="D45:D57 D61:D76 D34:E44" xr:uid="{00000000-0002-0000-0000-000004000000}">
      <formula1>IF(A34=$B$104,$B$124:$B$143,IF(A34=$C$104,$C$124:$C$143,IF(A34=$D$104,$D$124:$D$143,IF(A34=$E$104,$E$124:$E$143,IF(A34=$F$104,$F$124:$F$143,IF(A34=$G$104,$G$124:$G$143,IF(A34=$H$104,$H$124:$H$143,IF(A34=$K$104,$K$124:$K$143,$L$124:$L$143))))))))</formula1>
    </dataValidation>
    <dataValidation type="list" allowBlank="1" showInputMessage="1" showErrorMessage="1" sqref="A34:B57" xr:uid="{8AA4CD14-0717-49F6-830D-218C868F1799}">
      <formula1>$A$104:$D$104</formula1>
    </dataValidation>
    <dataValidation type="list" allowBlank="1" showInputMessage="1" showErrorMessage="1" sqref="C34:C57" xr:uid="{897716F0-679E-49FA-B45E-9ED9859CD1C2}">
      <formula1>IF(A34=$B$104,$B$105:$B$114,IF(A34=$C$104,$C$105:$C$114,IF(A34=$D$104,$D$105:$D$112,"")))</formula1>
    </dataValidation>
    <dataValidation type="list" allowBlank="1" showInputMessage="1" showErrorMessage="1" sqref="E4:G4" xr:uid="{00000000-0002-0000-0000-000014000000}">
      <formula1>IF($B$4=B145,$B$146:$B$151,IF($B$4=$C$145,$C$146:$C$151,IF($B$4=$D$145,$D$146:$D$151,IF($B$4=$E$145,$E$146:$E$151,IF($B$4=$F$145,$F$146:$F$151,IF($B$4=$G$145,$G$146:$G$151,$H$146:$H$151))))))</formula1>
    </dataValidation>
    <dataValidation type="list" allowBlank="1" showInputMessage="1" showErrorMessage="1" sqref="A19:B30" xr:uid="{00000000-0002-0000-0000-000011000000}">
      <formula1>$V$105:$V$106</formula1>
    </dataValidation>
    <dataValidation type="list" allowBlank="1" showInputMessage="1" showErrorMessage="1" sqref="C7:C15" xr:uid="{A301A605-4B3D-4505-90A9-393AD9967BD7}">
      <formula1>$W$105:$W$109</formula1>
    </dataValidation>
    <dataValidation type="list" allowBlank="1" showInputMessage="1" showErrorMessage="1" sqref="A7:B15" xr:uid="{00000000-0002-0000-0000-000010000000}">
      <formula1>$U$105:$U$106</formula1>
    </dataValidation>
    <dataValidation type="list" allowBlank="1" showInputMessage="1" showErrorMessage="1" sqref="C19:C30" xr:uid="{0D39A085-BCF1-488C-BAC5-97C861545FC7}">
      <formula1>$M$105:$M$118</formula1>
    </dataValidation>
    <dataValidation type="custom" imeMode="off" allowBlank="1" showInputMessage="1" showErrorMessage="1" sqref="I7:J15" xr:uid="{C0997E9F-3FD1-4A96-8FD2-4685BB4FD65A}">
      <formula1>I7:J15-ROUNDDOWN(I7:J15,4)=0</formula1>
    </dataValidation>
    <dataValidation type="custom" imeMode="off" allowBlank="1" showInputMessage="1" showErrorMessage="1" sqref="I19:J30" xr:uid="{BAB194E1-7A56-4490-A143-DA4764D747D5}">
      <formula1>I19:J30-ROUNDDOWN(I19:J30,4)=0</formula1>
    </dataValidation>
    <dataValidation type="custom" imeMode="off" allowBlank="1" showInputMessage="1" showErrorMessage="1" sqref="I34:J57" xr:uid="{407553CD-B766-4E70-9600-A8BD9BFE506D}">
      <formula1>I34:J57-ROUNDDOWN(I34:J57,4)=0</formula1>
    </dataValidation>
    <dataValidation type="custom" imeMode="off" allowBlank="1" showInputMessage="1" showErrorMessage="1" sqref="I61:J86" xr:uid="{A9783D25-0168-4DB7-B853-B98CD425DF2E}">
      <formula1>I61:J86-ROUNDDOWN(I61:J86,4)=0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1" t="s">
        <v>268</v>
      </c>
      <c r="B1" s="262" t="s">
        <v>269</v>
      </c>
      <c r="C1" s="262" t="s">
        <v>270</v>
      </c>
      <c r="D1" s="262" t="s">
        <v>271</v>
      </c>
      <c r="E1" s="262" t="s">
        <v>272</v>
      </c>
      <c r="F1" s="262" t="s">
        <v>273</v>
      </c>
    </row>
    <row r="2" spans="1:6">
      <c r="A2" s="261">
        <f>ROW()-1</f>
        <v>1</v>
      </c>
      <c r="B2" s="263">
        <v>43616</v>
      </c>
      <c r="C2" s="261" t="s">
        <v>274</v>
      </c>
      <c r="D2" s="261" t="s">
        <v>278</v>
      </c>
      <c r="E2" s="261" t="s">
        <v>275</v>
      </c>
      <c r="F2" s="261" t="s">
        <v>275</v>
      </c>
    </row>
    <row r="3" spans="1:6">
      <c r="A3" s="261">
        <f t="shared" ref="A3:A23" si="0">ROW()-1</f>
        <v>2</v>
      </c>
      <c r="B3" s="263">
        <v>43616</v>
      </c>
      <c r="C3" s="261" t="s">
        <v>276</v>
      </c>
      <c r="D3" s="261" t="s">
        <v>278</v>
      </c>
      <c r="E3" s="261" t="s">
        <v>275</v>
      </c>
      <c r="F3" s="261" t="s">
        <v>275</v>
      </c>
    </row>
    <row r="4" spans="1:6">
      <c r="A4" s="261">
        <f t="shared" si="0"/>
        <v>3</v>
      </c>
      <c r="B4" s="263">
        <v>43616</v>
      </c>
      <c r="C4" s="261" t="s">
        <v>277</v>
      </c>
      <c r="D4" s="261" t="s">
        <v>278</v>
      </c>
      <c r="E4" s="261" t="s">
        <v>279</v>
      </c>
      <c r="F4" s="261"/>
    </row>
    <row r="5" spans="1:6">
      <c r="A5" s="261">
        <f t="shared" si="0"/>
        <v>4</v>
      </c>
      <c r="B5" s="263">
        <v>43631</v>
      </c>
      <c r="C5" s="261" t="s">
        <v>280</v>
      </c>
      <c r="D5" s="261" t="s">
        <v>278</v>
      </c>
      <c r="E5" s="261" t="s">
        <v>275</v>
      </c>
      <c r="F5" s="261" t="s">
        <v>275</v>
      </c>
    </row>
    <row r="6" spans="1:6">
      <c r="A6" s="261">
        <f t="shared" si="0"/>
        <v>5</v>
      </c>
      <c r="B6" s="263">
        <v>43631</v>
      </c>
      <c r="C6" s="261" t="s">
        <v>281</v>
      </c>
      <c r="D6" s="261" t="s">
        <v>278</v>
      </c>
      <c r="E6" s="261" t="s">
        <v>275</v>
      </c>
      <c r="F6" s="261" t="s">
        <v>275</v>
      </c>
    </row>
    <row r="7" spans="1:6" ht="39.6">
      <c r="A7" s="261">
        <f t="shared" si="0"/>
        <v>6</v>
      </c>
      <c r="B7" s="263">
        <v>43649</v>
      </c>
      <c r="C7" s="271" t="s">
        <v>295</v>
      </c>
      <c r="D7" s="261" t="s">
        <v>294</v>
      </c>
      <c r="E7" s="261" t="s">
        <v>275</v>
      </c>
      <c r="F7" s="261" t="s">
        <v>275</v>
      </c>
    </row>
    <row r="8" spans="1:6" ht="26.4">
      <c r="A8" s="261">
        <f t="shared" si="0"/>
        <v>7</v>
      </c>
      <c r="B8" s="263">
        <v>43651</v>
      </c>
      <c r="C8" s="271" t="s">
        <v>299</v>
      </c>
      <c r="D8" s="261" t="s">
        <v>294</v>
      </c>
      <c r="E8" s="261" t="s">
        <v>275</v>
      </c>
      <c r="F8" s="261" t="s">
        <v>275</v>
      </c>
    </row>
    <row r="9" spans="1:6" ht="52.8">
      <c r="A9" s="261">
        <f t="shared" si="0"/>
        <v>8</v>
      </c>
      <c r="B9" s="263">
        <v>43731</v>
      </c>
      <c r="C9" s="271" t="s">
        <v>302</v>
      </c>
      <c r="D9" s="261" t="s">
        <v>294</v>
      </c>
      <c r="E9" s="261" t="s">
        <v>275</v>
      </c>
      <c r="F9" s="261" t="s">
        <v>275</v>
      </c>
    </row>
    <row r="10" spans="1:6">
      <c r="A10" s="261">
        <f t="shared" si="0"/>
        <v>9</v>
      </c>
      <c r="B10" s="261"/>
      <c r="C10" s="261"/>
      <c r="D10" s="261"/>
      <c r="E10" s="261"/>
      <c r="F10" s="261"/>
    </row>
    <row r="11" spans="1:6">
      <c r="A11" s="261">
        <f t="shared" si="0"/>
        <v>10</v>
      </c>
      <c r="B11" s="261"/>
      <c r="C11" s="261"/>
      <c r="D11" s="261"/>
      <c r="E11" s="261"/>
      <c r="F11" s="261"/>
    </row>
    <row r="12" spans="1:6">
      <c r="A12" s="261">
        <f t="shared" si="0"/>
        <v>11</v>
      </c>
      <c r="B12" s="261"/>
      <c r="C12" s="261"/>
      <c r="D12" s="261"/>
      <c r="E12" s="261"/>
      <c r="F12" s="261"/>
    </row>
    <row r="13" spans="1:6">
      <c r="A13" s="261">
        <f t="shared" si="0"/>
        <v>12</v>
      </c>
      <c r="B13" s="261"/>
      <c r="C13" s="261"/>
      <c r="D13" s="261"/>
      <c r="E13" s="261"/>
      <c r="F13" s="261"/>
    </row>
    <row r="14" spans="1:6">
      <c r="A14" s="261">
        <f t="shared" si="0"/>
        <v>13</v>
      </c>
      <c r="B14" s="261"/>
      <c r="C14" s="261"/>
      <c r="D14" s="261"/>
      <c r="E14" s="261"/>
      <c r="F14" s="261"/>
    </row>
    <row r="15" spans="1:6">
      <c r="A15" s="261">
        <f t="shared" si="0"/>
        <v>14</v>
      </c>
      <c r="B15" s="261"/>
      <c r="C15" s="261"/>
      <c r="D15" s="261"/>
      <c r="E15" s="261"/>
      <c r="F15" s="261"/>
    </row>
    <row r="16" spans="1:6">
      <c r="A16" s="261">
        <f t="shared" si="0"/>
        <v>15</v>
      </c>
      <c r="B16" s="261"/>
      <c r="C16" s="261"/>
      <c r="D16" s="261"/>
      <c r="E16" s="261"/>
      <c r="F16" s="261"/>
    </row>
    <row r="17" spans="1:6">
      <c r="A17" s="261">
        <f t="shared" si="0"/>
        <v>16</v>
      </c>
      <c r="B17" s="261"/>
      <c r="C17" s="261"/>
      <c r="D17" s="261"/>
      <c r="E17" s="261"/>
      <c r="F17" s="261"/>
    </row>
    <row r="18" spans="1:6">
      <c r="A18" s="261">
        <f t="shared" si="0"/>
        <v>17</v>
      </c>
      <c r="B18" s="261"/>
      <c r="C18" s="261"/>
      <c r="D18" s="261"/>
      <c r="E18" s="261"/>
      <c r="F18" s="261"/>
    </row>
    <row r="19" spans="1:6">
      <c r="A19" s="261">
        <f t="shared" si="0"/>
        <v>18</v>
      </c>
      <c r="B19" s="261"/>
      <c r="C19" s="261"/>
      <c r="D19" s="261"/>
      <c r="E19" s="261"/>
      <c r="F19" s="261"/>
    </row>
    <row r="20" spans="1:6">
      <c r="A20" s="261">
        <f t="shared" si="0"/>
        <v>19</v>
      </c>
      <c r="B20" s="261"/>
      <c r="C20" s="261"/>
      <c r="D20" s="261"/>
      <c r="E20" s="261"/>
      <c r="F20" s="261"/>
    </row>
    <row r="21" spans="1:6">
      <c r="A21" s="261">
        <f t="shared" si="0"/>
        <v>20</v>
      </c>
      <c r="B21" s="261"/>
      <c r="C21" s="261"/>
      <c r="D21" s="261"/>
      <c r="E21" s="261"/>
      <c r="F21" s="261"/>
    </row>
    <row r="22" spans="1:6">
      <c r="A22" s="261">
        <f t="shared" si="0"/>
        <v>21</v>
      </c>
      <c r="B22" s="261"/>
      <c r="C22" s="261"/>
      <c r="D22" s="261"/>
      <c r="E22" s="261"/>
      <c r="F22" s="261"/>
    </row>
    <row r="23" spans="1:6">
      <c r="A23" s="261">
        <f t="shared" si="0"/>
        <v>22</v>
      </c>
      <c r="B23" s="261"/>
      <c r="C23" s="261"/>
      <c r="D23" s="261"/>
      <c r="E23" s="261"/>
      <c r="F23" s="261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289" t="s">
        <v>63</v>
      </c>
      <c r="F2" s="289"/>
      <c r="G2" s="289"/>
      <c r="H2" s="289"/>
      <c r="I2" s="289"/>
      <c r="J2" s="289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546" t="s">
        <v>205</v>
      </c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8"/>
    </row>
    <row r="4" spans="1:24" ht="14.25" customHeight="1" thickBot="1">
      <c r="A4" s="5" t="s">
        <v>201</v>
      </c>
      <c r="B4" s="545" t="s">
        <v>230</v>
      </c>
      <c r="C4" s="545"/>
      <c r="D4" s="298" t="s">
        <v>202</v>
      </c>
      <c r="E4" s="299"/>
      <c r="F4" s="300" t="s">
        <v>218</v>
      </c>
      <c r="G4" s="300"/>
      <c r="H4" s="300"/>
      <c r="I4" s="7" t="s">
        <v>4</v>
      </c>
      <c r="J4" s="6">
        <v>100</v>
      </c>
      <c r="K4" s="298" t="s">
        <v>249</v>
      </c>
      <c r="L4" s="299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302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</row>
    <row r="6" spans="1:24" ht="18" customHeight="1">
      <c r="A6" s="549" t="s">
        <v>5</v>
      </c>
      <c r="B6" s="550"/>
      <c r="C6" s="141" t="s">
        <v>6</v>
      </c>
      <c r="D6" s="551" t="s">
        <v>7</v>
      </c>
      <c r="E6" s="552"/>
      <c r="F6" s="550"/>
      <c r="G6" s="142" t="s">
        <v>8</v>
      </c>
      <c r="H6" s="143" t="s">
        <v>9</v>
      </c>
      <c r="I6" s="144" t="s">
        <v>10</v>
      </c>
      <c r="J6" s="553" t="s">
        <v>11</v>
      </c>
      <c r="K6" s="554"/>
      <c r="L6" s="162" t="s">
        <v>238</v>
      </c>
      <c r="M6" s="555" t="s">
        <v>149</v>
      </c>
      <c r="N6" s="555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538" t="s">
        <v>237</v>
      </c>
      <c r="B7" s="539"/>
      <c r="C7" s="145" t="s">
        <v>233</v>
      </c>
      <c r="D7" s="540"/>
      <c r="E7" s="541"/>
      <c r="F7" s="542"/>
      <c r="G7" s="146">
        <v>10000</v>
      </c>
      <c r="H7" s="147" t="s">
        <v>14</v>
      </c>
      <c r="I7" s="148">
        <v>1250</v>
      </c>
      <c r="J7" s="510">
        <f>ROUNDDOWN(IF(H7="US",G7*I7*$O$18,G7*I7),0)</f>
        <v>12500000</v>
      </c>
      <c r="K7" s="511"/>
      <c r="L7" s="159"/>
      <c r="M7" s="321"/>
      <c r="N7" s="322"/>
      <c r="O7" s="323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538" t="s">
        <v>237</v>
      </c>
      <c r="B8" s="539"/>
      <c r="C8" s="145" t="s">
        <v>233</v>
      </c>
      <c r="D8" s="540"/>
      <c r="E8" s="541"/>
      <c r="F8" s="542"/>
      <c r="G8" s="149"/>
      <c r="H8" s="150" t="s">
        <v>14</v>
      </c>
      <c r="I8" s="151"/>
      <c r="J8" s="510">
        <f t="shared" ref="J8:J15" si="0">ROUNDDOWN(IF(H8="US",G8*I8*$O$18,G8*I8),0)</f>
        <v>0</v>
      </c>
      <c r="K8" s="511"/>
      <c r="L8" s="159"/>
      <c r="M8" s="321"/>
      <c r="N8" s="322"/>
      <c r="O8" s="323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538" t="s">
        <v>237</v>
      </c>
      <c r="B9" s="539"/>
      <c r="C9" s="145" t="s">
        <v>233</v>
      </c>
      <c r="D9" s="540"/>
      <c r="E9" s="541"/>
      <c r="F9" s="542"/>
      <c r="G9" s="149"/>
      <c r="H9" s="150" t="s">
        <v>14</v>
      </c>
      <c r="I9" s="151"/>
      <c r="J9" s="510">
        <f t="shared" si="0"/>
        <v>0</v>
      </c>
      <c r="K9" s="511"/>
      <c r="L9" s="163"/>
      <c r="M9" s="324"/>
      <c r="N9" s="324"/>
      <c r="O9" s="32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538" t="s">
        <v>237</v>
      </c>
      <c r="B10" s="539"/>
      <c r="C10" s="145" t="s">
        <v>234</v>
      </c>
      <c r="D10" s="540"/>
      <c r="E10" s="541"/>
      <c r="F10" s="542"/>
      <c r="G10" s="149"/>
      <c r="H10" s="150" t="s">
        <v>14</v>
      </c>
      <c r="I10" s="151"/>
      <c r="J10" s="510">
        <f t="shared" si="0"/>
        <v>0</v>
      </c>
      <c r="K10" s="511"/>
      <c r="L10" s="163"/>
      <c r="M10" s="324"/>
      <c r="N10" s="324"/>
      <c r="O10" s="325"/>
      <c r="R10" s="14"/>
      <c r="S10" s="15"/>
      <c r="T10" s="15"/>
      <c r="U10" s="15"/>
      <c r="V10" s="15"/>
      <c r="W10" s="15"/>
      <c r="X10" s="15"/>
    </row>
    <row r="11" spans="1:24" ht="14.1" customHeight="1">
      <c r="A11" s="538" t="s">
        <v>237</v>
      </c>
      <c r="B11" s="539"/>
      <c r="C11" s="145" t="s">
        <v>235</v>
      </c>
      <c r="D11" s="540"/>
      <c r="E11" s="541"/>
      <c r="F11" s="542"/>
      <c r="G11" s="149">
        <v>24</v>
      </c>
      <c r="H11" s="150" t="s">
        <v>14</v>
      </c>
      <c r="I11" s="151">
        <v>1200</v>
      </c>
      <c r="J11" s="510">
        <f t="shared" si="0"/>
        <v>28800</v>
      </c>
      <c r="K11" s="511"/>
      <c r="L11" s="163"/>
      <c r="M11" s="324"/>
      <c r="N11" s="324"/>
      <c r="O11" s="325"/>
      <c r="R11" s="14"/>
      <c r="S11" s="15"/>
      <c r="T11" s="15"/>
      <c r="U11" s="15"/>
      <c r="V11" s="15"/>
      <c r="W11" s="15"/>
      <c r="X11" s="15"/>
    </row>
    <row r="12" spans="1:24" ht="14.1" customHeight="1">
      <c r="A12" s="538" t="s">
        <v>237</v>
      </c>
      <c r="B12" s="539"/>
      <c r="C12" s="145" t="s">
        <v>236</v>
      </c>
      <c r="D12" s="540"/>
      <c r="E12" s="541"/>
      <c r="F12" s="542"/>
      <c r="G12" s="149">
        <v>96</v>
      </c>
      <c r="H12" s="150" t="s">
        <v>14</v>
      </c>
      <c r="I12" s="151">
        <v>1200</v>
      </c>
      <c r="J12" s="510">
        <f t="shared" si="0"/>
        <v>115200</v>
      </c>
      <c r="K12" s="511"/>
      <c r="L12" s="163"/>
      <c r="M12" s="324"/>
      <c r="N12" s="324"/>
      <c r="O12" s="325"/>
      <c r="R12" s="14"/>
      <c r="S12" s="15"/>
      <c r="T12" s="15"/>
      <c r="U12" s="15"/>
      <c r="V12" s="15"/>
      <c r="W12" s="15"/>
      <c r="X12" s="15"/>
    </row>
    <row r="13" spans="1:24" ht="14.1" customHeight="1">
      <c r="A13" s="538" t="s">
        <v>237</v>
      </c>
      <c r="B13" s="539"/>
      <c r="C13" s="145"/>
      <c r="D13" s="540"/>
      <c r="E13" s="541"/>
      <c r="F13" s="542"/>
      <c r="G13" s="149"/>
      <c r="H13" s="150" t="s">
        <v>14</v>
      </c>
      <c r="I13" s="151"/>
      <c r="J13" s="510">
        <f t="shared" si="0"/>
        <v>0</v>
      </c>
      <c r="K13" s="511"/>
      <c r="L13" s="163"/>
      <c r="M13" s="324"/>
      <c r="N13" s="324"/>
      <c r="O13" s="325"/>
      <c r="R13" s="14"/>
      <c r="S13" s="15"/>
      <c r="T13" s="15"/>
      <c r="U13" s="15"/>
      <c r="V13" s="15"/>
      <c r="W13" s="15"/>
      <c r="X13" s="15"/>
    </row>
    <row r="14" spans="1:24" ht="14.1" customHeight="1">
      <c r="A14" s="538" t="s">
        <v>237</v>
      </c>
      <c r="B14" s="539"/>
      <c r="C14" s="145"/>
      <c r="D14" s="540"/>
      <c r="E14" s="541"/>
      <c r="F14" s="542"/>
      <c r="G14" s="149"/>
      <c r="H14" s="150" t="s">
        <v>14</v>
      </c>
      <c r="I14" s="151"/>
      <c r="J14" s="510">
        <f t="shared" si="0"/>
        <v>0</v>
      </c>
      <c r="K14" s="511"/>
      <c r="L14" s="163"/>
      <c r="M14" s="324"/>
      <c r="N14" s="324"/>
      <c r="O14" s="325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543" t="s">
        <v>237</v>
      </c>
      <c r="B15" s="544"/>
      <c r="C15" s="152"/>
      <c r="D15" s="540"/>
      <c r="E15" s="541"/>
      <c r="F15" s="542"/>
      <c r="G15" s="153"/>
      <c r="H15" s="154" t="s">
        <v>14</v>
      </c>
      <c r="I15" s="155"/>
      <c r="J15" s="510">
        <f t="shared" si="0"/>
        <v>0</v>
      </c>
      <c r="K15" s="511"/>
      <c r="L15" s="164"/>
      <c r="M15" s="326"/>
      <c r="N15" s="326"/>
      <c r="O15" s="32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336" t="s">
        <v>232</v>
      </c>
      <c r="B16" s="337"/>
      <c r="C16" s="337"/>
      <c r="D16" s="337"/>
      <c r="E16" s="337"/>
      <c r="F16" s="338"/>
      <c r="G16" s="169">
        <f>SUM(G7:G15)</f>
        <v>10120</v>
      </c>
      <c r="H16" s="156"/>
      <c r="I16" s="339">
        <f>SUM(J7:J15)</f>
        <v>12644000</v>
      </c>
      <c r="J16" s="340"/>
      <c r="K16" s="341"/>
      <c r="L16" s="157"/>
      <c r="M16" s="342"/>
      <c r="N16" s="342"/>
      <c r="O16" s="343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5"/>
      <c r="S17" s="15"/>
      <c r="T17" s="15"/>
      <c r="U17" s="15"/>
      <c r="V17" s="15"/>
      <c r="W17" s="15"/>
      <c r="X17" s="15"/>
    </row>
    <row r="18" spans="1:24" ht="18" customHeight="1">
      <c r="A18" s="531" t="s">
        <v>5</v>
      </c>
      <c r="B18" s="532"/>
      <c r="C18" s="132" t="s">
        <v>6</v>
      </c>
      <c r="D18" s="533" t="s">
        <v>7</v>
      </c>
      <c r="E18" s="534"/>
      <c r="F18" s="532"/>
      <c r="G18" s="133" t="s">
        <v>8</v>
      </c>
      <c r="H18" s="134" t="s">
        <v>9</v>
      </c>
      <c r="I18" s="135" t="s">
        <v>10</v>
      </c>
      <c r="J18" s="535" t="s">
        <v>11</v>
      </c>
      <c r="K18" s="536"/>
      <c r="L18" s="162" t="s">
        <v>238</v>
      </c>
      <c r="M18" s="537" t="s">
        <v>149</v>
      </c>
      <c r="N18" s="537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507" t="s">
        <v>12</v>
      </c>
      <c r="B19" s="508"/>
      <c r="C19" s="9" t="s">
        <v>13</v>
      </c>
      <c r="D19" s="523"/>
      <c r="E19" s="524"/>
      <c r="F19" s="525"/>
      <c r="G19" s="10">
        <v>1</v>
      </c>
      <c r="H19" s="103" t="s">
        <v>14</v>
      </c>
      <c r="I19" s="11">
        <v>85000</v>
      </c>
      <c r="J19" s="510">
        <f>ROUNDDOWN(IF(H19="US",G19*I19*$O$18,G19*I19),0)</f>
        <v>85000</v>
      </c>
      <c r="K19" s="511"/>
      <c r="L19" s="159"/>
      <c r="M19" s="333"/>
      <c r="N19" s="334"/>
      <c r="O19" s="335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507" t="s">
        <v>12</v>
      </c>
      <c r="B20" s="508"/>
      <c r="C20" s="9" t="s">
        <v>15</v>
      </c>
      <c r="D20" s="523"/>
      <c r="E20" s="524"/>
      <c r="F20" s="525"/>
      <c r="G20" s="12"/>
      <c r="H20" s="104" t="s">
        <v>14</v>
      </c>
      <c r="I20" s="13"/>
      <c r="J20" s="510">
        <f t="shared" ref="J20:J31" si="1">ROUNDDOWN(IF(H20="US",G20*I20*$O$18,G20*I20),0)</f>
        <v>0</v>
      </c>
      <c r="K20" s="511"/>
      <c r="L20" s="159"/>
      <c r="M20" s="333"/>
      <c r="N20" s="334"/>
      <c r="O20" s="335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507" t="s">
        <v>12</v>
      </c>
      <c r="B21" s="508"/>
      <c r="C21" s="9" t="s">
        <v>16</v>
      </c>
      <c r="D21" s="523"/>
      <c r="E21" s="524"/>
      <c r="F21" s="525"/>
      <c r="G21" s="12"/>
      <c r="H21" s="104" t="s">
        <v>14</v>
      </c>
      <c r="I21" s="13"/>
      <c r="J21" s="510">
        <f t="shared" si="1"/>
        <v>0</v>
      </c>
      <c r="K21" s="511"/>
      <c r="L21" s="159"/>
      <c r="M21" s="353"/>
      <c r="N21" s="353"/>
      <c r="O21" s="354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507" t="s">
        <v>12</v>
      </c>
      <c r="B22" s="508"/>
      <c r="C22" s="9" t="s">
        <v>17</v>
      </c>
      <c r="D22" s="523"/>
      <c r="E22" s="524"/>
      <c r="F22" s="525"/>
      <c r="G22" s="12"/>
      <c r="H22" s="104" t="s">
        <v>14</v>
      </c>
      <c r="I22" s="13"/>
      <c r="J22" s="510">
        <f t="shared" si="1"/>
        <v>0</v>
      </c>
      <c r="K22" s="511"/>
      <c r="L22" s="159"/>
      <c r="M22" s="353"/>
      <c r="N22" s="353"/>
      <c r="O22" s="354"/>
      <c r="R22" s="14"/>
      <c r="S22" s="15"/>
      <c r="T22" s="15"/>
      <c r="U22" s="15"/>
      <c r="V22" s="15"/>
      <c r="W22" s="15"/>
      <c r="X22" s="15"/>
    </row>
    <row r="23" spans="1:24" ht="14.1" customHeight="1">
      <c r="A23" s="507" t="s">
        <v>12</v>
      </c>
      <c r="B23" s="508"/>
      <c r="C23" s="9" t="s">
        <v>18</v>
      </c>
      <c r="D23" s="523"/>
      <c r="E23" s="524"/>
      <c r="F23" s="525"/>
      <c r="G23" s="12"/>
      <c r="H23" s="104" t="s">
        <v>14</v>
      </c>
      <c r="I23" s="13"/>
      <c r="J23" s="510">
        <f t="shared" si="1"/>
        <v>0</v>
      </c>
      <c r="K23" s="511"/>
      <c r="L23" s="159"/>
      <c r="M23" s="353"/>
      <c r="N23" s="353"/>
      <c r="O23" s="354"/>
      <c r="R23" s="14"/>
      <c r="S23" s="15"/>
      <c r="T23" s="15"/>
      <c r="U23" s="15"/>
      <c r="V23" s="15"/>
      <c r="W23" s="15"/>
      <c r="X23" s="15"/>
    </row>
    <row r="24" spans="1:24" ht="14.1" customHeight="1">
      <c r="A24" s="507" t="s">
        <v>12</v>
      </c>
      <c r="B24" s="508"/>
      <c r="C24" s="9" t="s">
        <v>19</v>
      </c>
      <c r="D24" s="523"/>
      <c r="E24" s="524"/>
      <c r="F24" s="525"/>
      <c r="G24" s="12"/>
      <c r="H24" s="104" t="s">
        <v>14</v>
      </c>
      <c r="I24" s="13"/>
      <c r="J24" s="510">
        <f t="shared" si="1"/>
        <v>0</v>
      </c>
      <c r="K24" s="511"/>
      <c r="L24" s="159"/>
      <c r="M24" s="353"/>
      <c r="N24" s="353"/>
      <c r="O24" s="354"/>
      <c r="R24" s="14"/>
      <c r="S24" s="15"/>
      <c r="T24" s="15"/>
      <c r="U24" s="15"/>
      <c r="V24" s="15"/>
      <c r="W24" s="15"/>
      <c r="X24" s="15"/>
    </row>
    <row r="25" spans="1:24" ht="14.1" customHeight="1">
      <c r="A25" s="507" t="s">
        <v>12</v>
      </c>
      <c r="B25" s="508"/>
      <c r="C25" s="9" t="s">
        <v>20</v>
      </c>
      <c r="D25" s="523"/>
      <c r="E25" s="524"/>
      <c r="F25" s="525"/>
      <c r="G25" s="12"/>
      <c r="H25" s="104" t="s">
        <v>14</v>
      </c>
      <c r="I25" s="13"/>
      <c r="J25" s="510">
        <f t="shared" si="1"/>
        <v>0</v>
      </c>
      <c r="K25" s="511"/>
      <c r="L25" s="159"/>
      <c r="M25" s="353"/>
      <c r="N25" s="353"/>
      <c r="O25" s="354"/>
      <c r="R25" s="14"/>
      <c r="S25" s="15"/>
      <c r="T25" s="15"/>
      <c r="U25" s="15"/>
      <c r="V25" s="15"/>
      <c r="W25" s="15"/>
      <c r="X25" s="15"/>
    </row>
    <row r="26" spans="1:24" ht="14.1" customHeight="1">
      <c r="A26" s="507" t="s">
        <v>12</v>
      </c>
      <c r="B26" s="508"/>
      <c r="C26" s="9"/>
      <c r="D26" s="523"/>
      <c r="E26" s="524"/>
      <c r="F26" s="525"/>
      <c r="G26" s="12"/>
      <c r="H26" s="104" t="s">
        <v>14</v>
      </c>
      <c r="I26" s="13"/>
      <c r="J26" s="510">
        <f t="shared" si="1"/>
        <v>0</v>
      </c>
      <c r="K26" s="511"/>
      <c r="L26" s="159"/>
      <c r="M26" s="353"/>
      <c r="N26" s="353"/>
      <c r="O26" s="354"/>
      <c r="R26" s="14"/>
      <c r="S26" s="15"/>
      <c r="T26" s="15"/>
      <c r="U26" s="15"/>
      <c r="V26" s="15"/>
      <c r="W26" s="15"/>
      <c r="X26" s="15"/>
    </row>
    <row r="27" spans="1:24" ht="14.1" customHeight="1">
      <c r="A27" s="507" t="s">
        <v>12</v>
      </c>
      <c r="B27" s="508"/>
      <c r="C27" s="9"/>
      <c r="D27" s="523"/>
      <c r="E27" s="524"/>
      <c r="F27" s="525"/>
      <c r="G27" s="12"/>
      <c r="H27" s="104" t="s">
        <v>14</v>
      </c>
      <c r="I27" s="13"/>
      <c r="J27" s="510">
        <f t="shared" si="1"/>
        <v>0</v>
      </c>
      <c r="K27" s="511"/>
      <c r="L27" s="159"/>
      <c r="M27" s="353"/>
      <c r="N27" s="353"/>
      <c r="O27" s="354"/>
      <c r="R27" s="14"/>
      <c r="S27" s="15"/>
      <c r="T27" s="15"/>
      <c r="U27" s="15"/>
      <c r="V27" s="15"/>
      <c r="W27" s="15"/>
      <c r="X27" s="15"/>
    </row>
    <row r="28" spans="1:24" ht="14.1" customHeight="1">
      <c r="A28" s="507" t="s">
        <v>12</v>
      </c>
      <c r="B28" s="508"/>
      <c r="C28" s="9"/>
      <c r="D28" s="523"/>
      <c r="E28" s="524"/>
      <c r="F28" s="525"/>
      <c r="G28" s="12"/>
      <c r="H28" s="104" t="s">
        <v>14</v>
      </c>
      <c r="I28" s="13"/>
      <c r="J28" s="510">
        <f t="shared" si="1"/>
        <v>0</v>
      </c>
      <c r="K28" s="511"/>
      <c r="L28" s="159"/>
      <c r="M28" s="353"/>
      <c r="N28" s="353"/>
      <c r="O28" s="354"/>
      <c r="R28" s="14"/>
      <c r="S28" s="15"/>
      <c r="T28" s="15"/>
      <c r="U28" s="15"/>
      <c r="V28" s="15"/>
      <c r="W28" s="15"/>
      <c r="X28" s="15"/>
    </row>
    <row r="29" spans="1:24" ht="14.1" customHeight="1">
      <c r="A29" s="507" t="s">
        <v>12</v>
      </c>
      <c r="B29" s="508"/>
      <c r="C29" s="9"/>
      <c r="D29" s="523"/>
      <c r="E29" s="524"/>
      <c r="F29" s="525"/>
      <c r="G29" s="12"/>
      <c r="H29" s="104" t="s">
        <v>14</v>
      </c>
      <c r="I29" s="13"/>
      <c r="J29" s="510">
        <f t="shared" si="1"/>
        <v>0</v>
      </c>
      <c r="K29" s="511"/>
      <c r="L29" s="159"/>
      <c r="M29" s="353"/>
      <c r="N29" s="353"/>
      <c r="O29" s="354"/>
      <c r="R29" s="14"/>
      <c r="S29" s="15"/>
      <c r="T29" s="15"/>
      <c r="U29" s="15"/>
      <c r="V29" s="15"/>
      <c r="W29" s="15"/>
      <c r="X29" s="15"/>
    </row>
    <row r="30" spans="1:24" ht="14.1" customHeight="1">
      <c r="A30" s="507" t="s">
        <v>12</v>
      </c>
      <c r="B30" s="508"/>
      <c r="C30" s="9"/>
      <c r="D30" s="523"/>
      <c r="E30" s="524"/>
      <c r="F30" s="525"/>
      <c r="G30" s="12"/>
      <c r="H30" s="104" t="s">
        <v>14</v>
      </c>
      <c r="I30" s="13"/>
      <c r="J30" s="510">
        <f t="shared" si="1"/>
        <v>0</v>
      </c>
      <c r="K30" s="511"/>
      <c r="L30" s="159"/>
      <c r="M30" s="353"/>
      <c r="N30" s="353"/>
      <c r="O30" s="354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26" t="s">
        <v>12</v>
      </c>
      <c r="B31" s="527"/>
      <c r="C31" s="100" t="s">
        <v>153</v>
      </c>
      <c r="D31" s="528"/>
      <c r="E31" s="529"/>
      <c r="F31" s="530"/>
      <c r="G31" s="101"/>
      <c r="H31" s="105" t="s">
        <v>14</v>
      </c>
      <c r="I31" s="97"/>
      <c r="J31" s="510">
        <f t="shared" si="1"/>
        <v>0</v>
      </c>
      <c r="K31" s="511"/>
      <c r="L31" s="161"/>
      <c r="M31" s="373"/>
      <c r="N31" s="373"/>
      <c r="O31" s="374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55" t="s">
        <v>21</v>
      </c>
      <c r="B32" s="356"/>
      <c r="C32" s="356"/>
      <c r="D32" s="356"/>
      <c r="E32" s="356"/>
      <c r="F32" s="357"/>
      <c r="G32" s="168">
        <f>SUM(G19:G31)</f>
        <v>1</v>
      </c>
      <c r="H32" s="102"/>
      <c r="I32" s="358">
        <f>SUM(J19:J31)</f>
        <v>85000</v>
      </c>
      <c r="J32" s="359"/>
      <c r="K32" s="360"/>
      <c r="L32" s="98"/>
      <c r="M32" s="361"/>
      <c r="N32" s="361"/>
      <c r="O32" s="362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344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6"/>
      <c r="R33" s="15"/>
      <c r="S33" s="15"/>
      <c r="T33" s="15"/>
      <c r="U33" s="15"/>
      <c r="V33" s="15"/>
      <c r="W33" s="15"/>
      <c r="X33" s="15"/>
    </row>
    <row r="34" spans="1:24" ht="20.25" customHeight="1">
      <c r="A34" s="518" t="s">
        <v>22</v>
      </c>
      <c r="B34" s="519"/>
      <c r="C34" s="136" t="s">
        <v>23</v>
      </c>
      <c r="D34" s="520" t="s">
        <v>24</v>
      </c>
      <c r="E34" s="519"/>
      <c r="F34" s="136" t="s">
        <v>25</v>
      </c>
      <c r="G34" s="136" t="s">
        <v>26</v>
      </c>
      <c r="H34" s="136" t="s">
        <v>9</v>
      </c>
      <c r="I34" s="136" t="s">
        <v>27</v>
      </c>
      <c r="J34" s="520" t="s">
        <v>28</v>
      </c>
      <c r="K34" s="519"/>
      <c r="L34" s="160" t="s">
        <v>238</v>
      </c>
      <c r="M34" s="521" t="s">
        <v>65</v>
      </c>
      <c r="N34" s="522"/>
      <c r="O34" s="137">
        <f>$O$18</f>
        <v>114</v>
      </c>
      <c r="Q34" s="79" t="s">
        <v>200</v>
      </c>
    </row>
    <row r="35" spans="1:24" ht="14.1" customHeight="1">
      <c r="A35" s="507" t="s">
        <v>33</v>
      </c>
      <c r="B35" s="508"/>
      <c r="C35" s="16" t="s">
        <v>34</v>
      </c>
      <c r="D35" s="509"/>
      <c r="E35" s="508"/>
      <c r="F35" s="17"/>
      <c r="G35" s="12">
        <v>1</v>
      </c>
      <c r="H35" s="104"/>
      <c r="I35" s="13">
        <v>80000</v>
      </c>
      <c r="J35" s="510">
        <f>ROUNDDOWN(IF(H35="US",G35*I35*$O$18,G35*I35),0)</f>
        <v>80000</v>
      </c>
      <c r="K35" s="511"/>
      <c r="L35" s="159"/>
      <c r="M35" s="380"/>
      <c r="N35" s="380"/>
      <c r="O35" s="38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507" t="s">
        <v>33</v>
      </c>
      <c r="B36" s="508"/>
      <c r="C36" s="16" t="s">
        <v>35</v>
      </c>
      <c r="D36" s="509"/>
      <c r="E36" s="508"/>
      <c r="F36" s="17"/>
      <c r="G36" s="12"/>
      <c r="H36" s="104"/>
      <c r="I36" s="13"/>
      <c r="J36" s="510">
        <f t="shared" ref="J36:J59" si="3">ROUNDDOWN(IF(H36="US",G36*I36*$O$18,G36*I36),0)</f>
        <v>0</v>
      </c>
      <c r="K36" s="511"/>
      <c r="L36" s="159"/>
      <c r="M36" s="380"/>
      <c r="N36" s="380"/>
      <c r="O36" s="38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507" t="s">
        <v>33</v>
      </c>
      <c r="B37" s="508"/>
      <c r="C37" s="16" t="s">
        <v>35</v>
      </c>
      <c r="D37" s="509"/>
      <c r="E37" s="508"/>
      <c r="F37" s="17"/>
      <c r="G37" s="12"/>
      <c r="H37" s="104"/>
      <c r="I37" s="13"/>
      <c r="J37" s="510">
        <f t="shared" si="3"/>
        <v>0</v>
      </c>
      <c r="K37" s="511"/>
      <c r="L37" s="159"/>
      <c r="M37" s="380"/>
      <c r="N37" s="380"/>
      <c r="O37" s="38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507" t="s">
        <v>33</v>
      </c>
      <c r="B38" s="508"/>
      <c r="C38" s="16" t="s">
        <v>35</v>
      </c>
      <c r="D38" s="509"/>
      <c r="E38" s="508"/>
      <c r="F38" s="17"/>
      <c r="G38" s="12"/>
      <c r="H38" s="104"/>
      <c r="I38" s="13"/>
      <c r="J38" s="510">
        <f t="shared" si="3"/>
        <v>0</v>
      </c>
      <c r="K38" s="511"/>
      <c r="L38" s="159"/>
      <c r="M38" s="380"/>
      <c r="N38" s="380"/>
      <c r="O38" s="38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507"/>
      <c r="B39" s="508"/>
      <c r="C39" s="16"/>
      <c r="D39" s="509"/>
      <c r="E39" s="508"/>
      <c r="F39" s="17"/>
      <c r="G39" s="12"/>
      <c r="H39" s="104"/>
      <c r="I39" s="13"/>
      <c r="J39" s="510">
        <f t="shared" si="3"/>
        <v>0</v>
      </c>
      <c r="K39" s="511"/>
      <c r="L39" s="159"/>
      <c r="M39" s="380"/>
      <c r="N39" s="380"/>
      <c r="O39" s="38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507" t="s">
        <v>29</v>
      </c>
      <c r="B40" s="508"/>
      <c r="C40" s="16" t="s">
        <v>30</v>
      </c>
      <c r="D40" s="509"/>
      <c r="E40" s="508"/>
      <c r="F40" s="17" t="s">
        <v>147</v>
      </c>
      <c r="G40" s="12">
        <v>1</v>
      </c>
      <c r="H40" s="104" t="s">
        <v>14</v>
      </c>
      <c r="I40" s="13">
        <v>200000</v>
      </c>
      <c r="J40" s="510">
        <f t="shared" si="3"/>
        <v>200000</v>
      </c>
      <c r="K40" s="511"/>
      <c r="L40" s="159"/>
      <c r="M40" s="380"/>
      <c r="N40" s="380"/>
      <c r="O40" s="38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507" t="s">
        <v>29</v>
      </c>
      <c r="B41" s="508"/>
      <c r="C41" s="16" t="s">
        <v>30</v>
      </c>
      <c r="D41" s="509"/>
      <c r="E41" s="508"/>
      <c r="F41" s="17"/>
      <c r="G41" s="12"/>
      <c r="H41" s="104"/>
      <c r="I41" s="13"/>
      <c r="J41" s="510">
        <f t="shared" si="3"/>
        <v>0</v>
      </c>
      <c r="K41" s="511"/>
      <c r="L41" s="159"/>
      <c r="M41" s="380"/>
      <c r="N41" s="380"/>
      <c r="O41" s="38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507" t="s">
        <v>29</v>
      </c>
      <c r="B42" s="508"/>
      <c r="C42" s="16" t="s">
        <v>30</v>
      </c>
      <c r="D42" s="509"/>
      <c r="E42" s="508"/>
      <c r="F42" s="17"/>
      <c r="G42" s="12"/>
      <c r="H42" s="104"/>
      <c r="I42" s="13"/>
      <c r="J42" s="510">
        <f t="shared" si="3"/>
        <v>0</v>
      </c>
      <c r="K42" s="511"/>
      <c r="L42" s="159"/>
      <c r="M42" s="380"/>
      <c r="N42" s="380"/>
      <c r="O42" s="38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507" t="s">
        <v>29</v>
      </c>
      <c r="B43" s="508"/>
      <c r="C43" s="16" t="s">
        <v>31</v>
      </c>
      <c r="D43" s="509"/>
      <c r="E43" s="508"/>
      <c r="F43" s="17"/>
      <c r="G43" s="12"/>
      <c r="H43" s="104"/>
      <c r="I43" s="13"/>
      <c r="J43" s="510">
        <f t="shared" si="3"/>
        <v>0</v>
      </c>
      <c r="K43" s="511"/>
      <c r="L43" s="159"/>
      <c r="M43" s="382"/>
      <c r="N43" s="383"/>
      <c r="O43" s="384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507" t="s">
        <v>29</v>
      </c>
      <c r="B44" s="508"/>
      <c r="C44" s="16" t="s">
        <v>32</v>
      </c>
      <c r="D44" s="509"/>
      <c r="E44" s="508"/>
      <c r="F44" s="17"/>
      <c r="G44" s="12"/>
      <c r="H44" s="104"/>
      <c r="I44" s="13"/>
      <c r="J44" s="510">
        <f t="shared" si="3"/>
        <v>0</v>
      </c>
      <c r="K44" s="511"/>
      <c r="L44" s="159"/>
      <c r="M44" s="380"/>
      <c r="N44" s="380"/>
      <c r="O44" s="38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507"/>
      <c r="B45" s="508"/>
      <c r="C45" s="16"/>
      <c r="D45" s="509"/>
      <c r="E45" s="508"/>
      <c r="F45" s="17"/>
      <c r="G45" s="12"/>
      <c r="H45" s="104"/>
      <c r="I45" s="13"/>
      <c r="J45" s="510">
        <f t="shared" si="3"/>
        <v>0</v>
      </c>
      <c r="K45" s="511"/>
      <c r="L45" s="159"/>
      <c r="M45" s="380"/>
      <c r="N45" s="380"/>
      <c r="O45" s="38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507" t="s">
        <v>36</v>
      </c>
      <c r="B46" s="508"/>
      <c r="C46" s="16" t="s">
        <v>37</v>
      </c>
      <c r="D46" s="509" t="s">
        <v>57</v>
      </c>
      <c r="E46" s="508"/>
      <c r="F46" s="17" t="s">
        <v>147</v>
      </c>
      <c r="G46" s="12">
        <v>1</v>
      </c>
      <c r="H46" s="104" t="s">
        <v>148</v>
      </c>
      <c r="I46" s="13">
        <v>10000</v>
      </c>
      <c r="J46" s="510">
        <f t="shared" si="3"/>
        <v>1140000</v>
      </c>
      <c r="K46" s="511"/>
      <c r="L46" s="159"/>
      <c r="M46" s="382"/>
      <c r="N46" s="383"/>
      <c r="O46" s="384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507" t="s">
        <v>36</v>
      </c>
      <c r="B47" s="508"/>
      <c r="C47" s="16" t="s">
        <v>37</v>
      </c>
      <c r="D47" s="509" t="s">
        <v>57</v>
      </c>
      <c r="E47" s="508"/>
      <c r="F47" s="17" t="s">
        <v>147</v>
      </c>
      <c r="G47" s="12">
        <v>1</v>
      </c>
      <c r="H47" s="104" t="s">
        <v>148</v>
      </c>
      <c r="I47" s="13">
        <v>8700</v>
      </c>
      <c r="J47" s="510">
        <f t="shared" si="3"/>
        <v>991800</v>
      </c>
      <c r="K47" s="511"/>
      <c r="L47" s="159"/>
      <c r="M47" s="382"/>
      <c r="N47" s="383"/>
      <c r="O47" s="384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507" t="s">
        <v>36</v>
      </c>
      <c r="B48" s="508"/>
      <c r="C48" s="16" t="s">
        <v>37</v>
      </c>
      <c r="D48" s="509" t="s">
        <v>57</v>
      </c>
      <c r="E48" s="508"/>
      <c r="F48" s="17" t="s">
        <v>147</v>
      </c>
      <c r="G48" s="12">
        <v>1</v>
      </c>
      <c r="H48" s="104" t="s">
        <v>148</v>
      </c>
      <c r="I48" s="13">
        <v>8700</v>
      </c>
      <c r="J48" s="510">
        <f t="shared" si="3"/>
        <v>991800</v>
      </c>
      <c r="K48" s="511"/>
      <c r="L48" s="159"/>
      <c r="M48" s="382"/>
      <c r="N48" s="383"/>
      <c r="O48" s="384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507" t="s">
        <v>36</v>
      </c>
      <c r="B49" s="508"/>
      <c r="C49" s="16" t="s">
        <v>37</v>
      </c>
      <c r="D49" s="509"/>
      <c r="E49" s="508"/>
      <c r="F49" s="17"/>
      <c r="G49" s="12"/>
      <c r="H49" s="104"/>
      <c r="I49" s="13"/>
      <c r="J49" s="510">
        <f t="shared" si="3"/>
        <v>0</v>
      </c>
      <c r="K49" s="511"/>
      <c r="L49" s="159"/>
      <c r="M49" s="382"/>
      <c r="N49" s="383"/>
      <c r="O49" s="384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507" t="s">
        <v>36</v>
      </c>
      <c r="B50" s="508"/>
      <c r="C50" s="16" t="s">
        <v>38</v>
      </c>
      <c r="D50" s="509" t="s">
        <v>57</v>
      </c>
      <c r="E50" s="508"/>
      <c r="F50" s="17" t="s">
        <v>147</v>
      </c>
      <c r="G50" s="12">
        <v>1</v>
      </c>
      <c r="H50" s="104" t="s">
        <v>148</v>
      </c>
      <c r="I50" s="13">
        <v>350</v>
      </c>
      <c r="J50" s="510">
        <f t="shared" si="3"/>
        <v>39900</v>
      </c>
      <c r="K50" s="511"/>
      <c r="L50" s="159"/>
      <c r="M50" s="382"/>
      <c r="N50" s="383"/>
      <c r="O50" s="384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507" t="s">
        <v>36</v>
      </c>
      <c r="B51" s="508"/>
      <c r="C51" s="16" t="s">
        <v>38</v>
      </c>
      <c r="D51" s="509"/>
      <c r="E51" s="508"/>
      <c r="F51" s="17"/>
      <c r="G51" s="12"/>
      <c r="H51" s="104"/>
      <c r="I51" s="13"/>
      <c r="J51" s="510">
        <f t="shared" si="3"/>
        <v>0</v>
      </c>
      <c r="K51" s="511"/>
      <c r="L51" s="159"/>
      <c r="M51" s="382"/>
      <c r="N51" s="383"/>
      <c r="O51" s="384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507" t="s">
        <v>36</v>
      </c>
      <c r="B52" s="508"/>
      <c r="C52" s="16" t="s">
        <v>39</v>
      </c>
      <c r="D52" s="509"/>
      <c r="E52" s="508"/>
      <c r="F52" s="17"/>
      <c r="G52" s="12"/>
      <c r="H52" s="104"/>
      <c r="I52" s="13"/>
      <c r="J52" s="510">
        <f t="shared" si="3"/>
        <v>0</v>
      </c>
      <c r="K52" s="511"/>
      <c r="L52" s="159"/>
      <c r="M52" s="380"/>
      <c r="N52" s="380"/>
      <c r="O52" s="38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507" t="s">
        <v>36</v>
      </c>
      <c r="B53" s="508"/>
      <c r="C53" s="16" t="s">
        <v>39</v>
      </c>
      <c r="D53" s="509"/>
      <c r="E53" s="508"/>
      <c r="F53" s="17"/>
      <c r="G53" s="12"/>
      <c r="H53" s="104"/>
      <c r="I53" s="13"/>
      <c r="J53" s="510">
        <f t="shared" si="3"/>
        <v>0</v>
      </c>
      <c r="K53" s="511"/>
      <c r="L53" s="159"/>
      <c r="M53" s="380"/>
      <c r="N53" s="380"/>
      <c r="O53" s="38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507" t="s">
        <v>36</v>
      </c>
      <c r="B54" s="508"/>
      <c r="C54" s="16" t="s">
        <v>39</v>
      </c>
      <c r="D54" s="509"/>
      <c r="E54" s="508"/>
      <c r="F54" s="17"/>
      <c r="G54" s="12"/>
      <c r="H54" s="104"/>
      <c r="I54" s="13"/>
      <c r="J54" s="510">
        <f t="shared" si="3"/>
        <v>0</v>
      </c>
      <c r="K54" s="511"/>
      <c r="L54" s="159"/>
      <c r="M54" s="380"/>
      <c r="N54" s="380"/>
      <c r="O54" s="38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507"/>
      <c r="B55" s="508"/>
      <c r="C55" s="16"/>
      <c r="D55" s="509"/>
      <c r="E55" s="508"/>
      <c r="F55" s="17"/>
      <c r="G55" s="12"/>
      <c r="H55" s="104"/>
      <c r="I55" s="13"/>
      <c r="J55" s="510">
        <f t="shared" si="3"/>
        <v>0</v>
      </c>
      <c r="K55" s="511"/>
      <c r="L55" s="159"/>
      <c r="M55" s="380"/>
      <c r="N55" s="380"/>
      <c r="O55" s="38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507"/>
      <c r="B56" s="508"/>
      <c r="C56" s="16"/>
      <c r="D56" s="509"/>
      <c r="E56" s="508"/>
      <c r="F56" s="17"/>
      <c r="G56" s="12"/>
      <c r="H56" s="104"/>
      <c r="I56" s="13"/>
      <c r="J56" s="510">
        <f t="shared" si="3"/>
        <v>0</v>
      </c>
      <c r="K56" s="511"/>
      <c r="L56" s="159"/>
      <c r="M56" s="380"/>
      <c r="N56" s="380"/>
      <c r="O56" s="38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507"/>
      <c r="B57" s="508"/>
      <c r="C57" s="16"/>
      <c r="D57" s="509"/>
      <c r="E57" s="508"/>
      <c r="F57" s="17"/>
      <c r="G57" s="12"/>
      <c r="H57" s="104"/>
      <c r="I57" s="13"/>
      <c r="J57" s="510">
        <f t="shared" si="3"/>
        <v>0</v>
      </c>
      <c r="K57" s="511"/>
      <c r="L57" s="159"/>
      <c r="M57" s="380"/>
      <c r="N57" s="380"/>
      <c r="O57" s="38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507"/>
      <c r="B58" s="508"/>
      <c r="C58" s="16"/>
      <c r="D58" s="509"/>
      <c r="E58" s="508"/>
      <c r="F58" s="17"/>
      <c r="G58" s="12"/>
      <c r="H58" s="104"/>
      <c r="I58" s="13"/>
      <c r="J58" s="510">
        <f t="shared" si="3"/>
        <v>0</v>
      </c>
      <c r="K58" s="511"/>
      <c r="L58" s="159"/>
      <c r="M58" s="380"/>
      <c r="N58" s="380"/>
      <c r="O58" s="38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507"/>
      <c r="B59" s="508"/>
      <c r="C59" s="18"/>
      <c r="D59" s="509"/>
      <c r="E59" s="508"/>
      <c r="F59" s="19"/>
      <c r="G59" s="20"/>
      <c r="H59" s="106"/>
      <c r="I59" s="97"/>
      <c r="J59" s="510">
        <f t="shared" si="3"/>
        <v>0</v>
      </c>
      <c r="K59" s="511"/>
      <c r="L59" s="161"/>
      <c r="M59" s="385"/>
      <c r="N59" s="385"/>
      <c r="O59" s="386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87" t="s">
        <v>40</v>
      </c>
      <c r="B60" s="388"/>
      <c r="C60" s="388"/>
      <c r="D60" s="388"/>
      <c r="E60" s="388"/>
      <c r="F60" s="389"/>
      <c r="G60" s="22"/>
      <c r="H60" s="23"/>
      <c r="I60" s="358">
        <f>SUM(J35:J59)</f>
        <v>3443500</v>
      </c>
      <c r="J60" s="359"/>
      <c r="K60" s="360"/>
      <c r="L60" s="99"/>
      <c r="M60" s="390">
        <f>SUMIF(F35:F59,"",J35:J59)</f>
        <v>80000</v>
      </c>
      <c r="N60" s="391"/>
      <c r="O60" s="392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18" t="s">
        <v>22</v>
      </c>
      <c r="B62" s="519"/>
      <c r="C62" s="136" t="s">
        <v>23</v>
      </c>
      <c r="D62" s="520" t="s">
        <v>24</v>
      </c>
      <c r="E62" s="519"/>
      <c r="F62" s="138" t="s">
        <v>25</v>
      </c>
      <c r="G62" s="138" t="s">
        <v>26</v>
      </c>
      <c r="H62" s="138" t="s">
        <v>9</v>
      </c>
      <c r="I62" s="138" t="s">
        <v>27</v>
      </c>
      <c r="J62" s="520" t="s">
        <v>28</v>
      </c>
      <c r="K62" s="519"/>
      <c r="L62" s="160" t="s">
        <v>238</v>
      </c>
      <c r="M62" s="520" t="s">
        <v>65</v>
      </c>
      <c r="N62" s="519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507" t="s">
        <v>41</v>
      </c>
      <c r="B63" s="508"/>
      <c r="C63" s="16" t="s">
        <v>42</v>
      </c>
      <c r="D63" s="509"/>
      <c r="E63" s="508"/>
      <c r="F63" s="17"/>
      <c r="G63" s="24">
        <f>IF(A63&lt;&gt;0,$M$4)</f>
        <v>10000</v>
      </c>
      <c r="H63" s="104" t="s">
        <v>148</v>
      </c>
      <c r="I63" s="13">
        <v>5.8376999999999999</v>
      </c>
      <c r="J63" s="510">
        <f>ROUNDDOWN(IF(H63="US",G63*I63*$O$18,G63*I63),0)</f>
        <v>6654978</v>
      </c>
      <c r="K63" s="511"/>
      <c r="L63" s="159"/>
      <c r="M63" s="353"/>
      <c r="N63" s="353"/>
      <c r="O63" s="354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507" t="s">
        <v>41</v>
      </c>
      <c r="B64" s="508"/>
      <c r="C64" s="16" t="s">
        <v>243</v>
      </c>
      <c r="D64" s="509"/>
      <c r="E64" s="508"/>
      <c r="F64" s="17"/>
      <c r="G64" s="24">
        <v>24</v>
      </c>
      <c r="H64" s="104" t="s">
        <v>148</v>
      </c>
      <c r="I64" s="13">
        <v>5.83</v>
      </c>
      <c r="J64" s="510">
        <f t="shared" ref="J64:J80" si="5">ROUNDDOWN(IF(H64="US",G64*I64*$O$18,G64*I64),0)</f>
        <v>15950</v>
      </c>
      <c r="K64" s="511"/>
      <c r="L64" s="159"/>
      <c r="M64" s="353"/>
      <c r="N64" s="353"/>
      <c r="O64" s="354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507" t="s">
        <v>41</v>
      </c>
      <c r="B65" s="508"/>
      <c r="C65" s="16" t="s">
        <v>155</v>
      </c>
      <c r="D65" s="509"/>
      <c r="E65" s="508"/>
      <c r="F65" s="17"/>
      <c r="G65" s="24">
        <v>96</v>
      </c>
      <c r="H65" s="104" t="s">
        <v>148</v>
      </c>
      <c r="I65" s="13">
        <v>5.83</v>
      </c>
      <c r="J65" s="510">
        <f t="shared" si="5"/>
        <v>63803</v>
      </c>
      <c r="K65" s="511"/>
      <c r="L65" s="159"/>
      <c r="M65" s="396"/>
      <c r="N65" s="397"/>
      <c r="O65" s="398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507"/>
      <c r="B66" s="508"/>
      <c r="C66" s="16"/>
      <c r="D66" s="509"/>
      <c r="E66" s="508"/>
      <c r="F66" s="17"/>
      <c r="G66" s="24">
        <f>IF(A66&lt;&gt;0,($J$4*#REF!),)</f>
        <v>0</v>
      </c>
      <c r="H66" s="104"/>
      <c r="I66" s="13"/>
      <c r="J66" s="510">
        <f t="shared" si="5"/>
        <v>0</v>
      </c>
      <c r="K66" s="511"/>
      <c r="L66" s="159"/>
      <c r="M66" s="353"/>
      <c r="N66" s="353"/>
      <c r="O66" s="354"/>
      <c r="P66" s="1">
        <f t="shared" si="4"/>
        <v>0</v>
      </c>
      <c r="Q66" s="76"/>
    </row>
    <row r="67" spans="1:18" ht="14.1" customHeight="1">
      <c r="A67" s="507"/>
      <c r="B67" s="508"/>
      <c r="C67" s="16"/>
      <c r="D67" s="509"/>
      <c r="E67" s="508"/>
      <c r="F67" s="17"/>
      <c r="G67" s="24">
        <f>IF(A67&lt;&gt;0,($J$4*#REF!),)</f>
        <v>0</v>
      </c>
      <c r="H67" s="104"/>
      <c r="I67" s="13"/>
      <c r="J67" s="510">
        <f>ROUNDDOWN(IF(H67="US",G67*I67*$O$18,G67*I67),0)</f>
        <v>0</v>
      </c>
      <c r="K67" s="511"/>
      <c r="L67" s="159"/>
      <c r="M67" s="353"/>
      <c r="N67" s="353"/>
      <c r="O67" s="354"/>
      <c r="P67" s="1">
        <f t="shared" si="4"/>
        <v>0</v>
      </c>
      <c r="Q67" s="76"/>
    </row>
    <row r="68" spans="1:18" ht="14.1" customHeight="1">
      <c r="A68" s="507"/>
      <c r="B68" s="508"/>
      <c r="C68" s="16"/>
      <c r="D68" s="509"/>
      <c r="E68" s="508"/>
      <c r="F68" s="17"/>
      <c r="G68" s="24">
        <f>IF(A68&lt;&gt;0,($J$4*#REF!),)</f>
        <v>0</v>
      </c>
      <c r="H68" s="104"/>
      <c r="I68" s="13"/>
      <c r="J68" s="510">
        <f>ROUNDDOWN(IF(H68="US",G68*I68*$O$18,G68*I68),0)</f>
        <v>0</v>
      </c>
      <c r="K68" s="511"/>
      <c r="L68" s="159"/>
      <c r="M68" s="353"/>
      <c r="N68" s="353"/>
      <c r="O68" s="354"/>
      <c r="P68" s="1">
        <f t="shared" si="4"/>
        <v>0</v>
      </c>
      <c r="Q68" s="76"/>
    </row>
    <row r="69" spans="1:18" ht="14.1" customHeight="1">
      <c r="A69" s="507"/>
      <c r="B69" s="508"/>
      <c r="C69" s="16"/>
      <c r="D69" s="509"/>
      <c r="E69" s="508"/>
      <c r="F69" s="17"/>
      <c r="G69" s="24">
        <f>IF(A69&lt;&gt;0,($J$4*#REF!),)</f>
        <v>0</v>
      </c>
      <c r="H69" s="104"/>
      <c r="I69" s="13"/>
      <c r="J69" s="510">
        <f>ROUNDDOWN(IF(H69="US",G69*I69*$O$18,G69*I69),0)</f>
        <v>0</v>
      </c>
      <c r="K69" s="511"/>
      <c r="L69" s="159"/>
      <c r="M69" s="353"/>
      <c r="N69" s="353"/>
      <c r="O69" s="354"/>
      <c r="P69" s="1">
        <f t="shared" si="4"/>
        <v>0</v>
      </c>
      <c r="Q69" s="76"/>
    </row>
    <row r="70" spans="1:18" ht="14.1" customHeight="1">
      <c r="A70" s="507"/>
      <c r="B70" s="508"/>
      <c r="C70" s="16"/>
      <c r="D70" s="509"/>
      <c r="E70" s="508"/>
      <c r="F70" s="17"/>
      <c r="G70" s="24">
        <f>IF(A70&lt;&gt;0,($J$4*#REF!),)</f>
        <v>0</v>
      </c>
      <c r="H70" s="104"/>
      <c r="I70" s="13"/>
      <c r="J70" s="510">
        <f t="shared" si="5"/>
        <v>0</v>
      </c>
      <c r="K70" s="511"/>
      <c r="L70" s="159"/>
      <c r="M70" s="353"/>
      <c r="N70" s="353"/>
      <c r="O70" s="354"/>
      <c r="P70" s="1">
        <f t="shared" si="4"/>
        <v>0</v>
      </c>
      <c r="Q70" s="76"/>
    </row>
    <row r="71" spans="1:18" ht="14.1" customHeight="1">
      <c r="A71" s="507"/>
      <c r="B71" s="508"/>
      <c r="C71" s="16"/>
      <c r="D71" s="509"/>
      <c r="E71" s="508"/>
      <c r="F71" s="17"/>
      <c r="G71" s="24">
        <f>IF(A71&lt;&gt;0,($J$4*#REF!),)</f>
        <v>0</v>
      </c>
      <c r="H71" s="104"/>
      <c r="I71" s="13"/>
      <c r="J71" s="510">
        <f t="shared" si="5"/>
        <v>0</v>
      </c>
      <c r="K71" s="511"/>
      <c r="L71" s="159"/>
      <c r="M71" s="353"/>
      <c r="N71" s="353"/>
      <c r="O71" s="354"/>
      <c r="P71" s="1">
        <f t="shared" si="4"/>
        <v>0</v>
      </c>
      <c r="Q71" s="76"/>
    </row>
    <row r="72" spans="1:18" ht="14.1" customHeight="1">
      <c r="A72" s="507"/>
      <c r="B72" s="508"/>
      <c r="C72" s="16"/>
      <c r="D72" s="509"/>
      <c r="E72" s="508"/>
      <c r="F72" s="17"/>
      <c r="G72" s="24">
        <f>IF(A72&lt;&gt;0,($J$4*#REF!),)</f>
        <v>0</v>
      </c>
      <c r="H72" s="104"/>
      <c r="I72" s="13"/>
      <c r="J72" s="510">
        <f t="shared" si="5"/>
        <v>0</v>
      </c>
      <c r="K72" s="511"/>
      <c r="L72" s="159"/>
      <c r="M72" s="353"/>
      <c r="N72" s="353"/>
      <c r="O72" s="354"/>
      <c r="P72" s="1">
        <f t="shared" si="4"/>
        <v>0</v>
      </c>
      <c r="Q72" s="76"/>
    </row>
    <row r="73" spans="1:18" ht="14.1" customHeight="1">
      <c r="A73" s="507"/>
      <c r="B73" s="508"/>
      <c r="C73" s="16"/>
      <c r="D73" s="509"/>
      <c r="E73" s="508"/>
      <c r="F73" s="17"/>
      <c r="G73" s="24">
        <f>IF(A73&lt;&gt;0,($J$4*#REF!),)</f>
        <v>0</v>
      </c>
      <c r="H73" s="104"/>
      <c r="I73" s="13"/>
      <c r="J73" s="510">
        <f>ROUNDDOWN(IF(H73="US",G73*I73*$O$18,G73*I73),0)</f>
        <v>0</v>
      </c>
      <c r="K73" s="511"/>
      <c r="L73" s="159"/>
      <c r="M73" s="353"/>
      <c r="N73" s="353"/>
      <c r="O73" s="354"/>
      <c r="P73" s="1">
        <f t="shared" si="4"/>
        <v>0</v>
      </c>
      <c r="Q73" s="76"/>
    </row>
    <row r="74" spans="1:18" ht="14.1" customHeight="1">
      <c r="A74" s="507"/>
      <c r="B74" s="508"/>
      <c r="C74" s="16"/>
      <c r="D74" s="509"/>
      <c r="E74" s="508"/>
      <c r="F74" s="17"/>
      <c r="G74" s="24">
        <f>IF(A74&lt;&gt;0,($J$4*#REF!),)</f>
        <v>0</v>
      </c>
      <c r="H74" s="104"/>
      <c r="I74" s="13"/>
      <c r="J74" s="510">
        <f>ROUNDDOWN(IF(H74="US",G74*I74*$O$18,G74*I74),0)</f>
        <v>0</v>
      </c>
      <c r="K74" s="511"/>
      <c r="L74" s="159"/>
      <c r="M74" s="353"/>
      <c r="N74" s="353"/>
      <c r="O74" s="354"/>
      <c r="P74" s="1">
        <f t="shared" si="4"/>
        <v>0</v>
      </c>
      <c r="Q74" s="76"/>
    </row>
    <row r="75" spans="1:18" ht="14.1" customHeight="1">
      <c r="A75" s="507"/>
      <c r="B75" s="508"/>
      <c r="C75" s="16"/>
      <c r="D75" s="509"/>
      <c r="E75" s="508"/>
      <c r="F75" s="17"/>
      <c r="G75" s="24">
        <f>IF(A75&lt;&gt;0,($J$4*#REF!),)</f>
        <v>0</v>
      </c>
      <c r="H75" s="104"/>
      <c r="I75" s="13"/>
      <c r="J75" s="510">
        <f>ROUNDDOWN(IF(H75="US",G75*I75*$O$18,G75*I75),0)</f>
        <v>0</v>
      </c>
      <c r="K75" s="511"/>
      <c r="L75" s="159"/>
      <c r="M75" s="353"/>
      <c r="N75" s="353"/>
      <c r="O75" s="354"/>
      <c r="P75" s="1">
        <f t="shared" si="4"/>
        <v>0</v>
      </c>
      <c r="Q75" s="76"/>
    </row>
    <row r="76" spans="1:18" ht="14.1" customHeight="1">
      <c r="A76" s="507"/>
      <c r="B76" s="508"/>
      <c r="C76" s="16"/>
      <c r="D76" s="509"/>
      <c r="E76" s="508"/>
      <c r="F76" s="17"/>
      <c r="G76" s="24">
        <f>IF(A76&lt;&gt;0,($J$4*#REF!),)</f>
        <v>0</v>
      </c>
      <c r="H76" s="104"/>
      <c r="I76" s="13"/>
      <c r="J76" s="510">
        <f t="shared" si="5"/>
        <v>0</v>
      </c>
      <c r="K76" s="511"/>
      <c r="L76" s="159"/>
      <c r="M76" s="353"/>
      <c r="N76" s="353"/>
      <c r="O76" s="354"/>
      <c r="P76" s="1">
        <f t="shared" si="4"/>
        <v>0</v>
      </c>
      <c r="Q76" s="76"/>
    </row>
    <row r="77" spans="1:18" ht="14.1" customHeight="1">
      <c r="A77" s="507"/>
      <c r="B77" s="508"/>
      <c r="C77" s="16"/>
      <c r="D77" s="509"/>
      <c r="E77" s="508"/>
      <c r="F77" s="17"/>
      <c r="G77" s="24">
        <f>IF(A77&lt;&gt;0,($J$4*#REF!),)</f>
        <v>0</v>
      </c>
      <c r="H77" s="104"/>
      <c r="I77" s="13"/>
      <c r="J77" s="510">
        <f t="shared" si="5"/>
        <v>0</v>
      </c>
      <c r="K77" s="511"/>
      <c r="L77" s="159"/>
      <c r="M77" s="353"/>
      <c r="N77" s="353"/>
      <c r="O77" s="354"/>
      <c r="P77" s="1">
        <f t="shared" si="4"/>
        <v>0</v>
      </c>
      <c r="Q77" s="76"/>
    </row>
    <row r="78" spans="1:18" ht="14.1" customHeight="1">
      <c r="A78" s="507"/>
      <c r="B78" s="508"/>
      <c r="C78" s="16"/>
      <c r="D78" s="509"/>
      <c r="E78" s="508"/>
      <c r="F78" s="17"/>
      <c r="G78" s="24">
        <f>IF(A78&lt;&gt;0,($J$4*#REF!),)</f>
        <v>0</v>
      </c>
      <c r="H78" s="104"/>
      <c r="I78" s="13"/>
      <c r="J78" s="510">
        <f t="shared" si="5"/>
        <v>0</v>
      </c>
      <c r="K78" s="511"/>
      <c r="L78" s="159"/>
      <c r="M78" s="353"/>
      <c r="N78" s="353"/>
      <c r="O78" s="354"/>
      <c r="P78" s="1">
        <f t="shared" si="4"/>
        <v>0</v>
      </c>
      <c r="Q78" s="76"/>
    </row>
    <row r="79" spans="1:18" ht="14.1" customHeight="1">
      <c r="A79" s="507"/>
      <c r="B79" s="508"/>
      <c r="C79" s="16"/>
      <c r="D79" s="509"/>
      <c r="E79" s="508"/>
      <c r="F79" s="17"/>
      <c r="G79" s="24">
        <f>IF(A79&lt;&gt;0,($J$4*#REF!),)</f>
        <v>0</v>
      </c>
      <c r="H79" s="104"/>
      <c r="I79" s="13"/>
      <c r="J79" s="510">
        <f t="shared" si="5"/>
        <v>0</v>
      </c>
      <c r="K79" s="511"/>
      <c r="L79" s="159"/>
      <c r="M79" s="396"/>
      <c r="N79" s="397"/>
      <c r="O79" s="398"/>
      <c r="P79" s="1">
        <f t="shared" si="4"/>
        <v>0</v>
      </c>
      <c r="Q79" s="76"/>
    </row>
    <row r="80" spans="1:18" ht="14.1" customHeight="1">
      <c r="A80" s="507"/>
      <c r="B80" s="508"/>
      <c r="C80" s="16"/>
      <c r="D80" s="509"/>
      <c r="E80" s="508"/>
      <c r="F80" s="17"/>
      <c r="G80" s="24">
        <f>IF(A80&lt;&gt;0,($J$4*#REF!),)</f>
        <v>0</v>
      </c>
      <c r="H80" s="104"/>
      <c r="I80" s="13"/>
      <c r="J80" s="510">
        <f t="shared" si="5"/>
        <v>0</v>
      </c>
      <c r="K80" s="511"/>
      <c r="L80" s="159"/>
      <c r="M80" s="353"/>
      <c r="N80" s="353"/>
      <c r="O80" s="354"/>
      <c r="P80" s="1">
        <f t="shared" si="4"/>
        <v>0</v>
      </c>
      <c r="Q80" s="76"/>
    </row>
    <row r="81" spans="1:17" ht="14.1" customHeight="1">
      <c r="A81" s="512" t="s">
        <v>50</v>
      </c>
      <c r="B81" s="513"/>
      <c r="C81" s="80" t="s">
        <v>158</v>
      </c>
      <c r="D81" s="514"/>
      <c r="E81" s="515"/>
      <c r="F81" s="81"/>
      <c r="G81" s="82">
        <v>1</v>
      </c>
      <c r="H81" s="107" t="s">
        <v>14</v>
      </c>
      <c r="I81" s="83">
        <v>150000</v>
      </c>
      <c r="J81" s="516">
        <f>ROUNDDOWN(IF(H81="US",G81*I81*$O$18,G81*I81),0)</f>
        <v>150000</v>
      </c>
      <c r="K81" s="517"/>
      <c r="L81" s="122"/>
      <c r="M81" s="353" t="s">
        <v>210</v>
      </c>
      <c r="N81" s="353"/>
      <c r="O81" s="354"/>
      <c r="P81" s="1" t="str">
        <f t="shared" si="4"/>
        <v>3:運賃(FEDEX、BLPなど)</v>
      </c>
      <c r="Q81" s="76"/>
    </row>
    <row r="82" spans="1:17" ht="14.1" customHeight="1">
      <c r="A82" s="512" t="s">
        <v>50</v>
      </c>
      <c r="B82" s="513"/>
      <c r="C82" s="80" t="s">
        <v>159</v>
      </c>
      <c r="D82" s="509"/>
      <c r="E82" s="508"/>
      <c r="F82" s="17"/>
      <c r="G82" s="24">
        <f>IF(A82&lt;&gt;0,$M$4)</f>
        <v>10000</v>
      </c>
      <c r="H82" s="104" t="s">
        <v>14</v>
      </c>
      <c r="I82" s="13">
        <v>20</v>
      </c>
      <c r="J82" s="510">
        <f>ROUNDDOWN(IF(H82="US",G82*I82*$O$18,G82*I82),0)</f>
        <v>200000</v>
      </c>
      <c r="K82" s="511"/>
      <c r="L82" s="122"/>
      <c r="M82" s="353" t="s">
        <v>211</v>
      </c>
      <c r="N82" s="353"/>
      <c r="O82" s="354"/>
      <c r="P82" s="1" t="str">
        <f t="shared" si="4"/>
        <v>4:検査費</v>
      </c>
      <c r="Q82" s="76"/>
    </row>
    <row r="83" spans="1:17" ht="14.1" customHeight="1">
      <c r="A83" s="489" t="s">
        <v>43</v>
      </c>
      <c r="B83" s="490"/>
      <c r="C83" s="25" t="s">
        <v>44</v>
      </c>
      <c r="D83" s="491"/>
      <c r="E83" s="492"/>
      <c r="F83" s="109"/>
      <c r="G83" s="110">
        <f>IF(A83&lt;&gt;0,$M$4)</f>
        <v>10000</v>
      </c>
      <c r="H83" s="108" t="s">
        <v>14</v>
      </c>
      <c r="I83" s="13"/>
      <c r="J83" s="493">
        <f>ROUNDDOWN(IF(I83&lt;&gt;0,IF(G83&lt;&gt;0,IF(H83="US",G83*I83*$O$18,G83*I83),E83*$M$4*$O$4),E83*$M$4*$O$4),0)</f>
        <v>0</v>
      </c>
      <c r="K83" s="494"/>
      <c r="L83" s="122"/>
      <c r="M83" s="353" t="s">
        <v>212</v>
      </c>
      <c r="N83" s="353"/>
      <c r="O83" s="354"/>
      <c r="P83" s="1" t="str">
        <f t="shared" si="4"/>
        <v>1:証紙</v>
      </c>
      <c r="Q83" s="76"/>
    </row>
    <row r="84" spans="1:17" ht="14.1" customHeight="1">
      <c r="A84" s="495" t="s">
        <v>45</v>
      </c>
      <c r="B84" s="496"/>
      <c r="C84" s="170" t="s">
        <v>204</v>
      </c>
      <c r="D84" s="497">
        <v>0.03</v>
      </c>
      <c r="E84" s="498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99">
        <f>ROUNDDOWN(IF(D84&lt;&gt;0,IF(H84="US","エラー",I84*G84),),0)</f>
        <v>305346</v>
      </c>
      <c r="K84" s="500"/>
      <c r="L84" s="123"/>
      <c r="M84" s="396" t="s">
        <v>207</v>
      </c>
      <c r="N84" s="397"/>
      <c r="O84" s="398"/>
      <c r="P84" s="1" t="str">
        <f t="shared" si="4"/>
        <v>2:輸入費用</v>
      </c>
      <c r="Q84" s="76"/>
    </row>
    <row r="85" spans="1:17" ht="14.1" customHeight="1" thickBot="1">
      <c r="A85" s="495" t="s">
        <v>45</v>
      </c>
      <c r="B85" s="496"/>
      <c r="C85" s="170" t="s">
        <v>152</v>
      </c>
      <c r="D85" s="497"/>
      <c r="E85" s="498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99">
        <f>ROUNDDOWN(IF(E85&lt;&gt;0,IF(H85="US","エラー",I85*G85),),0)</f>
        <v>0</v>
      </c>
      <c r="K85" s="500"/>
      <c r="L85" s="123"/>
      <c r="M85" s="396" t="s">
        <v>208</v>
      </c>
      <c r="N85" s="397"/>
      <c r="O85" s="398"/>
      <c r="P85" s="1" t="str">
        <f t="shared" si="4"/>
        <v>3:関税</v>
      </c>
      <c r="Q85" s="78"/>
    </row>
    <row r="86" spans="1:17" ht="14.1" customHeight="1" thickBot="1">
      <c r="A86" s="501"/>
      <c r="B86" s="502"/>
      <c r="C86" s="171"/>
      <c r="D86" s="485"/>
      <c r="E86" s="486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87">
        <f>ROUNDDOWN(IF(E86&lt;&gt;0,IF(H86="US","エラー",I86*G86),),0)</f>
        <v>0</v>
      </c>
      <c r="K86" s="488"/>
      <c r="L86" s="124"/>
      <c r="M86" s="427"/>
      <c r="N86" s="428"/>
      <c r="O86" s="429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09"/>
      <c r="N87" s="409"/>
      <c r="O87" s="410"/>
    </row>
    <row r="88" spans="1:17" ht="16.5" customHeight="1">
      <c r="A88" s="411" t="s">
        <v>240</v>
      </c>
      <c r="B88" s="412"/>
      <c r="C88" s="128">
        <f>I16</f>
        <v>12644000</v>
      </c>
      <c r="D88" s="129"/>
      <c r="E88" s="413" t="s">
        <v>239</v>
      </c>
      <c r="F88" s="414"/>
      <c r="G88" s="412"/>
      <c r="H88" s="503">
        <f>I32</f>
        <v>85000</v>
      </c>
      <c r="I88" s="504"/>
      <c r="J88" s="130"/>
      <c r="K88" s="417" t="s">
        <v>241</v>
      </c>
      <c r="L88" s="418"/>
      <c r="M88" s="505">
        <f>C88+H88</f>
        <v>12729000</v>
      </c>
      <c r="N88" s="506"/>
      <c r="O88" s="131"/>
    </row>
    <row r="89" spans="1:17" ht="16.5" customHeight="1">
      <c r="A89" s="440" t="s">
        <v>246</v>
      </c>
      <c r="B89" s="441"/>
      <c r="C89" s="125">
        <f>C88-J94</f>
        <v>1890423</v>
      </c>
      <c r="D89" s="158">
        <f>C89/C88</f>
        <v>0.14951146788990827</v>
      </c>
      <c r="E89" s="442" t="s">
        <v>247</v>
      </c>
      <c r="F89" s="443"/>
      <c r="G89" s="444"/>
      <c r="H89" s="469">
        <f>H88-M60</f>
        <v>5000</v>
      </c>
      <c r="I89" s="470"/>
      <c r="J89" s="158">
        <f>H89/H88</f>
        <v>5.8823529411764705E-2</v>
      </c>
      <c r="K89" s="442" t="s">
        <v>250</v>
      </c>
      <c r="L89" s="444"/>
      <c r="M89" s="471">
        <f>C89+H89</f>
        <v>1895423</v>
      </c>
      <c r="N89" s="472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449" t="s">
        <v>242</v>
      </c>
      <c r="K90" s="450"/>
      <c r="L90" s="451"/>
      <c r="M90" s="483">
        <f>ROUNDDOWN((M88*O90),0)</f>
        <v>773923</v>
      </c>
      <c r="N90" s="484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430" t="s">
        <v>248</v>
      </c>
      <c r="K91" s="431"/>
      <c r="L91" s="432"/>
      <c r="M91" s="481">
        <f>M89-M90</f>
        <v>1121500</v>
      </c>
      <c r="N91" s="482"/>
      <c r="O91" s="127">
        <f>M91/M88</f>
        <v>8.8105899913583155E-2</v>
      </c>
    </row>
    <row r="92" spans="1:17" ht="16.5" customHeight="1">
      <c r="A92" s="435" t="s">
        <v>46</v>
      </c>
      <c r="B92" s="436"/>
      <c r="C92" s="437" t="s">
        <v>253</v>
      </c>
      <c r="D92" s="437"/>
      <c r="E92" s="437"/>
      <c r="F92" s="437"/>
      <c r="G92" s="30">
        <f>$M$4</f>
        <v>10000</v>
      </c>
      <c r="H92" s="31"/>
      <c r="I92" s="32">
        <f>IF(G92&gt;0,J92/G92,)</f>
        <v>739.0077</v>
      </c>
      <c r="J92" s="438">
        <f>SUMIF(F63:F86,"",J63:J86)</f>
        <v>7390077</v>
      </c>
      <c r="K92" s="438"/>
      <c r="L92" s="32"/>
      <c r="M92" s="439"/>
      <c r="N92" s="439"/>
      <c r="O92" s="118"/>
    </row>
    <row r="93" spans="1:17" ht="16.5" customHeight="1">
      <c r="A93" s="456" t="s">
        <v>47</v>
      </c>
      <c r="B93" s="457"/>
      <c r="C93" s="458" t="s">
        <v>254</v>
      </c>
      <c r="D93" s="458"/>
      <c r="E93" s="458"/>
      <c r="F93" s="458"/>
      <c r="G93" s="33">
        <f>$M$4</f>
        <v>10000</v>
      </c>
      <c r="H93" s="34"/>
      <c r="I93" s="117">
        <f>IF(G93&gt;0,J93/G93,)</f>
        <v>336.35</v>
      </c>
      <c r="J93" s="459">
        <f>SUMIF(F35:F86,"○",J35:J86)</f>
        <v>3363500</v>
      </c>
      <c r="K93" s="460"/>
      <c r="L93" s="92"/>
      <c r="M93" s="461"/>
      <c r="N93" s="462"/>
      <c r="O93" s="35"/>
    </row>
    <row r="94" spans="1:17" ht="16.5" customHeight="1" thickBot="1">
      <c r="A94" s="473" t="s">
        <v>251</v>
      </c>
      <c r="B94" s="474"/>
      <c r="C94" s="475" t="s">
        <v>252</v>
      </c>
      <c r="D94" s="475"/>
      <c r="E94" s="475"/>
      <c r="F94" s="475"/>
      <c r="G94" s="112">
        <f>$M$4</f>
        <v>10000</v>
      </c>
      <c r="H94" s="113"/>
      <c r="I94" s="114">
        <f>IF(G94&gt;0,J94/G94,)</f>
        <v>1075.3577</v>
      </c>
      <c r="J94" s="476">
        <f>SUM(J92:J93)</f>
        <v>10753577</v>
      </c>
      <c r="K94" s="477"/>
      <c r="L94" s="478" t="s">
        <v>245</v>
      </c>
      <c r="M94" s="479"/>
      <c r="N94" s="476">
        <f>M60</f>
        <v>80000</v>
      </c>
      <c r="O94" s="480"/>
    </row>
    <row r="95" spans="1:17" ht="16.5" customHeight="1">
      <c r="A95" s="454" t="s">
        <v>48</v>
      </c>
      <c r="B95" s="454"/>
      <c r="C95" s="454"/>
      <c r="D95" s="454"/>
      <c r="E95" s="454"/>
      <c r="F95" s="454"/>
      <c r="G95" s="454"/>
      <c r="H95" s="37"/>
      <c r="I95" s="455" t="s">
        <v>66</v>
      </c>
      <c r="J95" s="455"/>
      <c r="K95" s="455"/>
      <c r="L95" s="455"/>
      <c r="M95" s="455"/>
      <c r="N95" s="455"/>
      <c r="O95" s="455"/>
    </row>
    <row r="96" spans="1:17" ht="9" customHeight="1">
      <c r="A96" s="409" t="s">
        <v>67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43777</v>
      </c>
      <c r="B160" s="56"/>
      <c r="C160" s="57">
        <f ca="1">YEAR(A160)</f>
        <v>2019</v>
      </c>
      <c r="D160" s="57"/>
      <c r="E160" s="58">
        <f ca="1">MONTH(A160)</f>
        <v>11</v>
      </c>
      <c r="F160" s="59" t="str">
        <f t="shared" ref="F160:F185" ca="1" si="6">CONCATENATE(C160,"/",E160)</f>
        <v>2019/11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12</v>
      </c>
      <c r="F161" s="59" t="str">
        <f t="shared" ca="1" si="6"/>
        <v>2019/12</v>
      </c>
    </row>
    <row r="162" spans="1:6" ht="12">
      <c r="A162" s="57"/>
      <c r="B162" s="57"/>
      <c r="C162" s="57">
        <f t="shared" ca="1" si="7"/>
        <v>2020</v>
      </c>
      <c r="D162" s="57"/>
      <c r="E162" s="58">
        <f t="shared" ca="1" si="8"/>
        <v>1</v>
      </c>
      <c r="F162" s="59" t="str">
        <f t="shared" ca="1" si="6"/>
        <v>2020/1</v>
      </c>
    </row>
    <row r="163" spans="1:6" ht="12">
      <c r="C163" s="57">
        <f t="shared" ca="1" si="7"/>
        <v>2020</v>
      </c>
      <c r="D163" s="57"/>
      <c r="E163" s="58">
        <f t="shared" ca="1" si="8"/>
        <v>2</v>
      </c>
      <c r="F163" s="59" t="str">
        <f t="shared" ca="1" si="6"/>
        <v>2020/2</v>
      </c>
    </row>
    <row r="164" spans="1:6" ht="12">
      <c r="C164" s="57">
        <f t="shared" ca="1" si="7"/>
        <v>2020</v>
      </c>
      <c r="D164" s="57"/>
      <c r="E164" s="58">
        <f t="shared" ca="1" si="8"/>
        <v>3</v>
      </c>
      <c r="F164" s="59" t="str">
        <f t="shared" ca="1" si="6"/>
        <v>2020/3</v>
      </c>
    </row>
    <row r="165" spans="1:6" ht="12">
      <c r="C165" s="57">
        <f t="shared" ca="1" si="7"/>
        <v>2020</v>
      </c>
      <c r="D165" s="57"/>
      <c r="E165" s="58">
        <f t="shared" ca="1" si="8"/>
        <v>4</v>
      </c>
      <c r="F165" s="59" t="str">
        <f t="shared" ca="1" si="6"/>
        <v>2020/4</v>
      </c>
    </row>
    <row r="166" spans="1:6" ht="12">
      <c r="C166" s="57">
        <f t="shared" ca="1" si="7"/>
        <v>2020</v>
      </c>
      <c r="D166" s="57"/>
      <c r="E166" s="58">
        <f t="shared" ca="1" si="8"/>
        <v>5</v>
      </c>
      <c r="F166" s="59" t="str">
        <f t="shared" ca="1" si="6"/>
        <v>2020/5</v>
      </c>
    </row>
    <row r="167" spans="1:6" ht="12">
      <c r="C167" s="57">
        <f t="shared" ca="1" si="7"/>
        <v>2020</v>
      </c>
      <c r="D167" s="57"/>
      <c r="E167" s="58">
        <f t="shared" ca="1" si="8"/>
        <v>6</v>
      </c>
      <c r="F167" s="59" t="str">
        <f t="shared" ca="1" si="6"/>
        <v>2020/6</v>
      </c>
    </row>
    <row r="168" spans="1:6" ht="12">
      <c r="C168" s="57">
        <f t="shared" ca="1" si="7"/>
        <v>2020</v>
      </c>
      <c r="D168" s="57"/>
      <c r="E168" s="58">
        <f t="shared" ca="1" si="8"/>
        <v>7</v>
      </c>
      <c r="F168" s="59" t="str">
        <f t="shared" ca="1" si="6"/>
        <v>2020/7</v>
      </c>
    </row>
    <row r="169" spans="1:6" ht="12">
      <c r="C169" s="57">
        <f t="shared" ca="1" si="7"/>
        <v>2020</v>
      </c>
      <c r="D169" s="57"/>
      <c r="E169" s="58">
        <f t="shared" ca="1" si="8"/>
        <v>8</v>
      </c>
      <c r="F169" s="59" t="str">
        <f t="shared" ca="1" si="6"/>
        <v>2020/8</v>
      </c>
    </row>
    <row r="170" spans="1:6" ht="12">
      <c r="C170" s="57">
        <f t="shared" ca="1" si="7"/>
        <v>2020</v>
      </c>
      <c r="D170" s="57"/>
      <c r="E170" s="58">
        <f t="shared" ca="1" si="8"/>
        <v>9</v>
      </c>
      <c r="F170" s="59" t="str">
        <f t="shared" ca="1" si="6"/>
        <v>2020/9</v>
      </c>
    </row>
    <row r="171" spans="1:6" ht="12">
      <c r="C171" s="57">
        <f t="shared" ca="1" si="7"/>
        <v>2020</v>
      </c>
      <c r="D171" s="57"/>
      <c r="E171" s="58">
        <f t="shared" ca="1" si="8"/>
        <v>10</v>
      </c>
      <c r="F171" s="59" t="str">
        <f t="shared" ca="1" si="6"/>
        <v>2020/10</v>
      </c>
    </row>
    <row r="172" spans="1:6" ht="12">
      <c r="C172" s="57">
        <f t="shared" ca="1" si="7"/>
        <v>2020</v>
      </c>
      <c r="D172" s="57"/>
      <c r="E172" s="58">
        <f t="shared" ca="1" si="8"/>
        <v>11</v>
      </c>
      <c r="F172" s="59" t="str">
        <f t="shared" ca="1" si="6"/>
        <v>2020/11</v>
      </c>
    </row>
    <row r="173" spans="1:6" ht="12">
      <c r="C173" s="57">
        <f t="shared" ca="1" si="7"/>
        <v>2020</v>
      </c>
      <c r="D173" s="57"/>
      <c r="E173" s="58">
        <f t="shared" ca="1" si="8"/>
        <v>12</v>
      </c>
      <c r="F173" s="59" t="str">
        <f t="shared" ca="1" si="6"/>
        <v>2020/12</v>
      </c>
    </row>
    <row r="174" spans="1:6" ht="12">
      <c r="C174" s="57">
        <f t="shared" ca="1" si="7"/>
        <v>2021</v>
      </c>
      <c r="D174" s="57"/>
      <c r="E174" s="58">
        <f t="shared" ca="1" si="8"/>
        <v>1</v>
      </c>
      <c r="F174" s="59" t="str">
        <f t="shared" ca="1" si="6"/>
        <v>2021/1</v>
      </c>
    </row>
    <row r="175" spans="1:6" ht="12">
      <c r="C175" s="57">
        <f t="shared" ca="1" si="7"/>
        <v>2021</v>
      </c>
      <c r="D175" s="57"/>
      <c r="E175" s="58">
        <f t="shared" ca="1" si="8"/>
        <v>2</v>
      </c>
      <c r="F175" s="59" t="str">
        <f t="shared" ca="1" si="6"/>
        <v>2021/2</v>
      </c>
    </row>
    <row r="176" spans="1:6" ht="12">
      <c r="C176" s="57">
        <f t="shared" ca="1" si="7"/>
        <v>2021</v>
      </c>
      <c r="D176" s="57"/>
      <c r="E176" s="58">
        <f t="shared" ca="1" si="8"/>
        <v>3</v>
      </c>
      <c r="F176" s="59" t="str">
        <f t="shared" ca="1" si="6"/>
        <v>2021/3</v>
      </c>
    </row>
    <row r="177" spans="1:17" ht="12">
      <c r="C177" s="57">
        <f t="shared" ca="1" si="7"/>
        <v>2021</v>
      </c>
      <c r="D177" s="57"/>
      <c r="E177" s="58">
        <f t="shared" ca="1" si="8"/>
        <v>4</v>
      </c>
      <c r="F177" s="59" t="str">
        <f t="shared" ca="1" si="6"/>
        <v>2021/4</v>
      </c>
    </row>
    <row r="178" spans="1:17" ht="12">
      <c r="C178" s="57">
        <f t="shared" ca="1" si="7"/>
        <v>2021</v>
      </c>
      <c r="D178" s="57"/>
      <c r="E178" s="58">
        <f t="shared" ca="1" si="8"/>
        <v>5</v>
      </c>
      <c r="F178" s="59" t="str">
        <f t="shared" ca="1" si="6"/>
        <v>2021/5</v>
      </c>
    </row>
    <row r="179" spans="1:17" ht="12">
      <c r="C179" s="57">
        <f t="shared" ca="1" si="7"/>
        <v>2021</v>
      </c>
      <c r="D179" s="57"/>
      <c r="E179" s="58">
        <f t="shared" ca="1" si="8"/>
        <v>6</v>
      </c>
      <c r="F179" s="59" t="str">
        <f t="shared" ca="1" si="6"/>
        <v>2021/6</v>
      </c>
    </row>
    <row r="180" spans="1:17" ht="12">
      <c r="C180" s="57">
        <f t="shared" ca="1" si="7"/>
        <v>2021</v>
      </c>
      <c r="D180" s="57"/>
      <c r="E180" s="58">
        <f t="shared" ca="1" si="8"/>
        <v>7</v>
      </c>
      <c r="F180" s="59" t="str">
        <f t="shared" ca="1" si="6"/>
        <v>2021/7</v>
      </c>
    </row>
    <row r="181" spans="1:17" ht="12">
      <c r="C181" s="57">
        <f t="shared" ca="1" si="7"/>
        <v>2021</v>
      </c>
      <c r="D181" s="57"/>
      <c r="E181" s="58">
        <f t="shared" ca="1" si="8"/>
        <v>8</v>
      </c>
      <c r="F181" s="59" t="str">
        <f t="shared" ca="1" si="6"/>
        <v>2021/8</v>
      </c>
    </row>
    <row r="182" spans="1:17" ht="12">
      <c r="C182" s="57">
        <f t="shared" ca="1" si="7"/>
        <v>2021</v>
      </c>
      <c r="D182" s="57"/>
      <c r="E182" s="58">
        <f t="shared" ca="1" si="8"/>
        <v>9</v>
      </c>
      <c r="F182" s="59" t="str">
        <f t="shared" ca="1" si="6"/>
        <v>2021/9</v>
      </c>
    </row>
    <row r="183" spans="1:17" ht="12">
      <c r="C183" s="57">
        <f t="shared" ca="1" si="7"/>
        <v>2021</v>
      </c>
      <c r="D183" s="57"/>
      <c r="E183" s="58">
        <f t="shared" ca="1" si="8"/>
        <v>10</v>
      </c>
      <c r="F183" s="59" t="str">
        <f t="shared" ca="1" si="6"/>
        <v>2021/10</v>
      </c>
    </row>
    <row r="184" spans="1:17" ht="12">
      <c r="C184" s="57">
        <f t="shared" ca="1" si="7"/>
        <v>2021</v>
      </c>
      <c r="D184" s="57"/>
      <c r="E184" s="58">
        <f t="shared" ca="1" si="8"/>
        <v>11</v>
      </c>
      <c r="F184" s="59" t="str">
        <f t="shared" ca="1" si="6"/>
        <v>2021/11</v>
      </c>
    </row>
    <row r="185" spans="1:17" ht="12">
      <c r="C185" s="57">
        <f t="shared" ca="1" si="7"/>
        <v>2021</v>
      </c>
      <c r="D185" s="57"/>
      <c r="E185" s="58">
        <f t="shared" ca="1" si="8"/>
        <v>12</v>
      </c>
      <c r="F185" s="59" t="str">
        <f t="shared" ca="1" si="6"/>
        <v>2021/12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141</vt:i4>
      </vt:variant>
    </vt:vector>
  </HeadingPairs>
  <TitlesOfParts>
    <vt:vector size="144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ﾊﾟﾀｰﾝ1'!order_e_stockitemcode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ﾊﾟﾀｰﾝ1'!order_f_stockitemcode</vt:lpstr>
      <vt:lpstr>'ver.4.0.1 ﾊﾟﾀｰﾝ1'!order_f_stocksubjectcode</vt:lpstr>
      <vt:lpstr>'ver.4.0.1 ﾊﾟﾀｰﾝ1'!order_f_subtotalprice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ﾊﾟﾀｰﾝ1'!receive_f_salesclasscode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2019-11-08T05:31:30Z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