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画面設計書\"/>
    </mc:Choice>
  </mc:AlternateContent>
  <xr:revisionPtr revIDLastSave="0" documentId="13_ncr:1_{D13443BD-4C52-4F21-9532-B72ED1E03BFA}" xr6:coauthVersionLast="43" xr6:coauthVersionMax="43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標準原価見積書new_ver.4.0 ﾊﾟﾀｰﾝ原紙" sheetId="4" state="hidden" r:id="rId2"/>
  </sheets>
  <definedNames>
    <definedName name="bottom_left" localSheetId="0">'ver.4.0.1 ﾊﾟﾀｰﾝ1'!$A$95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customerusername" localSheetId="0">'ver.4.0.1 ﾊﾟﾀｰﾝ1'!$E$4</definedName>
    <definedName name="customerusername_header" localSheetId="0">'ver.4.0.1 ﾊﾟﾀｰﾝ1'!$D$4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inchargegroupcode" localSheetId="0">'ver.4.0.1 ﾊﾟﾀｰﾝ1'!$B$4</definedName>
    <definedName name="inchargegroupcode_header" localSheetId="0">'ver.4.0.1 ﾊﾟﾀｰﾝ1'!$A$4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stockitemcode" localSheetId="0">'ver.4.0.1 ﾊﾟﾀｰﾝ1'!$C$60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stockitemcode" localSheetId="0">'ver.4.0.1 ﾊﾟﾀｰﾝ1'!$C$33</definedName>
    <definedName name="order_f_stocksubjectcode" localSheetId="0">'ver.4.0.1 ﾊﾟﾀｰﾝ1'!$A$33</definedName>
    <definedName name="order_f_subtotalprice" localSheetId="0">'ver.4.0.1 ﾊﾟﾀｰﾝ1'!$K$33</definedName>
    <definedName name="_xlnm.Print_Area" localSheetId="0">'ver.4.0.1 ﾊﾟﾀｰﾝ1'!$A$1:$P$95</definedName>
    <definedName name="_xlnm.Print_Area" localSheetId="1">'標準原価見積書new_ver.4.0 ﾊﾟﾀｰﾝ原紙'!$A$1:$O$95</definedName>
    <definedName name="_xlnm.Print_Titles" localSheetId="0">'ver.4.0.1 ﾊﾟﾀｰﾝ1'!$2:$4</definedName>
    <definedName name="_xlnm.Print_Titles" localSheetId="1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salesclasscode" localSheetId="0">'ver.4.0.1 ﾊﾟﾀｰﾝ1'!$C$18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salesclasscode" localSheetId="0">'ver.4.0.1 ﾊﾟﾀｰﾝ1'!$C$6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op_left" localSheetId="0">'ver.4.0.1 ﾊﾟﾀｰﾝ1'!$A$1</definedName>
    <definedName name="top_right" localSheetId="0">'ver.4.0.1 ﾊﾟﾀｰﾝ1'!$P$1</definedName>
    <definedName name="usercode" localSheetId="0">'ver.4.0.1 ﾊﾟﾀｰﾝ1'!$J$4</definedName>
    <definedName name="usercode_header" localSheetId="0">'ver.4.0.1 ﾊﾟﾀｰﾝ1'!$H$4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7" i="6" l="1"/>
  <c r="H187" i="6"/>
  <c r="G187" i="6"/>
  <c r="F187" i="6"/>
  <c r="E187" i="6"/>
  <c r="C187" i="6"/>
  <c r="A160" i="6"/>
  <c r="C160" i="6" s="1"/>
  <c r="G93" i="6"/>
  <c r="I93" i="6" s="1"/>
  <c r="G92" i="6"/>
  <c r="Q86" i="6"/>
  <c r="K86" i="6"/>
  <c r="I86" i="6"/>
  <c r="G86" i="6"/>
  <c r="G85" i="6"/>
  <c r="G84" i="6"/>
  <c r="Q83" i="6"/>
  <c r="K83" i="6"/>
  <c r="I83" i="6"/>
  <c r="G82" i="6"/>
  <c r="G81" i="6"/>
  <c r="Q80" i="6"/>
  <c r="G80" i="6"/>
  <c r="Q79" i="6"/>
  <c r="Q78" i="6"/>
  <c r="Q77" i="6"/>
  <c r="K77" i="6"/>
  <c r="Q76" i="6"/>
  <c r="G76" i="6"/>
  <c r="K76" i="6" s="1"/>
  <c r="Q75" i="6"/>
  <c r="K75" i="6"/>
  <c r="G75" i="6"/>
  <c r="Q74" i="6"/>
  <c r="G74" i="6"/>
  <c r="K74" i="6" s="1"/>
  <c r="Q73" i="6"/>
  <c r="G73" i="6"/>
  <c r="K73" i="6" s="1"/>
  <c r="Q72" i="6"/>
  <c r="G72" i="6"/>
  <c r="K72" i="6" s="1"/>
  <c r="Q71" i="6"/>
  <c r="K71" i="6"/>
  <c r="G71" i="6"/>
  <c r="Q70" i="6"/>
  <c r="G70" i="6"/>
  <c r="K70" i="6" s="1"/>
  <c r="Q69" i="6"/>
  <c r="G69" i="6"/>
  <c r="K69" i="6" s="1"/>
  <c r="Q68" i="6"/>
  <c r="G68" i="6"/>
  <c r="K68" i="6" s="1"/>
  <c r="Q67" i="6"/>
  <c r="K67" i="6"/>
  <c r="G67" i="6"/>
  <c r="Q66" i="6"/>
  <c r="G66" i="6"/>
  <c r="K66" i="6" s="1"/>
  <c r="Q65" i="6"/>
  <c r="G65" i="6"/>
  <c r="K65" i="6" s="1"/>
  <c r="Q64" i="6"/>
  <c r="G64" i="6"/>
  <c r="K64" i="6" s="1"/>
  <c r="Q63" i="6"/>
  <c r="K63" i="6"/>
  <c r="Q62" i="6"/>
  <c r="K62" i="6"/>
  <c r="Q61" i="6"/>
  <c r="G61" i="6"/>
  <c r="K61" i="6" s="1"/>
  <c r="Q57" i="6"/>
  <c r="K57" i="6"/>
  <c r="Q56" i="6"/>
  <c r="K56" i="6"/>
  <c r="Q55" i="6"/>
  <c r="K55" i="6"/>
  <c r="Q54" i="6"/>
  <c r="K54" i="6"/>
  <c r="Q53" i="6"/>
  <c r="K53" i="6"/>
  <c r="Q52" i="6"/>
  <c r="K52" i="6"/>
  <c r="Q51" i="6"/>
  <c r="K51" i="6"/>
  <c r="Q50" i="6"/>
  <c r="K50" i="6"/>
  <c r="Q49" i="6"/>
  <c r="K49" i="6"/>
  <c r="Q48" i="6"/>
  <c r="K48" i="6"/>
  <c r="Q47" i="6"/>
  <c r="K47" i="6"/>
  <c r="Q46" i="6"/>
  <c r="K46" i="6"/>
  <c r="Q45" i="6"/>
  <c r="K45" i="6"/>
  <c r="Q44" i="6"/>
  <c r="K44" i="6"/>
  <c r="Q43" i="6"/>
  <c r="K43" i="6"/>
  <c r="Q42" i="6"/>
  <c r="K42" i="6"/>
  <c r="Q41" i="6"/>
  <c r="K41" i="6"/>
  <c r="Q40" i="6"/>
  <c r="K40" i="6"/>
  <c r="Q39" i="6"/>
  <c r="K39" i="6"/>
  <c r="K93" i="6" s="1"/>
  <c r="Q38" i="6"/>
  <c r="K38" i="6"/>
  <c r="Q37" i="6"/>
  <c r="K37" i="6"/>
  <c r="Q36" i="6"/>
  <c r="K36" i="6"/>
  <c r="Q35" i="6"/>
  <c r="K35" i="6"/>
  <c r="Q34" i="6"/>
  <c r="K34" i="6"/>
  <c r="S62" i="6" s="1"/>
  <c r="Q31" i="6"/>
  <c r="G31" i="6"/>
  <c r="Q30" i="6"/>
  <c r="K30" i="6"/>
  <c r="K29" i="6"/>
  <c r="K28" i="6"/>
  <c r="K27" i="6"/>
  <c r="K26" i="6"/>
  <c r="K25" i="6"/>
  <c r="K24" i="6"/>
  <c r="K23" i="6"/>
  <c r="K22" i="6"/>
  <c r="Q21" i="6"/>
  <c r="K21" i="6"/>
  <c r="Q20" i="6"/>
  <c r="K20" i="6"/>
  <c r="Q19" i="6"/>
  <c r="K19" i="6"/>
  <c r="I31" i="6" s="1"/>
  <c r="H88" i="6" s="1"/>
  <c r="Q18" i="6"/>
  <c r="Q16" i="6"/>
  <c r="G16" i="6"/>
  <c r="Q15" i="6"/>
  <c r="K15" i="6"/>
  <c r="K14" i="6"/>
  <c r="K13" i="6"/>
  <c r="K12" i="6"/>
  <c r="K11" i="6"/>
  <c r="K10" i="6"/>
  <c r="Q9" i="6"/>
  <c r="K9" i="6"/>
  <c r="Q8" i="6"/>
  <c r="K8" i="6"/>
  <c r="Q7" i="6"/>
  <c r="K7" i="6"/>
  <c r="I16" i="6" s="1"/>
  <c r="C88" i="6" s="1"/>
  <c r="Q6" i="6"/>
  <c r="P4" i="6"/>
  <c r="G94" i="6" s="1"/>
  <c r="E160" i="6" l="1"/>
  <c r="S60" i="6"/>
  <c r="S63" i="6"/>
  <c r="N88" i="6"/>
  <c r="N90" i="6" s="1"/>
  <c r="I80" i="6"/>
  <c r="K80" i="6" s="1"/>
  <c r="I58" i="6"/>
  <c r="N58" i="6"/>
  <c r="O94" i="6" s="1"/>
  <c r="G79" i="6"/>
  <c r="G78" i="6"/>
  <c r="K78" i="6" s="1"/>
  <c r="K92" i="6" s="1"/>
  <c r="K79" i="6"/>
  <c r="S61" i="6" s="1"/>
  <c r="G83" i="6"/>
  <c r="C161" i="6" l="1"/>
  <c r="E161" i="6"/>
  <c r="F160" i="6"/>
  <c r="K94" i="6"/>
  <c r="I92" i="6"/>
  <c r="H89" i="6"/>
  <c r="K89" i="6" s="1"/>
  <c r="E162" i="6" l="1"/>
  <c r="C162" i="6"/>
  <c r="F161" i="6"/>
  <c r="I94" i="6"/>
  <c r="C8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J93" i="4" s="1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I32" i="4" s="1"/>
  <c r="H88" i="4" s="1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F162" i="6" l="1"/>
  <c r="E163" i="6"/>
  <c r="C163" i="6"/>
  <c r="D89" i="6"/>
  <c r="N89" i="6"/>
  <c r="G85" i="4"/>
  <c r="I60" i="4"/>
  <c r="J83" i="4"/>
  <c r="R63" i="4" s="1"/>
  <c r="I93" i="4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F163" i="6" l="1"/>
  <c r="C164" i="6"/>
  <c r="E164" i="6"/>
  <c r="N91" i="6"/>
  <c r="P91" i="6" s="1"/>
  <c r="P89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E165" i="6" l="1"/>
  <c r="C165" i="6"/>
  <c r="F164" i="6"/>
  <c r="C162" i="4"/>
  <c r="F162" i="4" s="1"/>
  <c r="I92" i="4"/>
  <c r="J94" i="4"/>
  <c r="E164" i="4"/>
  <c r="F165" i="6" l="1"/>
  <c r="E166" i="6"/>
  <c r="C166" i="6"/>
  <c r="F166" i="6" s="1"/>
  <c r="C163" i="4"/>
  <c r="C164" i="4" s="1"/>
  <c r="F164" i="4" s="1"/>
  <c r="I94" i="4"/>
  <c r="C89" i="4"/>
  <c r="E165" i="4"/>
  <c r="C167" i="6" l="1"/>
  <c r="E167" i="6"/>
  <c r="C165" i="4"/>
  <c r="F165" i="4" s="1"/>
  <c r="F163" i="4"/>
  <c r="E166" i="4"/>
  <c r="M89" i="4"/>
  <c r="D89" i="4"/>
  <c r="E168" i="6" l="1"/>
  <c r="C168" i="6"/>
  <c r="F168" i="6" s="1"/>
  <c r="F167" i="6"/>
  <c r="C166" i="4"/>
  <c r="F166" i="4" s="1"/>
  <c r="O89" i="4"/>
  <c r="M91" i="4"/>
  <c r="O91" i="4" s="1"/>
  <c r="E167" i="4"/>
  <c r="C169" i="6" l="1"/>
  <c r="E169" i="6"/>
  <c r="C167" i="4"/>
  <c r="F167" i="4" s="1"/>
  <c r="E168" i="4"/>
  <c r="E170" i="6" l="1"/>
  <c r="C170" i="6"/>
  <c r="F170" i="6" s="1"/>
  <c r="F169" i="6"/>
  <c r="C168" i="4"/>
  <c r="F168" i="4" s="1"/>
  <c r="E169" i="4"/>
  <c r="E171" i="6" l="1"/>
  <c r="C171" i="6"/>
  <c r="C169" i="4"/>
  <c r="C170" i="4" s="1"/>
  <c r="E170" i="4"/>
  <c r="F171" i="6" l="1"/>
  <c r="C172" i="6"/>
  <c r="E172" i="6"/>
  <c r="F169" i="4"/>
  <c r="F170" i="4"/>
  <c r="E171" i="4"/>
  <c r="C171" i="4"/>
  <c r="F172" i="6" l="1"/>
  <c r="C173" i="6"/>
  <c r="E173" i="6"/>
  <c r="F171" i="4"/>
  <c r="E172" i="4"/>
  <c r="C172" i="4"/>
  <c r="C174" i="6" l="1"/>
  <c r="E174" i="6"/>
  <c r="F173" i="6"/>
  <c r="F172" i="4"/>
  <c r="E173" i="4"/>
  <c r="C173" i="4"/>
  <c r="E175" i="6" l="1"/>
  <c r="C175" i="6"/>
  <c r="F174" i="6"/>
  <c r="F173" i="4"/>
  <c r="E174" i="4"/>
  <c r="C174" i="4"/>
  <c r="F175" i="6" l="1"/>
  <c r="E176" i="6"/>
  <c r="C176" i="6"/>
  <c r="F176" i="6" s="1"/>
  <c r="F174" i="4"/>
  <c r="E175" i="4"/>
  <c r="C175" i="4"/>
  <c r="C177" i="6" l="1"/>
  <c r="E177" i="6"/>
  <c r="F175" i="4"/>
  <c r="E176" i="4"/>
  <c r="C176" i="4"/>
  <c r="C178" i="6" l="1"/>
  <c r="E178" i="6"/>
  <c r="F177" i="6"/>
  <c r="F176" i="4"/>
  <c r="E177" i="4"/>
  <c r="C177" i="4"/>
  <c r="C179" i="6" l="1"/>
  <c r="E179" i="6"/>
  <c r="F178" i="6"/>
  <c r="C178" i="4"/>
  <c r="E178" i="4"/>
  <c r="F177" i="4"/>
  <c r="E180" i="6" l="1"/>
  <c r="C180" i="6"/>
  <c r="F180" i="6" s="1"/>
  <c r="F179" i="6"/>
  <c r="F178" i="4"/>
  <c r="C179" i="4"/>
  <c r="E179" i="4"/>
  <c r="E181" i="6" l="1"/>
  <c r="C181" i="6"/>
  <c r="F179" i="4"/>
  <c r="E180" i="4"/>
  <c r="C180" i="4"/>
  <c r="F181" i="6" l="1"/>
  <c r="C182" i="6"/>
  <c r="E182" i="6"/>
  <c r="F180" i="4"/>
  <c r="E181" i="4"/>
  <c r="C181" i="4"/>
  <c r="E183" i="6" l="1"/>
  <c r="C183" i="6"/>
  <c r="F183" i="6" s="1"/>
  <c r="F182" i="6"/>
  <c r="F181" i="4"/>
  <c r="E182" i="4"/>
  <c r="C182" i="4"/>
  <c r="E184" i="6" l="1"/>
  <c r="C184" i="6"/>
  <c r="F182" i="4"/>
  <c r="E183" i="4"/>
  <c r="C183" i="4"/>
  <c r="F184" i="6" l="1"/>
  <c r="C185" i="6"/>
  <c r="E185" i="6"/>
  <c r="F183" i="4"/>
  <c r="C184" i="4"/>
  <c r="E184" i="4"/>
  <c r="F185" i="6" l="1"/>
  <c r="F184" i="4"/>
  <c r="E185" i="4"/>
  <c r="C185" i="4"/>
  <c r="F18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L89" authorId="0" shapeId="0" xr:uid="{D1C16772-D0B9-4462-B4C6-F2FFE48BBC48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1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<sst xmlns="http://schemas.openxmlformats.org/spreadsheetml/2006/main" count="917" uniqueCount="266">
  <si>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</si>
  <si>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</si>
  <si>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</si>
  <si>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</si>
  <si>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</si>
  <si>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</si>
  <si>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</si>
  <si>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</si>
  <si>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</si>
  <si>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</si>
  <si>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</si>
  <si>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</si>
  <si>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</si>
  <si>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</si>
  <si>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</si>
  <si>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</si>
  <si>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</si>
  <si>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</si>
  <si>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</si>
  <si>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</si>
  <si>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</si>
  <si>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</si>
  <si>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</si>
  <si>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</si>
  <si>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</si>
  <si>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</si>
  <si>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</si>
  <si>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</si>
  <si>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</si>
  <si>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</si>
  <si>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</si>
  <si>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</si>
  <si>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</si>
  <si>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</si>
  <si>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</si>
  <si>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</si>
  <si>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</si>
  <si>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</si>
  <si>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</si>
  <si>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</si>
  <si>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</si>
  <si>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</si>
  <si>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</si>
  <si>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</si>
  <si>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</si>
  <si>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</si>
  <si>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</si>
  <si>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</si>
  <si>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</si>
  <si>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</si>
  <si>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</si>
  <si>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</si>
  <si>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</si>
  <si>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</si>
  <si>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</si>
  <si>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</si>
  <si>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</si>
  <si>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</si>
  <si>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</si>
  <si>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</si>
  <si>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</si>
  <si>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</si>
  <si>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</si>
  <si>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</si>
  <si>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</si>
  <si>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</si>
  <si>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</si>
  <si>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</si>
  <si>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</si>
  <si>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</si>
  <si>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</si>
  <si>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</si>
  <si>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</si>
  <si>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</si>
  <si>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</si>
  <si>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</si>
  <si>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</si>
  <si>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</si>
  <si>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</si>
  <si>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</si>
  <si>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</si>
  <si>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</si>
  <si>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</si>
  <si>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</si>
  <si>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</si>
  <si>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</si>
  <si>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</si>
  <si>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</si>
  <si>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</si>
  <si>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</si>
  <si>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</si>
  <si>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</si>
  <si>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</si>
  <si>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</si>
  <si>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</si>
  <si>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</si>
  <si>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</si>
  <si>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</si>
  <si>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</si>
  <si>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</si>
  <si>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</si>
  <si>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</si>
  <si>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</si>
  <si>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</si>
  <si>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</si>
  <si>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</si>
  <si>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</si>
  <si>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</si>
  <si>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</si>
  <si>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</si>
  <si>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</si>
  <si>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</si>
  <si>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</si>
  <si>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</si>
  <si>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</si>
  <si>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</si>
  <si>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</si>
  <si>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</si>
  <si>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</si>
  <si>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</si>
  <si>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</si>
  <si>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</si>
  <si>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</si>
  <si>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</si>
  <si>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</si>
  <si>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</si>
  <si>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</si>
  <si>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</si>
  <si>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</si>
  <si>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</si>
  <si>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</si>
  <si>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</si>
  <si>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</si>
  <si>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</si>
  <si>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</si>
  <si>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</si>
  <si>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</si>
  <si>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</si>
  <si>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</si>
  <si>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</si>
  <si>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</si>
  <si>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</si>
  <si>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</si>
  <si>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</si>
  <si>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</si>
  <si>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</si>
  <si>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</si>
  <si>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</si>
  <si>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</si>
  <si>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</si>
  <si>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</si>
  <si>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</si>
  <si>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</si>
  <si>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</si>
  <si>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</si>
  <si>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</si>
  <si>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</si>
  <si>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</si>
  <si>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</si>
  <si>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</si>
  <si>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</si>
  <si>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</si>
  <si>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</si>
  <si>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</si>
  <si>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</si>
  <si>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</si>
  <si>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</si>
  <si>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</si>
  <si>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</si>
  <si>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</si>
  <si>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</si>
  <si>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</si>
  <si>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</si>
  <si>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</si>
  <si>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</si>
  <si>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</si>
  <si>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</si>
  <si>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</si>
  <si>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</si>
  <si>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</si>
  <si>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</si>
  <si>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</si>
  <si>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</si>
  <si>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</si>
  <si>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</si>
  <si>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</si>
  <si>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</si>
  <si>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</si>
  <si>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</si>
  <si>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</si>
  <si>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</si>
  <si>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</si>
  <si>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</si>
  <si>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</si>
  <si>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</si>
  <si>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</si>
  <si>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</si>
  <si>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</si>
  <si>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</si>
  <si>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</si>
  <si>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</si>
  <si>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</si>
  <si>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</si>
  <si>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</si>
  <si>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</si>
  <si>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</si>
  <si>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</si>
  <si>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</si>
  <si>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</si>
  <si>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</si>
  <si>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</si>
  <si>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</si>
  <si>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</si>
  <si>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</si>
  <si>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</si>
  <si>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</si>
  <si>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</si>
  <si>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</si>
  <si>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</si>
  <si>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</si>
  <si>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</si>
  <si>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</si>
  <si>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</si>
  <si>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</si>
  <si>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</si>
  <si>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</si>
  <si>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</si>
  <si>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</si>
  <si>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</si>
  <si>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</si>
  <si>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</si>
  <si>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</si>
  <si>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</si>
  <si>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</si>
  <si>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</si>
  <si>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</si>
  <si>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</si>
  <si>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</si>
  <si>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</si>
  <si>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</si>
  <si>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</si>
  <si>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</si>
  <si>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</si>
  <si>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</si>
  <si>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</si>
  <si>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</si>
  <si>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</si>
  <si>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</si>
  <si>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</si>
  <si>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</si>
  <si>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</si>
  <si>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</si>
  <si>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</si>
  <si>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</si>
  <si>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</si>
  <si>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</si>
  <si>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</si>
  <si>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</si>
  <si>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</si>
  <si>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</si>
  <si>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</si>
  <si>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</si>
  <si>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</si>
  <si>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</si>
  <si>
    <t>製品利益</t>
  </si>
  <si>
    <t>固定費利益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</si>
</sst>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4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4" fillId="0" borderId="95" xfId="0" applyFont="1" applyBorder="1" applyAlignment="1" applyProtection="1">
      <alignment horizontal="left"/>
      <protection locked="0"/>
    </xf>
    <xf numFmtId="0" fontId="4" fillId="0" borderId="97" xfId="0" applyFont="1" applyBorder="1" applyAlignment="1" applyProtection="1">
      <alignment horizontal="left"/>
      <protection locked="0"/>
    </xf>
    <xf numFmtId="0" fontId="4" fillId="0" borderId="98" xfId="0" applyFont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76" fontId="6" fillId="0" borderId="75" xfId="0" applyNumberFormat="1" applyFont="1" applyBorder="1"/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7" fontId="6" fillId="0" borderId="42" xfId="0" applyNumberFormat="1" applyFont="1" applyBorder="1" applyAlignment="1" applyProtection="1">
      <alignment vertical="center"/>
      <protection locked="0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10" fontId="4" fillId="38" borderId="95" xfId="0" applyNumberFormat="1" applyFont="1" applyFill="1" applyBorder="1" applyProtection="1">
      <protection locked="0"/>
    </xf>
    <xf numFmtId="10" fontId="4" fillId="38" borderId="24" xfId="0" applyNumberFormat="1" applyFont="1" applyFill="1" applyBorder="1" applyProtection="1"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5" fontId="4" fillId="40" borderId="95" xfId="0" applyNumberFormat="1" applyFont="1" applyFill="1" applyBorder="1" applyAlignment="1">
      <alignment horizontal="right"/>
    </xf>
    <xf numFmtId="5" fontId="4" fillId="40" borderId="24" xfId="0" applyNumberFormat="1" applyFont="1" applyFill="1" applyBorder="1" applyAlignment="1">
      <alignment horizontal="right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15" xfId="0" applyNumberFormat="1" applyFont="1" applyFill="1" applyBorder="1" applyAlignment="1" applyProtection="1">
      <alignment horizontal="right"/>
      <protection locked="0"/>
    </xf>
    <xf numFmtId="178" fontId="4" fillId="0" borderId="95" xfId="0" applyNumberFormat="1" applyFont="1" applyFill="1" applyBorder="1" applyAlignment="1" applyProtection="1">
      <alignment horizontal="right"/>
      <protection locked="0"/>
    </xf>
    <xf numFmtId="178" fontId="4" fillId="0" borderId="3" xfId="0" applyNumberFormat="1" applyFont="1" applyFill="1" applyBorder="1" applyAlignment="1">
      <alignment horizontal="right"/>
    </xf>
    <xf numFmtId="178" fontId="4" fillId="0" borderId="34" xfId="0" applyNumberFormat="1" applyFont="1" applyFill="1" applyBorder="1" applyAlignment="1">
      <alignment horizontal="right"/>
    </xf>
    <xf numFmtId="182" fontId="4" fillId="0" borderId="6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10" fontId="4" fillId="38" borderId="16" xfId="0" applyNumberFormat="1" applyFont="1" applyFill="1" applyBorder="1" applyProtection="1">
      <protection locked="0"/>
    </xf>
    <xf numFmtId="10" fontId="4" fillId="38" borderId="17" xfId="0" applyNumberFormat="1" applyFont="1" applyFill="1" applyBorder="1" applyProtection="1">
      <protection locked="0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10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2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/>
    <xf numFmtId="5" fontId="6" fillId="0" borderId="49" xfId="0" applyNumberFormat="1" applyFont="1" applyBorder="1"/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/>
    <xf numFmtId="5" fontId="10" fillId="0" borderId="46" xfId="0" applyNumberFormat="1" applyFont="1" applyBorder="1"/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/>
    <xf numFmtId="5" fontId="10" fillId="0" borderId="33" xfId="0" applyNumberFormat="1" applyFont="1" applyBorder="1"/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0" borderId="16" xfId="0" applyNumberFormat="1" applyFont="1" applyFill="1" applyBorder="1" applyProtection="1">
      <protection locked="0"/>
    </xf>
    <xf numFmtId="10" fontId="4" fillId="0" borderId="17" xfId="0" applyNumberFormat="1" applyFont="1" applyFill="1" applyBorder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73" xfId="0" applyFont="1" applyFill="1" applyBorder="1"/>
    <xf numFmtId="0" fontId="4" fillId="38" borderId="18" xfId="0" applyFont="1" applyFill="1" applyBorder="1"/>
    <xf numFmtId="10" fontId="4" fillId="38" borderId="34" xfId="0" applyNumberFormat="1" applyFont="1" applyFill="1" applyBorder="1" applyProtection="1">
      <protection locked="0"/>
    </xf>
    <xf numFmtId="10" fontId="4" fillId="38" borderId="18" xfId="0" applyNumberFormat="1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38" borderId="16" xfId="0" applyFont="1" applyFill="1" applyBorder="1" applyAlignment="1" applyProtection="1">
      <alignment horizontal="center"/>
      <protection locked="0"/>
    </xf>
    <xf numFmtId="0" fontId="4" fillId="38" borderId="17" xfId="0" applyFont="1" applyFill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38" borderId="16" xfId="0" applyFont="1" applyFill="1" applyBorder="1" applyProtection="1">
      <protection locked="0"/>
    </xf>
    <xf numFmtId="10" fontId="4" fillId="38" borderId="16" xfId="0" applyNumberFormat="1" applyFont="1" applyFill="1" applyBorder="1" applyProtection="1">
      <protection locked="0"/>
    </xf>
    <xf numFmtId="10" fontId="4" fillId="38" borderId="17" xfId="0" applyNumberFormat="1" applyFont="1" applyFill="1" applyBorder="1" applyProtection="1"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4" fillId="24" borderId="62" xfId="0" applyFont="1" applyFill="1" applyBorder="1" applyProtection="1">
      <protection locked="0"/>
    </xf>
    <xf numFmtId="0" fontId="4" fillId="24" borderId="24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26" borderId="3" xfId="0" applyFont="1" applyFill="1" applyBorder="1" applyAlignment="1" applyProtection="1">
      <alignment horizontal="center"/>
      <protection locked="0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7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99FE-F575-4CE3-81AD-06CEF577CF11}">
  <sheetPr>
    <tabColor rgb="FFFFEB00"/>
  </sheetPr>
  <dimension ref="A1:Y191"/>
  <sheetViews>
    <sheetView showZeros="0" tabSelected="1" showOutlineSymbols="0" view="pageBreakPreview" topLeftCell="A59" zoomScaleNormal="100" zoomScaleSheetLayoutView="100" workbookViewId="0">
      <selection activeCell="I90" sqref="I90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8.109375" style="1" customWidth="1"/>
    <col min="20" max="26" width="5.6640625" style="1" customWidth="1"/>
    <col min="27" max="16384" width="9" style="1"/>
  </cols>
  <sheetData>
    <row r="1" spans="1:25" ht="10.5" customHeight="1" x14ac:dyDescent="0.15">
      <c r="P1" s="60" t="s">
        <v>213</v>
      </c>
    </row>
    <row r="2" spans="1:25" ht="19.5" customHeight="1" thickBot="1" x14ac:dyDescent="0.25">
      <c r="A2" s="2" t="s">
        <v>1</v>
      </c>
      <c r="B2" s="2"/>
      <c r="C2" s="3"/>
      <c r="D2" s="3"/>
      <c r="E2" s="452" t="s">
        <v>63</v>
      </c>
      <c r="F2" s="452"/>
      <c r="G2" s="452"/>
      <c r="H2" s="452"/>
      <c r="I2" s="452"/>
      <c r="J2" s="452"/>
      <c r="K2" s="452"/>
      <c r="L2" s="111"/>
      <c r="M2" s="111"/>
      <c r="N2" s="111"/>
      <c r="O2" s="111"/>
      <c r="P2" s="111"/>
    </row>
    <row r="3" spans="1:25" ht="28.65" customHeight="1" x14ac:dyDescent="0.15">
      <c r="A3" s="243" t="s">
        <v>2</v>
      </c>
      <c r="B3" s="244" t="s">
        <v>244</v>
      </c>
      <c r="C3" s="245" t="s">
        <v>3</v>
      </c>
      <c r="D3" s="469" t="s">
        <v>205</v>
      </c>
      <c r="E3" s="470"/>
      <c r="F3" s="470"/>
      <c r="G3" s="470"/>
      <c r="H3" s="471"/>
      <c r="I3" s="245" t="s">
        <v>260</v>
      </c>
      <c r="J3" s="469" t="s">
        <v>261</v>
      </c>
      <c r="K3" s="470"/>
      <c r="L3" s="470"/>
      <c r="M3" s="470"/>
      <c r="N3" s="471"/>
      <c r="O3" s="246" t="s">
        <v>64</v>
      </c>
      <c r="P3" s="247">
        <v>1250</v>
      </c>
    </row>
    <row r="4" spans="1:25" ht="14.25" customHeight="1" thickBot="1" x14ac:dyDescent="0.2">
      <c r="A4" s="5" t="s">
        <v>201</v>
      </c>
      <c r="B4" s="453" t="s">
        <v>230</v>
      </c>
      <c r="C4" s="453"/>
      <c r="D4" s="234" t="s">
        <v>256</v>
      </c>
      <c r="E4" s="457"/>
      <c r="F4" s="458"/>
      <c r="G4" s="459"/>
      <c r="H4" s="454" t="s">
        <v>202</v>
      </c>
      <c r="I4" s="455"/>
      <c r="J4" s="456" t="s">
        <v>218</v>
      </c>
      <c r="K4" s="456"/>
      <c r="L4" s="454" t="s">
        <v>4</v>
      </c>
      <c r="M4" s="455"/>
      <c r="N4" s="220">
        <v>100</v>
      </c>
      <c r="O4" s="233" t="s">
        <v>255</v>
      </c>
      <c r="P4" s="240">
        <f>SUMIF($C$7:$C$15,"1:本荷",$G$7:$G$15)</f>
        <v>10000</v>
      </c>
    </row>
    <row r="5" spans="1:25" ht="6.75" customHeight="1" thickBot="1" x14ac:dyDescent="0.2">
      <c r="A5" s="460"/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2"/>
    </row>
    <row r="6" spans="1:25" ht="18" customHeight="1" x14ac:dyDescent="0.15">
      <c r="A6" s="463" t="s">
        <v>5</v>
      </c>
      <c r="B6" s="464"/>
      <c r="C6" s="204" t="s">
        <v>6</v>
      </c>
      <c r="D6" s="465" t="s">
        <v>7</v>
      </c>
      <c r="E6" s="466"/>
      <c r="F6" s="464"/>
      <c r="G6" s="205" t="s">
        <v>8</v>
      </c>
      <c r="H6" s="206" t="s">
        <v>9</v>
      </c>
      <c r="I6" s="207" t="s">
        <v>10</v>
      </c>
      <c r="J6" s="222" t="s">
        <v>259</v>
      </c>
      <c r="K6" s="467" t="s">
        <v>11</v>
      </c>
      <c r="L6" s="468"/>
      <c r="M6" s="208" t="s">
        <v>238</v>
      </c>
      <c r="N6" s="442" t="s">
        <v>257</v>
      </c>
      <c r="O6" s="443"/>
      <c r="P6" s="444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</row>
    <row r="7" spans="1:25" ht="14.1" customHeight="1" x14ac:dyDescent="0.15">
      <c r="A7" s="445" t="s">
        <v>237</v>
      </c>
      <c r="B7" s="446"/>
      <c r="C7" s="185" t="s">
        <v>233</v>
      </c>
      <c r="D7" s="423"/>
      <c r="E7" s="424"/>
      <c r="F7" s="425"/>
      <c r="G7" s="146">
        <v>10000</v>
      </c>
      <c r="H7" s="187" t="s">
        <v>14</v>
      </c>
      <c r="I7" s="148">
        <v>1250</v>
      </c>
      <c r="J7" s="223"/>
      <c r="K7" s="401">
        <f>ROUNDDOWN(IF(H7="US",G7*I7*$J7,G7*I7),0)</f>
        <v>12500000</v>
      </c>
      <c r="L7" s="402"/>
      <c r="M7" s="214">
        <v>43084</v>
      </c>
      <c r="N7" s="449"/>
      <c r="O7" s="450"/>
      <c r="P7" s="451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</row>
    <row r="8" spans="1:25" ht="14.1" customHeight="1" x14ac:dyDescent="0.15">
      <c r="A8" s="445" t="s">
        <v>237</v>
      </c>
      <c r="B8" s="446"/>
      <c r="C8" s="185" t="s">
        <v>233</v>
      </c>
      <c r="D8" s="423"/>
      <c r="E8" s="424"/>
      <c r="F8" s="425"/>
      <c r="G8" s="149"/>
      <c r="H8" s="188" t="s">
        <v>14</v>
      </c>
      <c r="I8" s="151"/>
      <c r="J8" s="224"/>
      <c r="K8" s="401">
        <f t="shared" ref="K8:K15" si="0">ROUNDDOWN(IF(H8="US",G8*I8*$J8,G8*I8),0)</f>
        <v>0</v>
      </c>
      <c r="L8" s="402"/>
      <c r="M8" s="214"/>
      <c r="N8" s="449"/>
      <c r="O8" s="450"/>
      <c r="P8" s="451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</row>
    <row r="9" spans="1:25" ht="14.1" customHeight="1" x14ac:dyDescent="0.2">
      <c r="A9" s="445" t="s">
        <v>237</v>
      </c>
      <c r="B9" s="446"/>
      <c r="C9" s="185" t="s">
        <v>233</v>
      </c>
      <c r="D9" s="423"/>
      <c r="E9" s="424"/>
      <c r="F9" s="425"/>
      <c r="G9" s="149"/>
      <c r="H9" s="188" t="s">
        <v>14</v>
      </c>
      <c r="I9" s="151"/>
      <c r="J9" s="224"/>
      <c r="K9" s="401">
        <f t="shared" si="0"/>
        <v>0</v>
      </c>
      <c r="L9" s="402"/>
      <c r="M9" s="213"/>
      <c r="N9" s="447"/>
      <c r="O9" s="447"/>
      <c r="P9" s="448"/>
      <c r="Q9" s="1">
        <f>IF(C9&lt;&gt;0,IF(A9=$A$98,VLOOKUP(C9,$A$100:$A$108,1,TRUE),IF(A9=$C$98,VLOOKUP(C9,$C$100:$C$110,1,TRUE),IF(A9=$E$98,VLOOKUP(C9,$E$100:$E$108,1,TRUE),))),)</f>
        <v>0</v>
      </c>
      <c r="S9" s="14"/>
      <c r="U9" s="15"/>
      <c r="V9" s="15"/>
      <c r="W9" s="15"/>
      <c r="X9" s="15"/>
      <c r="Y9" s="15"/>
    </row>
    <row r="10" spans="1:25" ht="14.1" customHeight="1" x14ac:dyDescent="0.2">
      <c r="A10" s="445" t="s">
        <v>237</v>
      </c>
      <c r="B10" s="446"/>
      <c r="C10" s="185" t="s">
        <v>234</v>
      </c>
      <c r="D10" s="423"/>
      <c r="E10" s="424"/>
      <c r="F10" s="425"/>
      <c r="G10" s="149"/>
      <c r="H10" s="188" t="s">
        <v>14</v>
      </c>
      <c r="I10" s="151"/>
      <c r="J10" s="224"/>
      <c r="K10" s="401">
        <f t="shared" si="0"/>
        <v>0</v>
      </c>
      <c r="L10" s="402"/>
      <c r="M10" s="213"/>
      <c r="N10" s="447"/>
      <c r="O10" s="447"/>
      <c r="P10" s="448"/>
      <c r="S10" s="14"/>
      <c r="T10" s="15"/>
      <c r="U10" s="15"/>
      <c r="V10" s="15"/>
      <c r="W10" s="15"/>
      <c r="X10" s="15"/>
      <c r="Y10" s="15"/>
    </row>
    <row r="11" spans="1:25" ht="14.1" customHeight="1" x14ac:dyDescent="0.2">
      <c r="A11" s="445" t="s">
        <v>237</v>
      </c>
      <c r="B11" s="446"/>
      <c r="C11" s="185" t="s">
        <v>235</v>
      </c>
      <c r="D11" s="423"/>
      <c r="E11" s="424"/>
      <c r="F11" s="425"/>
      <c r="G11" s="149">
        <v>24</v>
      </c>
      <c r="H11" s="188" t="s">
        <v>14</v>
      </c>
      <c r="I11" s="151">
        <v>1200</v>
      </c>
      <c r="J11" s="224"/>
      <c r="K11" s="401">
        <f t="shared" si="0"/>
        <v>28800</v>
      </c>
      <c r="L11" s="402"/>
      <c r="M11" s="213">
        <v>43070</v>
      </c>
      <c r="N11" s="447"/>
      <c r="O11" s="447"/>
      <c r="P11" s="448"/>
      <c r="S11" s="14"/>
      <c r="T11" s="15"/>
      <c r="U11" s="15"/>
      <c r="V11" s="15"/>
      <c r="W11" s="15"/>
      <c r="X11" s="15"/>
      <c r="Y11" s="15"/>
    </row>
    <row r="12" spans="1:25" ht="14.1" customHeight="1" x14ac:dyDescent="0.2">
      <c r="A12" s="445" t="s">
        <v>237</v>
      </c>
      <c r="B12" s="446"/>
      <c r="C12" s="185" t="s">
        <v>236</v>
      </c>
      <c r="D12" s="423"/>
      <c r="E12" s="424"/>
      <c r="F12" s="425"/>
      <c r="G12" s="149">
        <v>96</v>
      </c>
      <c r="H12" s="188" t="s">
        <v>14</v>
      </c>
      <c r="I12" s="151">
        <v>1200</v>
      </c>
      <c r="J12" s="224"/>
      <c r="K12" s="401">
        <f t="shared" si="0"/>
        <v>115200</v>
      </c>
      <c r="L12" s="402"/>
      <c r="M12" s="213">
        <v>43062</v>
      </c>
      <c r="N12" s="447"/>
      <c r="O12" s="447"/>
      <c r="P12" s="448"/>
      <c r="S12" s="14"/>
      <c r="T12" s="15"/>
      <c r="U12" s="15"/>
      <c r="V12" s="15"/>
      <c r="W12" s="15"/>
      <c r="X12" s="15"/>
      <c r="Y12" s="15"/>
    </row>
    <row r="13" spans="1:25" ht="14.1" customHeight="1" x14ac:dyDescent="0.2">
      <c r="A13" s="445" t="s">
        <v>237</v>
      </c>
      <c r="B13" s="446"/>
      <c r="C13" s="185"/>
      <c r="D13" s="423"/>
      <c r="E13" s="424"/>
      <c r="F13" s="425"/>
      <c r="G13" s="149"/>
      <c r="H13" s="188" t="s">
        <v>14</v>
      </c>
      <c r="I13" s="151"/>
      <c r="J13" s="224"/>
      <c r="K13" s="401">
        <f t="shared" si="0"/>
        <v>0</v>
      </c>
      <c r="L13" s="402"/>
      <c r="M13" s="213"/>
      <c r="N13" s="447"/>
      <c r="O13" s="447"/>
      <c r="P13" s="448"/>
      <c r="S13" s="14"/>
      <c r="T13" s="15"/>
      <c r="U13" s="15"/>
      <c r="V13" s="15"/>
      <c r="W13" s="15"/>
      <c r="X13" s="15"/>
      <c r="Y13" s="15"/>
    </row>
    <row r="14" spans="1:25" ht="14.1" customHeight="1" x14ac:dyDescent="0.2">
      <c r="A14" s="445" t="s">
        <v>237</v>
      </c>
      <c r="B14" s="446"/>
      <c r="C14" s="185"/>
      <c r="D14" s="423"/>
      <c r="E14" s="424"/>
      <c r="F14" s="425"/>
      <c r="G14" s="149"/>
      <c r="H14" s="188" t="s">
        <v>14</v>
      </c>
      <c r="I14" s="151"/>
      <c r="J14" s="224"/>
      <c r="K14" s="401">
        <f t="shared" si="0"/>
        <v>0</v>
      </c>
      <c r="L14" s="402"/>
      <c r="M14" s="213"/>
      <c r="N14" s="447"/>
      <c r="O14" s="447"/>
      <c r="P14" s="448"/>
      <c r="S14" s="14"/>
      <c r="T14" s="15"/>
      <c r="U14" s="15"/>
      <c r="V14" s="15"/>
      <c r="W14" s="15"/>
      <c r="X14" s="15"/>
      <c r="Y14" s="15"/>
    </row>
    <row r="15" spans="1:25" ht="14.1" customHeight="1" thickBot="1" x14ac:dyDescent="0.25">
      <c r="A15" s="421" t="s">
        <v>237</v>
      </c>
      <c r="B15" s="422"/>
      <c r="C15" s="186"/>
      <c r="D15" s="423"/>
      <c r="E15" s="424"/>
      <c r="F15" s="425"/>
      <c r="G15" s="153"/>
      <c r="H15" s="189" t="s">
        <v>14</v>
      </c>
      <c r="I15" s="155"/>
      <c r="J15" s="225"/>
      <c r="K15" s="401">
        <f t="shared" si="0"/>
        <v>0</v>
      </c>
      <c r="L15" s="402"/>
      <c r="M15" s="215"/>
      <c r="N15" s="426"/>
      <c r="O15" s="426"/>
      <c r="P15" s="427"/>
      <c r="Q15" s="1">
        <f>IF(C15&lt;&gt;0,IF(A15=$A$98,VLOOKUP(C15,$A$100:$A$108,1,TRUE),IF(A15=$C$98,VLOOKUP(C15,$C$100:$C$110,1,TRUE),IF(A15=$E$98,VLOOKUP(C15,$E$100:$E$108,1,TRUE),))),)</f>
        <v>0</v>
      </c>
      <c r="S15" s="14"/>
      <c r="T15" s="15"/>
      <c r="U15" s="15"/>
      <c r="V15" s="15"/>
      <c r="W15" s="15"/>
      <c r="X15" s="15"/>
      <c r="Y15" s="15"/>
    </row>
    <row r="16" spans="1:25" ht="14.1" customHeight="1" thickBot="1" x14ac:dyDescent="0.25">
      <c r="A16" s="428" t="s">
        <v>232</v>
      </c>
      <c r="B16" s="429"/>
      <c r="C16" s="429"/>
      <c r="D16" s="429"/>
      <c r="E16" s="429"/>
      <c r="F16" s="430"/>
      <c r="G16" s="169">
        <f>SUM(G7:G15)</f>
        <v>10120</v>
      </c>
      <c r="H16" s="156"/>
      <c r="I16" s="431">
        <f>SUM(K7:K15)</f>
        <v>12644000</v>
      </c>
      <c r="J16" s="432"/>
      <c r="K16" s="432"/>
      <c r="L16" s="433"/>
      <c r="M16" s="216"/>
      <c r="N16" s="434"/>
      <c r="O16" s="434"/>
      <c r="P16" s="435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5" ht="6" customHeight="1" thickBot="1" x14ac:dyDescent="0.25">
      <c r="A17" s="410"/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1"/>
      <c r="P17" s="412"/>
      <c r="S17" s="15"/>
      <c r="T17" s="15"/>
      <c r="U17" s="15"/>
      <c r="V17" s="15"/>
      <c r="W17" s="15"/>
      <c r="X17" s="15"/>
      <c r="Y17" s="15"/>
    </row>
    <row r="18" spans="1:25" ht="18" customHeight="1" x14ac:dyDescent="0.15">
      <c r="A18" s="436" t="s">
        <v>5</v>
      </c>
      <c r="B18" s="437"/>
      <c r="C18" s="209" t="s">
        <v>6</v>
      </c>
      <c r="D18" s="438" t="s">
        <v>7</v>
      </c>
      <c r="E18" s="439"/>
      <c r="F18" s="437"/>
      <c r="G18" s="210" t="s">
        <v>8</v>
      </c>
      <c r="H18" s="211" t="s">
        <v>9</v>
      </c>
      <c r="I18" s="212" t="s">
        <v>10</v>
      </c>
      <c r="J18" s="222" t="s">
        <v>259</v>
      </c>
      <c r="K18" s="440" t="s">
        <v>11</v>
      </c>
      <c r="L18" s="441"/>
      <c r="M18" s="208" t="s">
        <v>238</v>
      </c>
      <c r="N18" s="442" t="s">
        <v>257</v>
      </c>
      <c r="O18" s="443"/>
      <c r="P18" s="444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</row>
    <row r="19" spans="1:25" ht="14.1" customHeight="1" x14ac:dyDescent="0.15">
      <c r="A19" s="413" t="s">
        <v>12</v>
      </c>
      <c r="B19" s="414"/>
      <c r="C19" s="190" t="s">
        <v>13</v>
      </c>
      <c r="D19" s="415"/>
      <c r="E19" s="416"/>
      <c r="F19" s="417"/>
      <c r="G19" s="10">
        <v>1</v>
      </c>
      <c r="H19" s="191" t="s">
        <v>14</v>
      </c>
      <c r="I19" s="11">
        <v>85000</v>
      </c>
      <c r="J19" s="226"/>
      <c r="K19" s="401">
        <f>ROUNDDOWN(IF(H19="US",G19*I19*$J19,G19*I19),0)</f>
        <v>85000</v>
      </c>
      <c r="L19" s="402"/>
      <c r="M19" s="214">
        <v>43089</v>
      </c>
      <c r="N19" s="418"/>
      <c r="O19" s="419"/>
      <c r="P19" s="420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</row>
    <row r="20" spans="1:25" ht="14.1" customHeight="1" x14ac:dyDescent="0.15">
      <c r="A20" s="413" t="s">
        <v>12</v>
      </c>
      <c r="B20" s="414"/>
      <c r="C20" s="190" t="s">
        <v>15</v>
      </c>
      <c r="D20" s="415"/>
      <c r="E20" s="416"/>
      <c r="F20" s="417"/>
      <c r="G20" s="12"/>
      <c r="H20" s="192" t="s">
        <v>14</v>
      </c>
      <c r="I20" s="13"/>
      <c r="J20" s="227"/>
      <c r="K20" s="401">
        <f t="shared" ref="K20:K30" si="1">ROUNDDOWN(IF(H20="US",G20*I20*$J20,G20*I20),0)</f>
        <v>0</v>
      </c>
      <c r="L20" s="402"/>
      <c r="M20" s="214"/>
      <c r="N20" s="418"/>
      <c r="O20" s="419"/>
      <c r="P20" s="420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</row>
    <row r="21" spans="1:25" ht="14.1" customHeight="1" x14ac:dyDescent="0.2">
      <c r="A21" s="413" t="s">
        <v>12</v>
      </c>
      <c r="B21" s="414"/>
      <c r="C21" s="190" t="s">
        <v>16</v>
      </c>
      <c r="D21" s="415"/>
      <c r="E21" s="416"/>
      <c r="F21" s="417"/>
      <c r="G21" s="12"/>
      <c r="H21" s="192" t="s">
        <v>14</v>
      </c>
      <c r="I21" s="13"/>
      <c r="J21" s="227"/>
      <c r="K21" s="401">
        <f t="shared" si="1"/>
        <v>0</v>
      </c>
      <c r="L21" s="402"/>
      <c r="M21" s="214"/>
      <c r="N21" s="362"/>
      <c r="O21" s="362"/>
      <c r="P21" s="363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5"/>
      <c r="V21" s="15"/>
      <c r="W21" s="15"/>
      <c r="X21" s="15"/>
      <c r="Y21" s="15"/>
    </row>
    <row r="22" spans="1:25" ht="14.1" customHeight="1" x14ac:dyDescent="0.2">
      <c r="A22" s="413" t="s">
        <v>12</v>
      </c>
      <c r="B22" s="414"/>
      <c r="C22" s="190" t="s">
        <v>17</v>
      </c>
      <c r="D22" s="415"/>
      <c r="E22" s="416"/>
      <c r="F22" s="417"/>
      <c r="G22" s="12"/>
      <c r="H22" s="192" t="s">
        <v>14</v>
      </c>
      <c r="I22" s="13"/>
      <c r="J22" s="227"/>
      <c r="K22" s="401">
        <f t="shared" si="1"/>
        <v>0</v>
      </c>
      <c r="L22" s="402"/>
      <c r="M22" s="214"/>
      <c r="N22" s="362"/>
      <c r="O22" s="362"/>
      <c r="P22" s="363"/>
      <c r="S22" s="14"/>
      <c r="T22" s="15"/>
      <c r="U22" s="15"/>
      <c r="V22" s="15"/>
      <c r="W22" s="15"/>
      <c r="X22" s="15"/>
      <c r="Y22" s="15"/>
    </row>
    <row r="23" spans="1:25" ht="14.1" customHeight="1" x14ac:dyDescent="0.2">
      <c r="A23" s="413" t="s">
        <v>12</v>
      </c>
      <c r="B23" s="414"/>
      <c r="C23" s="190" t="s">
        <v>18</v>
      </c>
      <c r="D23" s="415"/>
      <c r="E23" s="416"/>
      <c r="F23" s="417"/>
      <c r="G23" s="12"/>
      <c r="H23" s="192" t="s">
        <v>14</v>
      </c>
      <c r="I23" s="13"/>
      <c r="J23" s="227"/>
      <c r="K23" s="401">
        <f t="shared" si="1"/>
        <v>0</v>
      </c>
      <c r="L23" s="402"/>
      <c r="M23" s="214"/>
      <c r="N23" s="362"/>
      <c r="O23" s="362"/>
      <c r="P23" s="363"/>
      <c r="S23" s="14"/>
      <c r="T23" s="15"/>
      <c r="U23" s="15"/>
      <c r="V23" s="15"/>
      <c r="W23" s="15"/>
      <c r="X23" s="15"/>
      <c r="Y23" s="15"/>
    </row>
    <row r="24" spans="1:25" ht="14.1" customHeight="1" x14ac:dyDescent="0.2">
      <c r="A24" s="413" t="s">
        <v>12</v>
      </c>
      <c r="B24" s="414"/>
      <c r="C24" s="190" t="s">
        <v>19</v>
      </c>
      <c r="D24" s="415"/>
      <c r="E24" s="416"/>
      <c r="F24" s="417"/>
      <c r="G24" s="12"/>
      <c r="H24" s="192" t="s">
        <v>14</v>
      </c>
      <c r="I24" s="13"/>
      <c r="J24" s="227"/>
      <c r="K24" s="401">
        <f t="shared" si="1"/>
        <v>0</v>
      </c>
      <c r="L24" s="402"/>
      <c r="M24" s="214"/>
      <c r="N24" s="362"/>
      <c r="O24" s="362"/>
      <c r="P24" s="363"/>
      <c r="S24" s="14"/>
      <c r="T24" s="15"/>
      <c r="U24" s="15"/>
      <c r="V24" s="15"/>
      <c r="W24" s="15"/>
      <c r="X24" s="15"/>
      <c r="Y24" s="15"/>
    </row>
    <row r="25" spans="1:25" ht="14.1" customHeight="1" x14ac:dyDescent="0.2">
      <c r="A25" s="413" t="s">
        <v>12</v>
      </c>
      <c r="B25" s="414"/>
      <c r="C25" s="190" t="s">
        <v>20</v>
      </c>
      <c r="D25" s="415"/>
      <c r="E25" s="416"/>
      <c r="F25" s="417"/>
      <c r="G25" s="12"/>
      <c r="H25" s="192" t="s">
        <v>14</v>
      </c>
      <c r="I25" s="13"/>
      <c r="J25" s="227"/>
      <c r="K25" s="401">
        <f t="shared" si="1"/>
        <v>0</v>
      </c>
      <c r="L25" s="402"/>
      <c r="M25" s="214"/>
      <c r="N25" s="362"/>
      <c r="O25" s="362"/>
      <c r="P25" s="363"/>
      <c r="S25" s="14"/>
      <c r="T25" s="15"/>
      <c r="U25" s="15"/>
      <c r="V25" s="15"/>
      <c r="W25" s="15"/>
      <c r="X25" s="15"/>
      <c r="Y25" s="15"/>
    </row>
    <row r="26" spans="1:25" ht="14.1" customHeight="1" x14ac:dyDescent="0.2">
      <c r="A26" s="413" t="s">
        <v>12</v>
      </c>
      <c r="B26" s="414"/>
      <c r="C26" s="190"/>
      <c r="D26" s="415"/>
      <c r="E26" s="416"/>
      <c r="F26" s="417"/>
      <c r="G26" s="12"/>
      <c r="H26" s="192" t="s">
        <v>14</v>
      </c>
      <c r="I26" s="13"/>
      <c r="J26" s="227"/>
      <c r="K26" s="401">
        <f t="shared" si="1"/>
        <v>0</v>
      </c>
      <c r="L26" s="402"/>
      <c r="M26" s="214"/>
      <c r="N26" s="362"/>
      <c r="O26" s="362"/>
      <c r="P26" s="363"/>
      <c r="S26" s="14"/>
      <c r="T26" s="15"/>
      <c r="U26" s="15"/>
      <c r="V26" s="15"/>
      <c r="W26" s="15"/>
      <c r="X26" s="15"/>
      <c r="Y26" s="15"/>
    </row>
    <row r="27" spans="1:25" ht="14.1" customHeight="1" x14ac:dyDescent="0.2">
      <c r="A27" s="413" t="s">
        <v>12</v>
      </c>
      <c r="B27" s="414"/>
      <c r="C27" s="190"/>
      <c r="D27" s="415"/>
      <c r="E27" s="416"/>
      <c r="F27" s="417"/>
      <c r="G27" s="12"/>
      <c r="H27" s="192" t="s">
        <v>14</v>
      </c>
      <c r="I27" s="13"/>
      <c r="J27" s="227"/>
      <c r="K27" s="401">
        <f t="shared" si="1"/>
        <v>0</v>
      </c>
      <c r="L27" s="402"/>
      <c r="M27" s="214"/>
      <c r="N27" s="362"/>
      <c r="O27" s="362"/>
      <c r="P27" s="363"/>
      <c r="S27" s="14"/>
      <c r="T27" s="15"/>
      <c r="U27" s="15"/>
      <c r="V27" s="15"/>
      <c r="W27" s="15"/>
      <c r="X27" s="15"/>
      <c r="Y27" s="15"/>
    </row>
    <row r="28" spans="1:25" ht="14.1" customHeight="1" x14ac:dyDescent="0.2">
      <c r="A28" s="413" t="s">
        <v>12</v>
      </c>
      <c r="B28" s="414"/>
      <c r="C28" s="190"/>
      <c r="D28" s="415"/>
      <c r="E28" s="416"/>
      <c r="F28" s="417"/>
      <c r="G28" s="12"/>
      <c r="H28" s="192" t="s">
        <v>14</v>
      </c>
      <c r="I28" s="13"/>
      <c r="J28" s="227"/>
      <c r="K28" s="401">
        <f t="shared" si="1"/>
        <v>0</v>
      </c>
      <c r="L28" s="402"/>
      <c r="M28" s="214"/>
      <c r="N28" s="362"/>
      <c r="O28" s="362"/>
      <c r="P28" s="363"/>
      <c r="S28" s="14"/>
      <c r="T28" s="15"/>
      <c r="U28" s="15"/>
      <c r="V28" s="15"/>
      <c r="W28" s="15"/>
      <c r="X28" s="15"/>
      <c r="Y28" s="15"/>
    </row>
    <row r="29" spans="1:25" ht="14.1" customHeight="1" x14ac:dyDescent="0.2">
      <c r="A29" s="413" t="s">
        <v>12</v>
      </c>
      <c r="B29" s="414"/>
      <c r="C29" s="190"/>
      <c r="D29" s="415"/>
      <c r="E29" s="416"/>
      <c r="F29" s="417"/>
      <c r="G29" s="12"/>
      <c r="H29" s="192" t="s">
        <v>14</v>
      </c>
      <c r="I29" s="13"/>
      <c r="J29" s="227"/>
      <c r="K29" s="401">
        <f t="shared" si="1"/>
        <v>0</v>
      </c>
      <c r="L29" s="402"/>
      <c r="M29" s="214"/>
      <c r="N29" s="362"/>
      <c r="O29" s="362"/>
      <c r="P29" s="363"/>
      <c r="S29" s="14"/>
      <c r="T29" s="15"/>
      <c r="U29" s="15"/>
      <c r="V29" s="15"/>
      <c r="W29" s="15"/>
      <c r="X29" s="15"/>
      <c r="Y29" s="15"/>
    </row>
    <row r="30" spans="1:25" ht="14.1" customHeight="1" thickBot="1" x14ac:dyDescent="0.25">
      <c r="A30" s="396" t="s">
        <v>12</v>
      </c>
      <c r="B30" s="397"/>
      <c r="C30" s="184" t="s">
        <v>153</v>
      </c>
      <c r="D30" s="398"/>
      <c r="E30" s="399"/>
      <c r="F30" s="400"/>
      <c r="G30" s="101"/>
      <c r="H30" s="193" t="s">
        <v>14</v>
      </c>
      <c r="I30" s="97"/>
      <c r="J30" s="228"/>
      <c r="K30" s="401">
        <f t="shared" si="1"/>
        <v>0</v>
      </c>
      <c r="L30" s="402"/>
      <c r="M30" s="218"/>
      <c r="N30" s="403"/>
      <c r="O30" s="403"/>
      <c r="P30" s="404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5"/>
      <c r="V30" s="15"/>
      <c r="W30" s="15"/>
      <c r="X30" s="15"/>
      <c r="Y30" s="15"/>
    </row>
    <row r="31" spans="1:25" ht="14.1" customHeight="1" thickBot="1" x14ac:dyDescent="0.25">
      <c r="A31" s="405" t="s">
        <v>21</v>
      </c>
      <c r="B31" s="406"/>
      <c r="C31" s="406"/>
      <c r="D31" s="406"/>
      <c r="E31" s="406"/>
      <c r="F31" s="407"/>
      <c r="G31" s="168">
        <f>SUM(G19:G30)</f>
        <v>1</v>
      </c>
      <c r="H31" s="102"/>
      <c r="I31" s="387">
        <f>SUM(K19:K30)</f>
        <v>85000</v>
      </c>
      <c r="J31" s="388"/>
      <c r="K31" s="388"/>
      <c r="L31" s="389"/>
      <c r="M31" s="217"/>
      <c r="N31" s="408"/>
      <c r="O31" s="408"/>
      <c r="P31" s="409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5" ht="6" customHeight="1" thickBot="1" x14ac:dyDescent="0.25">
      <c r="A32" s="410"/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2"/>
      <c r="S32" s="15"/>
      <c r="T32" s="15"/>
      <c r="U32" s="15"/>
      <c r="V32" s="15"/>
      <c r="W32" s="15"/>
      <c r="X32" s="15"/>
      <c r="Y32" s="15"/>
    </row>
    <row r="33" spans="1:25" ht="20.25" customHeight="1" x14ac:dyDescent="0.15">
      <c r="A33" s="375" t="s">
        <v>22</v>
      </c>
      <c r="B33" s="376"/>
      <c r="C33" s="201" t="s">
        <v>23</v>
      </c>
      <c r="D33" s="377" t="s">
        <v>24</v>
      </c>
      <c r="E33" s="376"/>
      <c r="F33" s="201" t="s">
        <v>25</v>
      </c>
      <c r="G33" s="201" t="s">
        <v>26</v>
      </c>
      <c r="H33" s="201" t="s">
        <v>9</v>
      </c>
      <c r="I33" s="201" t="s">
        <v>27</v>
      </c>
      <c r="J33" s="221" t="s">
        <v>259</v>
      </c>
      <c r="K33" s="377" t="s">
        <v>28</v>
      </c>
      <c r="L33" s="376"/>
      <c r="M33" s="202" t="s">
        <v>238</v>
      </c>
      <c r="N33" s="377" t="s">
        <v>258</v>
      </c>
      <c r="O33" s="378"/>
      <c r="P33" s="379"/>
      <c r="R33" s="79" t="s">
        <v>200</v>
      </c>
    </row>
    <row r="34" spans="1:25" ht="14.1" customHeight="1" x14ac:dyDescent="0.2">
      <c r="A34" s="367" t="s">
        <v>33</v>
      </c>
      <c r="B34" s="368"/>
      <c r="C34" s="194" t="s">
        <v>34</v>
      </c>
      <c r="D34" s="369"/>
      <c r="E34" s="368"/>
      <c r="F34" s="195"/>
      <c r="G34" s="12">
        <v>1</v>
      </c>
      <c r="H34" s="198"/>
      <c r="I34" s="13">
        <v>80000</v>
      </c>
      <c r="J34" s="227"/>
      <c r="K34" s="370">
        <f>ROUNDDOWN(IF(H34="US",G34*I34*$J34,G34*I34),0)</f>
        <v>80000</v>
      </c>
      <c r="L34" s="371"/>
      <c r="M34" s="214">
        <v>43013</v>
      </c>
      <c r="N34" s="380"/>
      <c r="O34" s="380"/>
      <c r="P34" s="381"/>
      <c r="Q34" s="1" t="str">
        <f t="shared" ref="Q34:Q56" si="2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5"/>
      <c r="V34" s="15"/>
      <c r="W34" s="15"/>
      <c r="X34" s="15"/>
      <c r="Y34" s="15"/>
    </row>
    <row r="35" spans="1:25" ht="14.1" customHeight="1" x14ac:dyDescent="0.2">
      <c r="A35" s="367" t="s">
        <v>33</v>
      </c>
      <c r="B35" s="368"/>
      <c r="C35" s="194" t="s">
        <v>35</v>
      </c>
      <c r="D35" s="369"/>
      <c r="E35" s="368"/>
      <c r="F35" s="195"/>
      <c r="G35" s="12"/>
      <c r="H35" s="198"/>
      <c r="I35" s="13"/>
      <c r="J35" s="227"/>
      <c r="K35" s="370">
        <f t="shared" ref="K35:K57" si="3">ROUNDDOWN(IF(H35="US",G35*I35*$J35,G35*I35),0)</f>
        <v>0</v>
      </c>
      <c r="L35" s="371"/>
      <c r="M35" s="214"/>
      <c r="N35" s="380"/>
      <c r="O35" s="380"/>
      <c r="P35" s="381"/>
      <c r="Q35" s="1" t="str">
        <f t="shared" si="2"/>
        <v>4:版下・製版代</v>
      </c>
      <c r="R35" s="76"/>
      <c r="S35" s="15"/>
      <c r="T35" s="15"/>
      <c r="U35" s="15"/>
      <c r="V35" s="15"/>
      <c r="W35" s="15"/>
      <c r="X35" s="15"/>
      <c r="Y35" s="15"/>
    </row>
    <row r="36" spans="1:25" ht="14.1" customHeight="1" x14ac:dyDescent="0.2">
      <c r="A36" s="367" t="s">
        <v>33</v>
      </c>
      <c r="B36" s="368"/>
      <c r="C36" s="194" t="s">
        <v>35</v>
      </c>
      <c r="D36" s="369"/>
      <c r="E36" s="368"/>
      <c r="F36" s="195"/>
      <c r="G36" s="12"/>
      <c r="H36" s="198"/>
      <c r="I36" s="13"/>
      <c r="J36" s="227"/>
      <c r="K36" s="370">
        <f t="shared" si="3"/>
        <v>0</v>
      </c>
      <c r="L36" s="371"/>
      <c r="M36" s="214"/>
      <c r="N36" s="380"/>
      <c r="O36" s="380"/>
      <c r="P36" s="381"/>
      <c r="Q36" s="1" t="str">
        <f t="shared" si="2"/>
        <v>4:版下・製版代</v>
      </c>
      <c r="R36" s="76"/>
      <c r="S36" s="15"/>
      <c r="T36" s="15"/>
      <c r="U36" s="15"/>
      <c r="V36" s="15"/>
      <c r="W36" s="15"/>
      <c r="X36" s="15"/>
      <c r="Y36" s="15"/>
    </row>
    <row r="37" spans="1:25" ht="14.1" customHeight="1" x14ac:dyDescent="0.2">
      <c r="A37" s="367" t="s">
        <v>33</v>
      </c>
      <c r="B37" s="368"/>
      <c r="C37" s="194" t="s">
        <v>35</v>
      </c>
      <c r="D37" s="369"/>
      <c r="E37" s="368"/>
      <c r="F37" s="195"/>
      <c r="G37" s="12"/>
      <c r="H37" s="198"/>
      <c r="I37" s="13"/>
      <c r="J37" s="227"/>
      <c r="K37" s="370">
        <f t="shared" si="3"/>
        <v>0</v>
      </c>
      <c r="L37" s="371"/>
      <c r="M37" s="214"/>
      <c r="N37" s="380"/>
      <c r="O37" s="380"/>
      <c r="P37" s="381"/>
      <c r="Q37" s="1" t="str">
        <f t="shared" si="2"/>
        <v>4:版下・製版代</v>
      </c>
      <c r="R37" s="76"/>
      <c r="S37" s="15"/>
      <c r="T37" s="15"/>
      <c r="U37" s="15"/>
      <c r="V37" s="15"/>
      <c r="W37" s="15"/>
      <c r="X37" s="15"/>
      <c r="Y37" s="15"/>
    </row>
    <row r="38" spans="1:25" ht="14.1" customHeight="1" x14ac:dyDescent="0.2">
      <c r="A38" s="367"/>
      <c r="B38" s="368"/>
      <c r="C38" s="194"/>
      <c r="D38" s="369"/>
      <c r="E38" s="368"/>
      <c r="F38" s="195"/>
      <c r="G38" s="12"/>
      <c r="H38" s="198"/>
      <c r="I38" s="13"/>
      <c r="J38" s="227"/>
      <c r="K38" s="370">
        <f t="shared" si="3"/>
        <v>0</v>
      </c>
      <c r="L38" s="371"/>
      <c r="M38" s="214"/>
      <c r="N38" s="380"/>
      <c r="O38" s="380"/>
      <c r="P38" s="381"/>
      <c r="Q38" s="1">
        <f t="shared" si="2"/>
        <v>0</v>
      </c>
      <c r="R38" s="76"/>
      <c r="S38" s="15"/>
      <c r="T38" s="15"/>
      <c r="U38" s="15"/>
      <c r="V38" s="15"/>
      <c r="W38" s="15"/>
      <c r="X38" s="15"/>
      <c r="Y38" s="15"/>
    </row>
    <row r="39" spans="1:25" ht="14.1" customHeight="1" x14ac:dyDescent="0.2">
      <c r="A39" s="367" t="s">
        <v>29</v>
      </c>
      <c r="B39" s="368"/>
      <c r="C39" s="194" t="s">
        <v>30</v>
      </c>
      <c r="D39" s="369"/>
      <c r="E39" s="368"/>
      <c r="F39" s="195" t="s">
        <v>147</v>
      </c>
      <c r="G39" s="12">
        <v>1</v>
      </c>
      <c r="H39" s="198" t="s">
        <v>14</v>
      </c>
      <c r="I39" s="13">
        <v>200000</v>
      </c>
      <c r="J39" s="227"/>
      <c r="K39" s="370">
        <f t="shared" si="3"/>
        <v>200000</v>
      </c>
      <c r="L39" s="371"/>
      <c r="M39" s="214">
        <v>43013</v>
      </c>
      <c r="N39" s="380"/>
      <c r="O39" s="380"/>
      <c r="P39" s="381"/>
      <c r="Q39" s="1" t="str">
        <f t="shared" si="2"/>
        <v>1:原型</v>
      </c>
      <c r="R39" s="76"/>
      <c r="S39" s="15"/>
      <c r="T39" s="15"/>
      <c r="U39" s="15"/>
      <c r="V39" s="15"/>
      <c r="W39" s="15"/>
      <c r="X39" s="15"/>
      <c r="Y39" s="15"/>
    </row>
    <row r="40" spans="1:25" ht="14.1" customHeight="1" x14ac:dyDescent="0.2">
      <c r="A40" s="367" t="s">
        <v>29</v>
      </c>
      <c r="B40" s="368"/>
      <c r="C40" s="194" t="s">
        <v>30</v>
      </c>
      <c r="D40" s="369"/>
      <c r="E40" s="368"/>
      <c r="F40" s="195"/>
      <c r="G40" s="12"/>
      <c r="H40" s="198"/>
      <c r="I40" s="13"/>
      <c r="J40" s="227"/>
      <c r="K40" s="370">
        <f t="shared" si="3"/>
        <v>0</v>
      </c>
      <c r="L40" s="371"/>
      <c r="M40" s="214"/>
      <c r="N40" s="380"/>
      <c r="O40" s="380"/>
      <c r="P40" s="381"/>
      <c r="Q40" s="1" t="str">
        <f t="shared" si="2"/>
        <v>1:原型</v>
      </c>
      <c r="R40" s="76"/>
      <c r="S40" s="15"/>
      <c r="T40" s="15"/>
      <c r="U40" s="15"/>
      <c r="V40" s="15"/>
      <c r="W40" s="15"/>
      <c r="X40" s="15"/>
      <c r="Y40" s="15"/>
    </row>
    <row r="41" spans="1:25" ht="14.1" customHeight="1" x14ac:dyDescent="0.2">
      <c r="A41" s="367" t="s">
        <v>29</v>
      </c>
      <c r="B41" s="368"/>
      <c r="C41" s="194" t="s">
        <v>30</v>
      </c>
      <c r="D41" s="369"/>
      <c r="E41" s="368"/>
      <c r="F41" s="195"/>
      <c r="G41" s="12"/>
      <c r="H41" s="198"/>
      <c r="I41" s="13"/>
      <c r="J41" s="227"/>
      <c r="K41" s="370">
        <f t="shared" si="3"/>
        <v>0</v>
      </c>
      <c r="L41" s="371"/>
      <c r="M41" s="214"/>
      <c r="N41" s="380"/>
      <c r="O41" s="380"/>
      <c r="P41" s="381"/>
      <c r="Q41" s="1" t="str">
        <f t="shared" si="2"/>
        <v>1:原型</v>
      </c>
      <c r="R41" s="76"/>
      <c r="S41" s="15"/>
      <c r="T41" s="15"/>
      <c r="U41" s="15"/>
      <c r="V41" s="15"/>
      <c r="W41" s="15"/>
      <c r="X41" s="15"/>
      <c r="Y41" s="15"/>
    </row>
    <row r="42" spans="1:25" ht="14.1" customHeight="1" x14ac:dyDescent="0.2">
      <c r="A42" s="367" t="s">
        <v>29</v>
      </c>
      <c r="B42" s="368"/>
      <c r="C42" s="194" t="s">
        <v>31</v>
      </c>
      <c r="D42" s="369"/>
      <c r="E42" s="368"/>
      <c r="F42" s="195"/>
      <c r="G42" s="12"/>
      <c r="H42" s="198"/>
      <c r="I42" s="13"/>
      <c r="J42" s="227"/>
      <c r="K42" s="370">
        <f t="shared" si="3"/>
        <v>0</v>
      </c>
      <c r="L42" s="371"/>
      <c r="M42" s="214"/>
      <c r="N42" s="393"/>
      <c r="O42" s="394"/>
      <c r="P42" s="395"/>
      <c r="Q42" s="1" t="str">
        <f t="shared" si="2"/>
        <v>4:シリコン</v>
      </c>
      <c r="R42" s="76"/>
      <c r="S42" s="15"/>
      <c r="T42" s="15"/>
      <c r="U42" s="15"/>
      <c r="V42" s="15"/>
      <c r="W42" s="15"/>
      <c r="X42" s="15"/>
      <c r="Y42" s="15"/>
    </row>
    <row r="43" spans="1:25" ht="14.1" customHeight="1" x14ac:dyDescent="0.2">
      <c r="A43" s="367" t="s">
        <v>29</v>
      </c>
      <c r="B43" s="368"/>
      <c r="C43" s="194" t="s">
        <v>32</v>
      </c>
      <c r="D43" s="369"/>
      <c r="E43" s="368"/>
      <c r="F43" s="195"/>
      <c r="G43" s="12"/>
      <c r="H43" s="198"/>
      <c r="I43" s="13"/>
      <c r="J43" s="227"/>
      <c r="K43" s="370">
        <f t="shared" si="3"/>
        <v>0</v>
      </c>
      <c r="L43" s="371"/>
      <c r="M43" s="214"/>
      <c r="N43" s="380"/>
      <c r="O43" s="380"/>
      <c r="P43" s="381"/>
      <c r="Q43" s="1" t="str">
        <f t="shared" si="2"/>
        <v>3:キャスト</v>
      </c>
      <c r="R43" s="76"/>
      <c r="S43" s="15"/>
      <c r="T43" s="15"/>
      <c r="U43" s="15"/>
      <c r="V43" s="15"/>
      <c r="W43" s="15"/>
      <c r="X43" s="15"/>
      <c r="Y43" s="15"/>
    </row>
    <row r="44" spans="1:25" ht="14.1" customHeight="1" x14ac:dyDescent="0.2">
      <c r="A44" s="367"/>
      <c r="B44" s="368"/>
      <c r="C44" s="194"/>
      <c r="D44" s="369"/>
      <c r="E44" s="368"/>
      <c r="F44" s="195"/>
      <c r="G44" s="12"/>
      <c r="H44" s="198"/>
      <c r="I44" s="13"/>
      <c r="J44" s="227"/>
      <c r="K44" s="370">
        <f t="shared" si="3"/>
        <v>0</v>
      </c>
      <c r="L44" s="371"/>
      <c r="M44" s="214"/>
      <c r="N44" s="380"/>
      <c r="O44" s="380"/>
      <c r="P44" s="381"/>
      <c r="Q44" s="1">
        <f t="shared" si="2"/>
        <v>0</v>
      </c>
      <c r="R44" s="76"/>
      <c r="S44" s="15"/>
      <c r="T44" s="15"/>
      <c r="U44" s="15"/>
      <c r="V44" s="15"/>
      <c r="W44" s="15"/>
      <c r="X44" s="15"/>
      <c r="Y44" s="15"/>
    </row>
    <row r="45" spans="1:25" ht="14.1" customHeight="1" x14ac:dyDescent="0.2">
      <c r="A45" s="367" t="s">
        <v>36</v>
      </c>
      <c r="B45" s="368"/>
      <c r="C45" s="194" t="s">
        <v>37</v>
      </c>
      <c r="D45" s="369" t="s">
        <v>57</v>
      </c>
      <c r="E45" s="368"/>
      <c r="F45" s="195" t="s">
        <v>147</v>
      </c>
      <c r="G45" s="12">
        <v>1</v>
      </c>
      <c r="H45" s="198" t="s">
        <v>148</v>
      </c>
      <c r="I45" s="13">
        <v>10000</v>
      </c>
      <c r="J45" s="227">
        <v>114</v>
      </c>
      <c r="K45" s="370">
        <f t="shared" si="3"/>
        <v>1140000</v>
      </c>
      <c r="L45" s="371"/>
      <c r="M45" s="214">
        <v>43049</v>
      </c>
      <c r="N45" s="393"/>
      <c r="O45" s="394"/>
      <c r="P45" s="395"/>
      <c r="Q45" s="1" t="str">
        <f t="shared" si="2"/>
        <v>1:Injection Mold</v>
      </c>
      <c r="R45" s="76"/>
      <c r="S45" s="15"/>
      <c r="T45" s="15"/>
      <c r="U45" s="15"/>
      <c r="V45" s="15"/>
      <c r="W45" s="15"/>
      <c r="X45" s="15"/>
      <c r="Y45" s="15"/>
    </row>
    <row r="46" spans="1:25" ht="14.1" customHeight="1" x14ac:dyDescent="0.2">
      <c r="A46" s="367" t="s">
        <v>36</v>
      </c>
      <c r="B46" s="368"/>
      <c r="C46" s="194" t="s">
        <v>37</v>
      </c>
      <c r="D46" s="369" t="s">
        <v>57</v>
      </c>
      <c r="E46" s="368"/>
      <c r="F46" s="195" t="s">
        <v>147</v>
      </c>
      <c r="G46" s="12">
        <v>1</v>
      </c>
      <c r="H46" s="198" t="s">
        <v>148</v>
      </c>
      <c r="I46" s="13">
        <v>8700</v>
      </c>
      <c r="J46" s="227">
        <v>114</v>
      </c>
      <c r="K46" s="370">
        <f t="shared" si="3"/>
        <v>991800</v>
      </c>
      <c r="L46" s="371"/>
      <c r="M46" s="214">
        <v>43049</v>
      </c>
      <c r="N46" s="393"/>
      <c r="O46" s="394"/>
      <c r="P46" s="395"/>
      <c r="Q46" s="1" t="str">
        <f t="shared" si="2"/>
        <v>1:Injection Mold</v>
      </c>
      <c r="R46" s="76"/>
      <c r="S46" s="15"/>
      <c r="T46" s="15"/>
      <c r="U46" s="15"/>
      <c r="V46" s="15"/>
      <c r="W46" s="15"/>
      <c r="X46" s="15"/>
      <c r="Y46" s="15"/>
    </row>
    <row r="47" spans="1:25" ht="14.1" customHeight="1" x14ac:dyDescent="0.2">
      <c r="A47" s="367" t="s">
        <v>36</v>
      </c>
      <c r="B47" s="368"/>
      <c r="C47" s="194" t="s">
        <v>37</v>
      </c>
      <c r="D47" s="369" t="s">
        <v>57</v>
      </c>
      <c r="E47" s="368"/>
      <c r="F47" s="195" t="s">
        <v>147</v>
      </c>
      <c r="G47" s="12">
        <v>1</v>
      </c>
      <c r="H47" s="198" t="s">
        <v>148</v>
      </c>
      <c r="I47" s="13">
        <v>8700</v>
      </c>
      <c r="J47" s="227">
        <v>114</v>
      </c>
      <c r="K47" s="370">
        <f t="shared" si="3"/>
        <v>991800</v>
      </c>
      <c r="L47" s="371"/>
      <c r="M47" s="214">
        <v>43049</v>
      </c>
      <c r="N47" s="393"/>
      <c r="O47" s="394"/>
      <c r="P47" s="395"/>
      <c r="Q47" s="1" t="str">
        <f t="shared" si="2"/>
        <v>1:Injection Mold</v>
      </c>
      <c r="R47" s="76"/>
      <c r="S47" s="15"/>
      <c r="T47" s="15"/>
      <c r="U47" s="15"/>
      <c r="V47" s="15"/>
      <c r="W47" s="15"/>
      <c r="X47" s="15"/>
      <c r="Y47" s="15"/>
    </row>
    <row r="48" spans="1:25" ht="14.1" customHeight="1" x14ac:dyDescent="0.2">
      <c r="A48" s="367" t="s">
        <v>36</v>
      </c>
      <c r="B48" s="368"/>
      <c r="C48" s="194" t="s">
        <v>37</v>
      </c>
      <c r="D48" s="369"/>
      <c r="E48" s="368"/>
      <c r="F48" s="195"/>
      <c r="G48" s="12"/>
      <c r="H48" s="198"/>
      <c r="I48" s="13"/>
      <c r="J48" s="227"/>
      <c r="K48" s="370">
        <f t="shared" si="3"/>
        <v>0</v>
      </c>
      <c r="L48" s="371"/>
      <c r="M48" s="214"/>
      <c r="N48" s="393"/>
      <c r="O48" s="394"/>
      <c r="P48" s="395"/>
      <c r="Q48" s="1" t="str">
        <f t="shared" si="2"/>
        <v>1:Injection Mold</v>
      </c>
      <c r="R48" s="76"/>
      <c r="S48" s="15"/>
      <c r="T48" s="15"/>
      <c r="U48" s="15"/>
      <c r="V48" s="15"/>
      <c r="W48" s="15"/>
      <c r="X48" s="15"/>
      <c r="Y48" s="15"/>
    </row>
    <row r="49" spans="1:25" ht="14.1" customHeight="1" x14ac:dyDescent="0.2">
      <c r="A49" s="367" t="s">
        <v>36</v>
      </c>
      <c r="B49" s="368"/>
      <c r="C49" s="194" t="s">
        <v>38</v>
      </c>
      <c r="D49" s="369" t="s">
        <v>57</v>
      </c>
      <c r="E49" s="368"/>
      <c r="F49" s="195" t="s">
        <v>147</v>
      </c>
      <c r="G49" s="12">
        <v>1</v>
      </c>
      <c r="H49" s="198" t="s">
        <v>148</v>
      </c>
      <c r="I49" s="13">
        <v>350</v>
      </c>
      <c r="J49" s="227">
        <v>114</v>
      </c>
      <c r="K49" s="370">
        <f t="shared" si="3"/>
        <v>39900</v>
      </c>
      <c r="L49" s="371"/>
      <c r="M49" s="214">
        <v>43054</v>
      </c>
      <c r="N49" s="393"/>
      <c r="O49" s="394"/>
      <c r="P49" s="395"/>
      <c r="Q49" s="1" t="str">
        <f t="shared" si="2"/>
        <v>2:Spray Mask Mold</v>
      </c>
      <c r="R49" s="76"/>
      <c r="S49" s="15"/>
      <c r="T49" s="15"/>
      <c r="U49" s="15"/>
      <c r="V49" s="15"/>
      <c r="W49" s="15"/>
      <c r="X49" s="15"/>
      <c r="Y49" s="15"/>
    </row>
    <row r="50" spans="1:25" ht="14.1" customHeight="1" x14ac:dyDescent="0.2">
      <c r="A50" s="367" t="s">
        <v>36</v>
      </c>
      <c r="B50" s="368"/>
      <c r="C50" s="194" t="s">
        <v>38</v>
      </c>
      <c r="D50" s="369"/>
      <c r="E50" s="368"/>
      <c r="F50" s="195"/>
      <c r="G50" s="12"/>
      <c r="H50" s="198"/>
      <c r="I50" s="13"/>
      <c r="J50" s="227"/>
      <c r="K50" s="370">
        <f t="shared" si="3"/>
        <v>0</v>
      </c>
      <c r="L50" s="371"/>
      <c r="M50" s="214"/>
      <c r="N50" s="393"/>
      <c r="O50" s="394"/>
      <c r="P50" s="395"/>
      <c r="Q50" s="1" t="str">
        <f t="shared" si="2"/>
        <v>2:Spray Mask Mold</v>
      </c>
      <c r="R50" s="76"/>
      <c r="S50" s="15"/>
      <c r="T50" s="15"/>
      <c r="U50" s="15"/>
      <c r="V50" s="15"/>
      <c r="W50" s="15"/>
      <c r="X50" s="15"/>
      <c r="Y50" s="15"/>
    </row>
    <row r="51" spans="1:25" ht="14.1" customHeight="1" x14ac:dyDescent="0.2">
      <c r="A51" s="367" t="s">
        <v>36</v>
      </c>
      <c r="B51" s="368"/>
      <c r="C51" s="194" t="s">
        <v>39</v>
      </c>
      <c r="D51" s="369"/>
      <c r="E51" s="368"/>
      <c r="F51" s="195"/>
      <c r="G51" s="12"/>
      <c r="H51" s="198"/>
      <c r="I51" s="13"/>
      <c r="J51" s="227"/>
      <c r="K51" s="370">
        <f t="shared" si="3"/>
        <v>0</v>
      </c>
      <c r="L51" s="371"/>
      <c r="M51" s="214"/>
      <c r="N51" s="380"/>
      <c r="O51" s="380"/>
      <c r="P51" s="381"/>
      <c r="Q51" s="1" t="str">
        <f t="shared" si="2"/>
        <v>99:－</v>
      </c>
      <c r="R51" s="76"/>
      <c r="S51" s="15"/>
      <c r="T51" s="15"/>
      <c r="U51" s="15"/>
      <c r="V51" s="15"/>
      <c r="W51" s="15"/>
      <c r="X51" s="15"/>
      <c r="Y51" s="15"/>
    </row>
    <row r="52" spans="1:25" ht="14.1" customHeight="1" x14ac:dyDescent="0.2">
      <c r="A52" s="367" t="s">
        <v>36</v>
      </c>
      <c r="B52" s="368"/>
      <c r="C52" s="194" t="s">
        <v>39</v>
      </c>
      <c r="D52" s="369"/>
      <c r="E52" s="368"/>
      <c r="F52" s="195"/>
      <c r="G52" s="12"/>
      <c r="H52" s="198"/>
      <c r="I52" s="13"/>
      <c r="J52" s="227"/>
      <c r="K52" s="370">
        <f t="shared" si="3"/>
        <v>0</v>
      </c>
      <c r="L52" s="371"/>
      <c r="M52" s="214"/>
      <c r="N52" s="380"/>
      <c r="O52" s="380"/>
      <c r="P52" s="381"/>
      <c r="Q52" s="1" t="str">
        <f t="shared" si="2"/>
        <v>99:－</v>
      </c>
      <c r="R52" s="76"/>
      <c r="S52" s="15"/>
      <c r="T52" s="15"/>
      <c r="U52" s="15"/>
      <c r="V52" s="15"/>
      <c r="W52" s="15"/>
      <c r="X52" s="15"/>
      <c r="Y52" s="15"/>
    </row>
    <row r="53" spans="1:25" ht="14.1" customHeight="1" x14ac:dyDescent="0.2">
      <c r="A53" s="367" t="s">
        <v>36</v>
      </c>
      <c r="B53" s="368"/>
      <c r="C53" s="194" t="s">
        <v>39</v>
      </c>
      <c r="D53" s="369"/>
      <c r="E53" s="368"/>
      <c r="F53" s="195"/>
      <c r="G53" s="12"/>
      <c r="H53" s="198"/>
      <c r="I53" s="13"/>
      <c r="J53" s="227"/>
      <c r="K53" s="370">
        <f t="shared" si="3"/>
        <v>0</v>
      </c>
      <c r="L53" s="371"/>
      <c r="M53" s="214"/>
      <c r="N53" s="380"/>
      <c r="O53" s="380"/>
      <c r="P53" s="381"/>
      <c r="Q53" s="1" t="str">
        <f t="shared" si="2"/>
        <v>99:－</v>
      </c>
      <c r="R53" s="76"/>
      <c r="S53" s="15"/>
      <c r="T53" s="15"/>
      <c r="U53" s="15"/>
      <c r="V53" s="15"/>
      <c r="W53" s="15"/>
      <c r="X53" s="15"/>
      <c r="Y53" s="15"/>
    </row>
    <row r="54" spans="1:25" ht="14.1" customHeight="1" x14ac:dyDescent="0.2">
      <c r="A54" s="367"/>
      <c r="B54" s="368"/>
      <c r="C54" s="194"/>
      <c r="D54" s="369"/>
      <c r="E54" s="368"/>
      <c r="F54" s="195"/>
      <c r="G54" s="12"/>
      <c r="H54" s="198"/>
      <c r="I54" s="13"/>
      <c r="J54" s="227"/>
      <c r="K54" s="370">
        <f t="shared" si="3"/>
        <v>0</v>
      </c>
      <c r="L54" s="371"/>
      <c r="M54" s="214"/>
      <c r="N54" s="380"/>
      <c r="O54" s="380"/>
      <c r="P54" s="381"/>
      <c r="Q54" s="1">
        <f t="shared" si="2"/>
        <v>0</v>
      </c>
      <c r="R54" s="76"/>
      <c r="S54" s="15"/>
      <c r="T54" s="15"/>
      <c r="U54" s="15"/>
      <c r="V54" s="15"/>
      <c r="W54" s="15"/>
      <c r="X54" s="15"/>
      <c r="Y54" s="15"/>
    </row>
    <row r="55" spans="1:25" ht="14.1" customHeight="1" x14ac:dyDescent="0.2">
      <c r="A55" s="367"/>
      <c r="B55" s="368"/>
      <c r="C55" s="194"/>
      <c r="D55" s="369"/>
      <c r="E55" s="368"/>
      <c r="F55" s="195"/>
      <c r="G55" s="12"/>
      <c r="H55" s="198"/>
      <c r="I55" s="13"/>
      <c r="J55" s="227"/>
      <c r="K55" s="370">
        <f t="shared" si="3"/>
        <v>0</v>
      </c>
      <c r="L55" s="371"/>
      <c r="M55" s="214"/>
      <c r="N55" s="380"/>
      <c r="O55" s="380"/>
      <c r="P55" s="381"/>
      <c r="Q55" s="1">
        <f t="shared" si="2"/>
        <v>0</v>
      </c>
      <c r="R55" s="76"/>
      <c r="S55" s="15"/>
      <c r="T55" s="15"/>
      <c r="U55" s="15"/>
      <c r="V55" s="15"/>
      <c r="W55" s="15"/>
      <c r="X55" s="15"/>
      <c r="Y55" s="15"/>
    </row>
    <row r="56" spans="1:25" ht="14.1" customHeight="1" x14ac:dyDescent="0.2">
      <c r="A56" s="367"/>
      <c r="B56" s="368"/>
      <c r="C56" s="194"/>
      <c r="D56" s="369"/>
      <c r="E56" s="368"/>
      <c r="F56" s="195"/>
      <c r="G56" s="12"/>
      <c r="H56" s="198"/>
      <c r="I56" s="13"/>
      <c r="J56" s="227"/>
      <c r="K56" s="370">
        <f t="shared" si="3"/>
        <v>0</v>
      </c>
      <c r="L56" s="371"/>
      <c r="M56" s="214"/>
      <c r="N56" s="380"/>
      <c r="O56" s="380"/>
      <c r="P56" s="381"/>
      <c r="Q56" s="1">
        <f t="shared" si="2"/>
        <v>0</v>
      </c>
      <c r="R56" s="76"/>
      <c r="S56" s="14"/>
      <c r="T56" s="15"/>
      <c r="U56" s="15"/>
      <c r="V56" s="15"/>
      <c r="W56" s="15"/>
      <c r="X56" s="15"/>
      <c r="Y56" s="15"/>
    </row>
    <row r="57" spans="1:25" ht="15" customHeight="1" thickBot="1" x14ac:dyDescent="0.25">
      <c r="A57" s="367"/>
      <c r="B57" s="368"/>
      <c r="C57" s="196"/>
      <c r="D57" s="369"/>
      <c r="E57" s="368"/>
      <c r="F57" s="197"/>
      <c r="G57" s="20"/>
      <c r="H57" s="199"/>
      <c r="I57" s="97"/>
      <c r="J57" s="228"/>
      <c r="K57" s="370">
        <f t="shared" si="3"/>
        <v>0</v>
      </c>
      <c r="L57" s="371"/>
      <c r="M57" s="218"/>
      <c r="N57" s="382"/>
      <c r="O57" s="382"/>
      <c r="P57" s="383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5"/>
      <c r="V57" s="15"/>
      <c r="W57" s="15"/>
      <c r="X57" s="15"/>
      <c r="Y57" s="15"/>
    </row>
    <row r="58" spans="1:25" ht="15" customHeight="1" thickBot="1" x14ac:dyDescent="0.25">
      <c r="A58" s="384" t="s">
        <v>40</v>
      </c>
      <c r="B58" s="385"/>
      <c r="C58" s="385"/>
      <c r="D58" s="385"/>
      <c r="E58" s="385"/>
      <c r="F58" s="386"/>
      <c r="G58" s="22"/>
      <c r="H58" s="23"/>
      <c r="I58" s="387">
        <f>SUM(K34:K57)</f>
        <v>3443500</v>
      </c>
      <c r="J58" s="388"/>
      <c r="K58" s="388"/>
      <c r="L58" s="389"/>
      <c r="M58" s="219"/>
      <c r="N58" s="390">
        <f>SUMIF(F34:F57,"",K34:K57)</f>
        <v>80000</v>
      </c>
      <c r="O58" s="391"/>
      <c r="P58" s="392"/>
      <c r="R58" s="77"/>
      <c r="S58" s="21"/>
      <c r="T58" s="15"/>
      <c r="U58" s="15"/>
      <c r="V58" s="15"/>
      <c r="W58" s="15"/>
      <c r="X58" s="15"/>
      <c r="Y58" s="15"/>
    </row>
    <row r="59" spans="1:25" ht="8.25" customHeight="1" thickBot="1" x14ac:dyDescent="0.25">
      <c r="A59" s="372"/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3"/>
      <c r="P59" s="374"/>
      <c r="R59" s="77"/>
      <c r="S59" s="21"/>
      <c r="T59" s="15"/>
      <c r="U59" s="15"/>
      <c r="V59" s="15"/>
      <c r="W59" s="15"/>
      <c r="X59" s="15"/>
      <c r="Y59" s="15"/>
    </row>
    <row r="60" spans="1:25" ht="19.5" customHeight="1" x14ac:dyDescent="0.2">
      <c r="A60" s="375" t="s">
        <v>22</v>
      </c>
      <c r="B60" s="376"/>
      <c r="C60" s="201" t="s">
        <v>23</v>
      </c>
      <c r="D60" s="377" t="s">
        <v>24</v>
      </c>
      <c r="E60" s="376"/>
      <c r="F60" s="203" t="s">
        <v>25</v>
      </c>
      <c r="G60" s="203" t="s">
        <v>26</v>
      </c>
      <c r="H60" s="203" t="s">
        <v>9</v>
      </c>
      <c r="I60" s="203" t="s">
        <v>27</v>
      </c>
      <c r="J60" s="221" t="s">
        <v>259</v>
      </c>
      <c r="K60" s="377" t="s">
        <v>28</v>
      </c>
      <c r="L60" s="376"/>
      <c r="M60" s="202" t="s">
        <v>238</v>
      </c>
      <c r="N60" s="377" t="s">
        <v>258</v>
      </c>
      <c r="O60" s="378"/>
      <c r="P60" s="379"/>
      <c r="R60" s="79" t="s">
        <v>200</v>
      </c>
      <c r="S60" s="67">
        <f>SUMIF(A34:A57,E98,K34:K57)+SUMIF(A61:A83,H98,K61:K83)</f>
        <v>9898231</v>
      </c>
      <c r="T60" s="15" t="s">
        <v>163</v>
      </c>
      <c r="U60" s="15"/>
    </row>
    <row r="61" spans="1:25" ht="14.1" customHeight="1" x14ac:dyDescent="0.2">
      <c r="A61" s="367" t="s">
        <v>41</v>
      </c>
      <c r="B61" s="368"/>
      <c r="C61" s="194" t="s">
        <v>42</v>
      </c>
      <c r="D61" s="369"/>
      <c r="E61" s="368"/>
      <c r="F61" s="195"/>
      <c r="G61" s="200">
        <f>IF(A61&lt;&gt;0,$P$4,0)</f>
        <v>10000</v>
      </c>
      <c r="H61" s="198" t="s">
        <v>148</v>
      </c>
      <c r="I61" s="13">
        <v>5.8376999999999999</v>
      </c>
      <c r="J61" s="227">
        <v>114</v>
      </c>
      <c r="K61" s="370">
        <f>ROUNDDOWN(IF(H61="US",G61*I61*$J61,G61*I61),0)</f>
        <v>6654978</v>
      </c>
      <c r="L61" s="371"/>
      <c r="M61" s="214">
        <v>43077</v>
      </c>
      <c r="N61" s="362"/>
      <c r="O61" s="362"/>
      <c r="P61" s="363"/>
      <c r="Q61" s="1" t="str">
        <f t="shared" ref="Q61:Q80" si="4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6814731</v>
      </c>
      <c r="T61" s="15" t="s">
        <v>156</v>
      </c>
      <c r="U61" s="15"/>
    </row>
    <row r="62" spans="1:25" ht="14.1" customHeight="1" x14ac:dyDescent="0.15">
      <c r="A62" s="367" t="s">
        <v>41</v>
      </c>
      <c r="B62" s="368"/>
      <c r="C62" s="194" t="s">
        <v>243</v>
      </c>
      <c r="D62" s="369"/>
      <c r="E62" s="368"/>
      <c r="F62" s="195"/>
      <c r="G62" s="200">
        <v>24</v>
      </c>
      <c r="H62" s="198" t="s">
        <v>148</v>
      </c>
      <c r="I62" s="13">
        <v>5.83</v>
      </c>
      <c r="J62" s="227">
        <v>114</v>
      </c>
      <c r="K62" s="370">
        <f t="shared" ref="K62:K76" si="5">ROUNDDOWN(IF(H62="US",G62*I62*$J62,G62*I62),0)</f>
        <v>15950</v>
      </c>
      <c r="L62" s="371"/>
      <c r="M62" s="214">
        <v>43067</v>
      </c>
      <c r="N62" s="362"/>
      <c r="O62" s="362"/>
      <c r="P62" s="363"/>
      <c r="Q62" s="1" t="str">
        <f t="shared" si="4"/>
        <v>2:Set Sample</v>
      </c>
      <c r="R62" s="76"/>
      <c r="S62" s="61">
        <f>SUMIF(R34:R57,"",K34:K57)+SUMIF(R61:R76,"",K61:K76)+SUMIF(R83,"",K83)</f>
        <v>10178231</v>
      </c>
      <c r="T62" s="1" t="s">
        <v>199</v>
      </c>
    </row>
    <row r="63" spans="1:25" ht="14.1" customHeight="1" x14ac:dyDescent="0.15">
      <c r="A63" s="367" t="s">
        <v>41</v>
      </c>
      <c r="B63" s="368"/>
      <c r="C63" s="194" t="s">
        <v>155</v>
      </c>
      <c r="D63" s="369"/>
      <c r="E63" s="368"/>
      <c r="F63" s="195"/>
      <c r="G63" s="200">
        <v>96</v>
      </c>
      <c r="H63" s="198" t="s">
        <v>148</v>
      </c>
      <c r="I63" s="13">
        <v>5.83</v>
      </c>
      <c r="J63" s="227">
        <v>114</v>
      </c>
      <c r="K63" s="370">
        <f t="shared" si="5"/>
        <v>63803</v>
      </c>
      <c r="L63" s="371"/>
      <c r="M63" s="214">
        <v>43057</v>
      </c>
      <c r="N63" s="346"/>
      <c r="O63" s="347"/>
      <c r="P63" s="348"/>
      <c r="Q63" s="1" t="str">
        <f t="shared" si="4"/>
        <v>11:Sales Sample</v>
      </c>
      <c r="R63" s="76"/>
      <c r="S63" s="66">
        <f>SUMIF(C61:C83,H100,K61:K83)</f>
        <v>6654978</v>
      </c>
    </row>
    <row r="64" spans="1:25" ht="14.1" customHeight="1" x14ac:dyDescent="0.15">
      <c r="A64" s="367"/>
      <c r="B64" s="368"/>
      <c r="C64" s="194"/>
      <c r="D64" s="369"/>
      <c r="E64" s="368"/>
      <c r="F64" s="195"/>
      <c r="G64" s="200">
        <f t="shared" ref="G64:G76" si="6">IF(A64&lt;&gt;0,$P$4,0)</f>
        <v>0</v>
      </c>
      <c r="H64" s="198"/>
      <c r="I64" s="13"/>
      <c r="J64" s="227"/>
      <c r="K64" s="370">
        <f t="shared" si="5"/>
        <v>0</v>
      </c>
      <c r="L64" s="371"/>
      <c r="M64" s="214"/>
      <c r="N64" s="362"/>
      <c r="O64" s="362"/>
      <c r="P64" s="363"/>
      <c r="Q64" s="1">
        <f t="shared" si="4"/>
        <v>0</v>
      </c>
      <c r="R64" s="76"/>
    </row>
    <row r="65" spans="1:18" ht="14.1" customHeight="1" x14ac:dyDescent="0.15">
      <c r="A65" s="367"/>
      <c r="B65" s="368"/>
      <c r="C65" s="194"/>
      <c r="D65" s="369"/>
      <c r="E65" s="368"/>
      <c r="F65" s="195"/>
      <c r="G65" s="200">
        <f t="shared" si="6"/>
        <v>0</v>
      </c>
      <c r="H65" s="198"/>
      <c r="I65" s="13"/>
      <c r="J65" s="227"/>
      <c r="K65" s="370">
        <f t="shared" si="5"/>
        <v>0</v>
      </c>
      <c r="L65" s="371"/>
      <c r="M65" s="214"/>
      <c r="N65" s="362"/>
      <c r="O65" s="362"/>
      <c r="P65" s="363"/>
      <c r="Q65" s="1">
        <f t="shared" si="4"/>
        <v>0</v>
      </c>
      <c r="R65" s="76"/>
    </row>
    <row r="66" spans="1:18" ht="14.1" customHeight="1" x14ac:dyDescent="0.15">
      <c r="A66" s="367"/>
      <c r="B66" s="368"/>
      <c r="C66" s="194"/>
      <c r="D66" s="369"/>
      <c r="E66" s="368"/>
      <c r="F66" s="195"/>
      <c r="G66" s="200">
        <f t="shared" si="6"/>
        <v>0</v>
      </c>
      <c r="H66" s="198"/>
      <c r="I66" s="13"/>
      <c r="J66" s="227"/>
      <c r="K66" s="370">
        <f t="shared" si="5"/>
        <v>0</v>
      </c>
      <c r="L66" s="371"/>
      <c r="M66" s="214"/>
      <c r="N66" s="362"/>
      <c r="O66" s="362"/>
      <c r="P66" s="363"/>
      <c r="Q66" s="1">
        <f t="shared" si="4"/>
        <v>0</v>
      </c>
      <c r="R66" s="76"/>
    </row>
    <row r="67" spans="1:18" ht="14.1" customHeight="1" x14ac:dyDescent="0.15">
      <c r="A67" s="367"/>
      <c r="B67" s="368"/>
      <c r="C67" s="194"/>
      <c r="D67" s="369"/>
      <c r="E67" s="368"/>
      <c r="F67" s="195"/>
      <c r="G67" s="200">
        <f t="shared" si="6"/>
        <v>0</v>
      </c>
      <c r="H67" s="198"/>
      <c r="I67" s="13"/>
      <c r="J67" s="227"/>
      <c r="K67" s="370">
        <f t="shared" si="5"/>
        <v>0</v>
      </c>
      <c r="L67" s="371"/>
      <c r="M67" s="214"/>
      <c r="N67" s="362"/>
      <c r="O67" s="362"/>
      <c r="P67" s="363"/>
      <c r="Q67" s="1">
        <f t="shared" si="4"/>
        <v>0</v>
      </c>
      <c r="R67" s="76"/>
    </row>
    <row r="68" spans="1:18" ht="14.1" customHeight="1" x14ac:dyDescent="0.15">
      <c r="A68" s="367"/>
      <c r="B68" s="368"/>
      <c r="C68" s="194"/>
      <c r="D68" s="369"/>
      <c r="E68" s="368"/>
      <c r="F68" s="195"/>
      <c r="G68" s="200">
        <f t="shared" si="6"/>
        <v>0</v>
      </c>
      <c r="H68" s="198"/>
      <c r="I68" s="13"/>
      <c r="J68" s="227"/>
      <c r="K68" s="370">
        <f t="shared" si="5"/>
        <v>0</v>
      </c>
      <c r="L68" s="371"/>
      <c r="M68" s="214"/>
      <c r="N68" s="362"/>
      <c r="O68" s="362"/>
      <c r="P68" s="363"/>
      <c r="Q68" s="1">
        <f t="shared" si="4"/>
        <v>0</v>
      </c>
      <c r="R68" s="76"/>
    </row>
    <row r="69" spans="1:18" ht="14.1" customHeight="1" x14ac:dyDescent="0.15">
      <c r="A69" s="367"/>
      <c r="B69" s="368"/>
      <c r="C69" s="194"/>
      <c r="D69" s="369"/>
      <c r="E69" s="368"/>
      <c r="F69" s="195"/>
      <c r="G69" s="200">
        <f t="shared" si="6"/>
        <v>0</v>
      </c>
      <c r="H69" s="198"/>
      <c r="I69" s="13"/>
      <c r="J69" s="227"/>
      <c r="K69" s="370">
        <f t="shared" si="5"/>
        <v>0</v>
      </c>
      <c r="L69" s="371"/>
      <c r="M69" s="214"/>
      <c r="N69" s="362"/>
      <c r="O69" s="362"/>
      <c r="P69" s="363"/>
      <c r="Q69" s="1">
        <f t="shared" si="4"/>
        <v>0</v>
      </c>
      <c r="R69" s="76"/>
    </row>
    <row r="70" spans="1:18" ht="14.1" customHeight="1" x14ac:dyDescent="0.15">
      <c r="A70" s="367"/>
      <c r="B70" s="368"/>
      <c r="C70" s="194"/>
      <c r="D70" s="369"/>
      <c r="E70" s="368"/>
      <c r="F70" s="195"/>
      <c r="G70" s="200">
        <f t="shared" si="6"/>
        <v>0</v>
      </c>
      <c r="H70" s="198"/>
      <c r="I70" s="13"/>
      <c r="J70" s="227"/>
      <c r="K70" s="370">
        <f t="shared" si="5"/>
        <v>0</v>
      </c>
      <c r="L70" s="371"/>
      <c r="M70" s="214"/>
      <c r="N70" s="362"/>
      <c r="O70" s="362"/>
      <c r="P70" s="363"/>
      <c r="Q70" s="1">
        <f t="shared" si="4"/>
        <v>0</v>
      </c>
      <c r="R70" s="76"/>
    </row>
    <row r="71" spans="1:18" ht="14.1" customHeight="1" x14ac:dyDescent="0.15">
      <c r="A71" s="367"/>
      <c r="B71" s="368"/>
      <c r="C71" s="194"/>
      <c r="D71" s="369"/>
      <c r="E71" s="368"/>
      <c r="F71" s="195"/>
      <c r="G71" s="200">
        <f t="shared" si="6"/>
        <v>0</v>
      </c>
      <c r="H71" s="198"/>
      <c r="I71" s="13"/>
      <c r="J71" s="227"/>
      <c r="K71" s="370">
        <f t="shared" si="5"/>
        <v>0</v>
      </c>
      <c r="L71" s="371"/>
      <c r="M71" s="214"/>
      <c r="N71" s="362"/>
      <c r="O71" s="362"/>
      <c r="P71" s="363"/>
      <c r="Q71" s="1">
        <f t="shared" si="4"/>
        <v>0</v>
      </c>
      <c r="R71" s="76"/>
    </row>
    <row r="72" spans="1:18" ht="14.1" customHeight="1" x14ac:dyDescent="0.15">
      <c r="A72" s="367"/>
      <c r="B72" s="368"/>
      <c r="C72" s="194"/>
      <c r="D72" s="369"/>
      <c r="E72" s="368"/>
      <c r="F72" s="195"/>
      <c r="G72" s="200">
        <f t="shared" si="6"/>
        <v>0</v>
      </c>
      <c r="H72" s="198"/>
      <c r="I72" s="13"/>
      <c r="J72" s="227"/>
      <c r="K72" s="370">
        <f t="shared" si="5"/>
        <v>0</v>
      </c>
      <c r="L72" s="371"/>
      <c r="M72" s="214"/>
      <c r="N72" s="362"/>
      <c r="O72" s="362"/>
      <c r="P72" s="363"/>
      <c r="Q72" s="1">
        <f t="shared" si="4"/>
        <v>0</v>
      </c>
      <c r="R72" s="76"/>
    </row>
    <row r="73" spans="1:18" ht="14.1" customHeight="1" x14ac:dyDescent="0.15">
      <c r="A73" s="367"/>
      <c r="B73" s="368"/>
      <c r="C73" s="194"/>
      <c r="D73" s="369"/>
      <c r="E73" s="368"/>
      <c r="F73" s="195"/>
      <c r="G73" s="200">
        <f t="shared" si="6"/>
        <v>0</v>
      </c>
      <c r="H73" s="198"/>
      <c r="I73" s="13"/>
      <c r="J73" s="227"/>
      <c r="K73" s="370">
        <f t="shared" si="5"/>
        <v>0</v>
      </c>
      <c r="L73" s="371"/>
      <c r="M73" s="214"/>
      <c r="N73" s="362"/>
      <c r="O73" s="362"/>
      <c r="P73" s="363"/>
      <c r="Q73" s="1">
        <f t="shared" si="4"/>
        <v>0</v>
      </c>
      <c r="R73" s="76"/>
    </row>
    <row r="74" spans="1:18" ht="14.1" customHeight="1" x14ac:dyDescent="0.15">
      <c r="A74" s="367" t="s">
        <v>50</v>
      </c>
      <c r="B74" s="368"/>
      <c r="C74" s="194" t="s">
        <v>262</v>
      </c>
      <c r="D74" s="369"/>
      <c r="E74" s="368"/>
      <c r="F74" s="195"/>
      <c r="G74" s="200">
        <f t="shared" si="6"/>
        <v>10000</v>
      </c>
      <c r="H74" s="198"/>
      <c r="I74" s="13"/>
      <c r="J74" s="227"/>
      <c r="K74" s="370">
        <f t="shared" si="5"/>
        <v>0</v>
      </c>
      <c r="L74" s="371"/>
      <c r="M74" s="214"/>
      <c r="N74" s="362"/>
      <c r="O74" s="362"/>
      <c r="P74" s="363"/>
      <c r="Q74" s="1" t="str">
        <f t="shared" si="4"/>
        <v>1:製造経費</v>
      </c>
      <c r="R74" s="76"/>
    </row>
    <row r="75" spans="1:18" ht="14.1" customHeight="1" x14ac:dyDescent="0.15">
      <c r="A75" s="367"/>
      <c r="B75" s="368"/>
      <c r="C75" s="194"/>
      <c r="D75" s="369"/>
      <c r="E75" s="368"/>
      <c r="F75" s="195"/>
      <c r="G75" s="200">
        <f t="shared" si="6"/>
        <v>0</v>
      </c>
      <c r="H75" s="198"/>
      <c r="I75" s="13"/>
      <c r="J75" s="227"/>
      <c r="K75" s="370">
        <f t="shared" si="5"/>
        <v>0</v>
      </c>
      <c r="L75" s="371"/>
      <c r="M75" s="214"/>
      <c r="N75" s="346"/>
      <c r="O75" s="347"/>
      <c r="P75" s="348"/>
      <c r="Q75" s="1">
        <f t="shared" si="4"/>
        <v>0</v>
      </c>
      <c r="R75" s="76"/>
    </row>
    <row r="76" spans="1:18" ht="14.1" customHeight="1" x14ac:dyDescent="0.15">
      <c r="A76" s="367"/>
      <c r="B76" s="368"/>
      <c r="C76" s="194"/>
      <c r="D76" s="369"/>
      <c r="E76" s="368"/>
      <c r="F76" s="195"/>
      <c r="G76" s="200">
        <f t="shared" si="6"/>
        <v>0</v>
      </c>
      <c r="H76" s="198"/>
      <c r="I76" s="13"/>
      <c r="J76" s="227"/>
      <c r="K76" s="370">
        <f t="shared" si="5"/>
        <v>0</v>
      </c>
      <c r="L76" s="371"/>
      <c r="M76" s="214"/>
      <c r="N76" s="362"/>
      <c r="O76" s="362"/>
      <c r="P76" s="363"/>
      <c r="Q76" s="1">
        <f t="shared" si="4"/>
        <v>0</v>
      </c>
      <c r="R76" s="76"/>
    </row>
    <row r="77" spans="1:18" ht="14.1" customHeight="1" x14ac:dyDescent="0.15">
      <c r="A77" s="358" t="s">
        <v>50</v>
      </c>
      <c r="B77" s="359"/>
      <c r="C77" s="248" t="s">
        <v>158</v>
      </c>
      <c r="D77" s="360"/>
      <c r="E77" s="361"/>
      <c r="F77" s="256"/>
      <c r="G77" s="257">
        <v>1</v>
      </c>
      <c r="H77" s="258" t="s">
        <v>14</v>
      </c>
      <c r="I77" s="269">
        <v>150000</v>
      </c>
      <c r="J77" s="270"/>
      <c r="K77" s="344">
        <f>ROUNDDOWN(IF(H77="US",G77*I77*$P$18,G77*I77),0)</f>
        <v>150000</v>
      </c>
      <c r="L77" s="345"/>
      <c r="M77" s="275"/>
      <c r="N77" s="362" t="s">
        <v>210</v>
      </c>
      <c r="O77" s="362"/>
      <c r="P77" s="363"/>
      <c r="Q77" s="1" t="str">
        <f t="shared" si="4"/>
        <v>3:運賃(FEDEX、BLPなど)</v>
      </c>
      <c r="R77" s="76"/>
    </row>
    <row r="78" spans="1:18" ht="14.1" customHeight="1" x14ac:dyDescent="0.15">
      <c r="A78" s="358" t="s">
        <v>50</v>
      </c>
      <c r="B78" s="359"/>
      <c r="C78" s="248" t="s">
        <v>159</v>
      </c>
      <c r="D78" s="364"/>
      <c r="E78" s="359"/>
      <c r="F78" s="256"/>
      <c r="G78" s="257">
        <f>IF(A78&lt;&gt;0,$P$4)</f>
        <v>10000</v>
      </c>
      <c r="H78" s="258" t="s">
        <v>14</v>
      </c>
      <c r="I78" s="269">
        <v>20</v>
      </c>
      <c r="J78" s="270"/>
      <c r="K78" s="344">
        <f>ROUNDDOWN(IF(H78="US",G78*I78*$P$18,G78*I78),0)</f>
        <v>200000</v>
      </c>
      <c r="L78" s="345"/>
      <c r="M78" s="275"/>
      <c r="N78" s="362" t="s">
        <v>211</v>
      </c>
      <c r="O78" s="362"/>
      <c r="P78" s="363"/>
      <c r="Q78" s="1" t="str">
        <f t="shared" si="4"/>
        <v>4:検査費</v>
      </c>
      <c r="R78" s="76"/>
    </row>
    <row r="79" spans="1:18" ht="14.1" customHeight="1" x14ac:dyDescent="0.15">
      <c r="A79" s="358" t="s">
        <v>43</v>
      </c>
      <c r="B79" s="359"/>
      <c r="C79" s="248" t="s">
        <v>44</v>
      </c>
      <c r="D79" s="365"/>
      <c r="E79" s="366"/>
      <c r="F79" s="256"/>
      <c r="G79" s="257">
        <f>IF(A79&lt;&gt;0,$P$4)</f>
        <v>10000</v>
      </c>
      <c r="H79" s="258" t="s">
        <v>14</v>
      </c>
      <c r="I79" s="269"/>
      <c r="J79" s="270"/>
      <c r="K79" s="344">
        <f>ROUNDDOWN(IF(I79&lt;&gt;0,IF(G79&lt;&gt;0,IF(H79="US",G79*I79*$P$18,G79*I79),E79*$P$4*$P$3),E79*$P$4*$P$3),0)</f>
        <v>0</v>
      </c>
      <c r="L79" s="345"/>
      <c r="M79" s="275"/>
      <c r="N79" s="362" t="s">
        <v>212</v>
      </c>
      <c r="O79" s="362"/>
      <c r="P79" s="363"/>
      <c r="Q79" s="1" t="str">
        <f t="shared" si="4"/>
        <v>1:証紙</v>
      </c>
      <c r="R79" s="76"/>
    </row>
    <row r="80" spans="1:18" ht="14.1" customHeight="1" x14ac:dyDescent="0.15">
      <c r="A80" s="340" t="s">
        <v>45</v>
      </c>
      <c r="B80" s="341"/>
      <c r="C80" s="249" t="s">
        <v>204</v>
      </c>
      <c r="D80" s="342">
        <v>0.03</v>
      </c>
      <c r="E80" s="343"/>
      <c r="F80" s="256"/>
      <c r="G80" s="257">
        <f>IF(A80&lt;&gt;0,$P$4)</f>
        <v>10000</v>
      </c>
      <c r="H80" s="258" t="s">
        <v>14</v>
      </c>
      <c r="I80" s="269">
        <f>IF(D80&lt;&gt;0,IF(G80&lt;&gt;0,ROUNDDOWN($S$62*D80/G80,4),),)</f>
        <v>30.534600000000001</v>
      </c>
      <c r="J80" s="270"/>
      <c r="K80" s="344">
        <f>ROUNDDOWN(IF(D80&lt;&gt;0,IF(H80="US","エラー",I80*G80),),0)</f>
        <v>305346</v>
      </c>
      <c r="L80" s="345"/>
      <c r="M80" s="276"/>
      <c r="N80" s="346" t="s">
        <v>207</v>
      </c>
      <c r="O80" s="347"/>
      <c r="P80" s="348"/>
      <c r="Q80" s="1" t="str">
        <f t="shared" si="4"/>
        <v>2:輸入費用</v>
      </c>
      <c r="R80" s="76"/>
    </row>
    <row r="81" spans="1:18" ht="14.1" customHeight="1" x14ac:dyDescent="0.15">
      <c r="A81" s="340"/>
      <c r="B81" s="341"/>
      <c r="C81" s="249"/>
      <c r="D81" s="284"/>
      <c r="E81" s="285"/>
      <c r="F81" s="256"/>
      <c r="G81" s="257">
        <f t="shared" ref="G81:G85" si="7">IF(A81&lt;&gt;0,$P$4,0)</f>
        <v>0</v>
      </c>
      <c r="H81" s="258"/>
      <c r="I81" s="269"/>
      <c r="J81" s="270"/>
      <c r="K81" s="282"/>
      <c r="L81" s="283"/>
      <c r="M81" s="276"/>
      <c r="N81" s="279"/>
      <c r="O81" s="280"/>
      <c r="P81" s="281"/>
      <c r="R81" s="235"/>
    </row>
    <row r="82" spans="1:18" ht="14.1" customHeight="1" x14ac:dyDescent="0.15">
      <c r="A82" s="340"/>
      <c r="B82" s="341"/>
      <c r="C82" s="249"/>
      <c r="D82" s="284"/>
      <c r="E82" s="285"/>
      <c r="F82" s="256"/>
      <c r="G82" s="257">
        <f t="shared" si="7"/>
        <v>0</v>
      </c>
      <c r="H82" s="258"/>
      <c r="I82" s="269"/>
      <c r="J82" s="270"/>
      <c r="K82" s="282"/>
      <c r="L82" s="283"/>
      <c r="M82" s="276"/>
      <c r="N82" s="279"/>
      <c r="O82" s="280"/>
      <c r="P82" s="281"/>
      <c r="R82" s="235"/>
    </row>
    <row r="83" spans="1:18" ht="14.1" customHeight="1" thickBot="1" x14ac:dyDescent="0.2">
      <c r="A83" s="340" t="s">
        <v>45</v>
      </c>
      <c r="B83" s="341"/>
      <c r="C83" s="249" t="s">
        <v>152</v>
      </c>
      <c r="D83" s="342"/>
      <c r="E83" s="343"/>
      <c r="F83" s="256"/>
      <c r="G83" s="257">
        <f t="shared" si="7"/>
        <v>10000</v>
      </c>
      <c r="H83" s="258" t="s">
        <v>14</v>
      </c>
      <c r="I83" s="269">
        <f t="shared" ref="I83" si="8">IF(D83&lt;&gt;0,IF(G83&lt;&gt;0,ROUNDDOWN($S$62*D83/G83,4),),)</f>
        <v>0</v>
      </c>
      <c r="J83" s="270"/>
      <c r="K83" s="344">
        <f>ROUNDDOWN(IF(E83&lt;&gt;0,IF(H83="US","エラー",I83*G83),),0)</f>
        <v>0</v>
      </c>
      <c r="L83" s="345"/>
      <c r="M83" s="276"/>
      <c r="N83" s="346" t="s">
        <v>208</v>
      </c>
      <c r="O83" s="347"/>
      <c r="P83" s="348"/>
      <c r="Q83" s="1" t="str">
        <f>IF(C83&lt;&gt;0,IF(A83=$G$98,VLOOKUP(C83,$G$100:$G$115,1,TRUE),IF(A83=$H$98,VLOOKUP(C83,$H$100:$H$115,1,TRUE),IF(A83=$I$98,VLOOKUP(C83,$I$100:$I$108,1,TRUE),IF(A83=$K$98,VLOOKUP(C83,$K$100:$K$108,1,TRUE),VLOOKUP(C83,$N$100:$N$108,1,TRUE))))),)</f>
        <v>3:関税</v>
      </c>
      <c r="R83" s="78"/>
    </row>
    <row r="84" spans="1:18" ht="14.1" customHeight="1" x14ac:dyDescent="0.15">
      <c r="A84" s="340"/>
      <c r="B84" s="341"/>
      <c r="C84" s="250"/>
      <c r="D84" s="259"/>
      <c r="E84" s="260"/>
      <c r="F84" s="261"/>
      <c r="G84" s="262">
        <f t="shared" si="7"/>
        <v>0</v>
      </c>
      <c r="H84" s="263"/>
      <c r="I84" s="271"/>
      <c r="J84" s="272"/>
      <c r="K84" s="264"/>
      <c r="L84" s="265"/>
      <c r="M84" s="277"/>
      <c r="N84" s="236"/>
      <c r="O84" s="237"/>
      <c r="P84" s="238"/>
      <c r="R84" s="239"/>
    </row>
    <row r="85" spans="1:18" ht="14.1" customHeight="1" x14ac:dyDescent="0.15">
      <c r="A85" s="340"/>
      <c r="B85" s="341"/>
      <c r="C85" s="250"/>
      <c r="D85" s="259"/>
      <c r="E85" s="260"/>
      <c r="F85" s="261"/>
      <c r="G85" s="262">
        <f t="shared" si="7"/>
        <v>0</v>
      </c>
      <c r="H85" s="263"/>
      <c r="I85" s="271"/>
      <c r="J85" s="272"/>
      <c r="K85" s="264"/>
      <c r="L85" s="265"/>
      <c r="M85" s="277"/>
      <c r="N85" s="236"/>
      <c r="O85" s="237"/>
      <c r="P85" s="238"/>
      <c r="R85" s="239"/>
    </row>
    <row r="86" spans="1:18" ht="14.1" customHeight="1" thickBot="1" x14ac:dyDescent="0.2">
      <c r="A86" s="349"/>
      <c r="B86" s="350"/>
      <c r="C86" s="251"/>
      <c r="D86" s="351"/>
      <c r="E86" s="352"/>
      <c r="F86" s="266"/>
      <c r="G86" s="267">
        <f>IF(A86&lt;&gt;0,($N$4*#REF!),)</f>
        <v>0</v>
      </c>
      <c r="H86" s="268"/>
      <c r="I86" s="273">
        <f>IF(E86&lt;&gt;0,IF(G86&lt;&gt;0,ROUNDDOWN($S$61*E86/G86,4),),)</f>
        <v>0</v>
      </c>
      <c r="J86" s="274"/>
      <c r="K86" s="353">
        <f>ROUNDDOWN(IF(E86&lt;&gt;0,IF(H86="US","エラー",I86*G86),),0)</f>
        <v>0</v>
      </c>
      <c r="L86" s="354"/>
      <c r="M86" s="278"/>
      <c r="N86" s="355"/>
      <c r="O86" s="356"/>
      <c r="P86" s="357"/>
      <c r="Q86" s="1">
        <f>IF(C86&lt;&gt;0,IF(A86=$G$98,VLOOKUP(C86,$G$100:$G$115,1,TRUE),IF(A86=$H$98,VLOOKUP(C86,$H$100:$H$115,1,TRUE),IF(A86=$I$98,VLOOKUP(C86,$I$100:$I$108,1,TRUE),IF(A86=$K$98,VLOOKUP(C86,$K$100:$K$108,1,TRUE),VLOOKUP(C86,$N$100:$N$108,1,TRUE))))),)</f>
        <v>0</v>
      </c>
    </row>
    <row r="87" spans="1:18" ht="6" customHeight="1" thickBot="1" x14ac:dyDescent="0.2">
      <c r="A87" s="252"/>
      <c r="B87" s="253"/>
      <c r="C87" s="253"/>
      <c r="D87" s="253"/>
      <c r="E87" s="253"/>
      <c r="F87" s="253"/>
      <c r="G87" s="254"/>
      <c r="H87" s="254"/>
      <c r="I87" s="255"/>
      <c r="J87" s="255"/>
      <c r="K87" s="255"/>
      <c r="L87" s="255"/>
      <c r="M87" s="29"/>
      <c r="N87" s="289"/>
      <c r="O87" s="289"/>
      <c r="P87" s="307"/>
    </row>
    <row r="88" spans="1:18" ht="16.5" customHeight="1" x14ac:dyDescent="0.2">
      <c r="A88" s="308" t="s">
        <v>240</v>
      </c>
      <c r="B88" s="309"/>
      <c r="C88" s="128">
        <f>I16</f>
        <v>12644000</v>
      </c>
      <c r="D88" s="129"/>
      <c r="E88" s="310" t="s">
        <v>239</v>
      </c>
      <c r="F88" s="311"/>
      <c r="G88" s="309"/>
      <c r="H88" s="312">
        <f>I31</f>
        <v>85000</v>
      </c>
      <c r="I88" s="313"/>
      <c r="J88" s="286"/>
      <c r="K88" s="130"/>
      <c r="L88" s="314" t="s">
        <v>241</v>
      </c>
      <c r="M88" s="315"/>
      <c r="N88" s="316">
        <f>C88+H88</f>
        <v>12729000</v>
      </c>
      <c r="O88" s="317"/>
      <c r="P88" s="131"/>
    </row>
    <row r="89" spans="1:18" ht="16.5" customHeight="1" x14ac:dyDescent="0.2">
      <c r="A89" s="320" t="s">
        <v>264</v>
      </c>
      <c r="B89" s="321"/>
      <c r="C89" s="125">
        <f>C88-K94</f>
        <v>1890423</v>
      </c>
      <c r="D89" s="158">
        <f>C89/C88</f>
        <v>0.14951146788990827</v>
      </c>
      <c r="E89" s="322" t="s">
        <v>265</v>
      </c>
      <c r="F89" s="323"/>
      <c r="G89" s="324"/>
      <c r="H89" s="325">
        <f>H88-N58</f>
        <v>5000</v>
      </c>
      <c r="I89" s="326"/>
      <c r="J89" s="287"/>
      <c r="K89" s="158">
        <f>H89/H88</f>
        <v>5.8823529411764705E-2</v>
      </c>
      <c r="L89" s="322" t="s">
        <v>250</v>
      </c>
      <c r="M89" s="324"/>
      <c r="N89" s="327">
        <f>C89+H89</f>
        <v>1895423</v>
      </c>
      <c r="O89" s="328"/>
      <c r="P89" s="126">
        <f>N89/N88</f>
        <v>0.14890588420142981</v>
      </c>
    </row>
    <row r="90" spans="1:18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229"/>
      <c r="K90" s="329" t="s">
        <v>242</v>
      </c>
      <c r="L90" s="330"/>
      <c r="M90" s="331"/>
      <c r="N90" s="332">
        <f>ROUNDDOWN((N88*P90),0)</f>
        <v>773923</v>
      </c>
      <c r="O90" s="333"/>
      <c r="P90" s="183">
        <v>6.08E-2</v>
      </c>
    </row>
    <row r="91" spans="1:18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230"/>
      <c r="K91" s="302" t="s">
        <v>248</v>
      </c>
      <c r="L91" s="334"/>
      <c r="M91" s="303"/>
      <c r="N91" s="335">
        <f>N89-N90</f>
        <v>1121500</v>
      </c>
      <c r="O91" s="336"/>
      <c r="P91" s="127">
        <f>N91/N88</f>
        <v>8.8105899913583155E-2</v>
      </c>
    </row>
    <row r="92" spans="1:18" ht="16.5" customHeight="1" x14ac:dyDescent="0.15">
      <c r="A92" s="337" t="s">
        <v>46</v>
      </c>
      <c r="B92" s="338"/>
      <c r="C92" s="339" t="s">
        <v>253</v>
      </c>
      <c r="D92" s="339"/>
      <c r="E92" s="339"/>
      <c r="F92" s="339"/>
      <c r="G92" s="30">
        <f>$P$4</f>
        <v>10000</v>
      </c>
      <c r="H92" s="31"/>
      <c r="I92" s="32">
        <f>IF(G92&gt;0,K92/G92,)</f>
        <v>739.0077</v>
      </c>
      <c r="J92" s="32"/>
      <c r="K92" s="318">
        <f>SUMIF(F61:F86,"",K61:K86)</f>
        <v>7390077</v>
      </c>
      <c r="L92" s="318"/>
      <c r="M92" s="32"/>
      <c r="N92" s="319"/>
      <c r="O92" s="319"/>
      <c r="P92" s="118"/>
    </row>
    <row r="93" spans="1:18" ht="16.5" customHeight="1" x14ac:dyDescent="0.15">
      <c r="A93" s="290" t="s">
        <v>47</v>
      </c>
      <c r="B93" s="291"/>
      <c r="C93" s="292" t="s">
        <v>254</v>
      </c>
      <c r="D93" s="292"/>
      <c r="E93" s="292"/>
      <c r="F93" s="292"/>
      <c r="G93" s="33">
        <f>$P$4</f>
        <v>10000</v>
      </c>
      <c r="H93" s="34"/>
      <c r="I93" s="117">
        <f>IF(G93&gt;0,K93/G93,)</f>
        <v>336.35</v>
      </c>
      <c r="J93" s="92"/>
      <c r="K93" s="293">
        <f>SUMIF(F34:F86,"○",K34:K86)</f>
        <v>3363500</v>
      </c>
      <c r="L93" s="294"/>
      <c r="M93" s="92"/>
      <c r="N93" s="295"/>
      <c r="O93" s="296"/>
      <c r="P93" s="35"/>
    </row>
    <row r="94" spans="1:18" ht="16.5" customHeight="1" thickBot="1" x14ac:dyDescent="0.2">
      <c r="A94" s="297" t="s">
        <v>251</v>
      </c>
      <c r="B94" s="298"/>
      <c r="C94" s="299" t="s">
        <v>252</v>
      </c>
      <c r="D94" s="299"/>
      <c r="E94" s="299"/>
      <c r="F94" s="299"/>
      <c r="G94" s="241">
        <f>$P$4</f>
        <v>10000</v>
      </c>
      <c r="H94" s="242"/>
      <c r="I94" s="115">
        <f>IF(G94&gt;0,K94/G94,)</f>
        <v>1075.3577</v>
      </c>
      <c r="J94" s="230"/>
      <c r="K94" s="300">
        <f>SUM(K92:K93)</f>
        <v>10753577</v>
      </c>
      <c r="L94" s="301"/>
      <c r="M94" s="302" t="s">
        <v>245</v>
      </c>
      <c r="N94" s="303"/>
      <c r="O94" s="300">
        <f>N58</f>
        <v>80000</v>
      </c>
      <c r="P94" s="304"/>
    </row>
    <row r="95" spans="1:18" ht="16.5" customHeight="1" x14ac:dyDescent="0.15">
      <c r="A95" s="305" t="s">
        <v>48</v>
      </c>
      <c r="B95" s="305"/>
      <c r="C95" s="305"/>
      <c r="D95" s="305"/>
      <c r="E95" s="305"/>
      <c r="F95" s="305"/>
      <c r="G95" s="305"/>
      <c r="H95" s="288"/>
      <c r="I95" s="306" t="s">
        <v>66</v>
      </c>
      <c r="J95" s="306"/>
      <c r="K95" s="306"/>
      <c r="L95" s="306"/>
      <c r="M95" s="306"/>
      <c r="N95" s="306"/>
      <c r="O95" s="306"/>
      <c r="P95" s="306"/>
    </row>
    <row r="96" spans="1:18" ht="9" customHeight="1" x14ac:dyDescent="0.15">
      <c r="A96" s="289" t="s">
        <v>67</v>
      </c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</row>
    <row r="98" spans="1:17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</row>
    <row r="99" spans="1:17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</row>
    <row r="100" spans="1:17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</row>
    <row r="101" spans="1:17" s="42" customFormat="1" ht="54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1"/>
      <c r="K101" s="42" t="s">
        <v>204</v>
      </c>
      <c r="N101" s="41" t="s">
        <v>158</v>
      </c>
      <c r="O101" s="41" t="s">
        <v>87</v>
      </c>
      <c r="P101" s="45"/>
      <c r="Q101" s="42" t="s">
        <v>263</v>
      </c>
    </row>
    <row r="102" spans="1:17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</row>
    <row r="103" spans="1:17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</row>
    <row r="104" spans="1:17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2"/>
      <c r="K104" s="47"/>
      <c r="L104" s="47"/>
      <c r="M104" s="47"/>
      <c r="N104" s="41"/>
      <c r="O104" s="41" t="s">
        <v>105</v>
      </c>
    </row>
    <row r="105" spans="1:17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</row>
    <row r="106" spans="1:17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</row>
    <row r="107" spans="1:17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</row>
    <row r="108" spans="1:17" s="42" customFormat="1" ht="43.2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</row>
    <row r="109" spans="1:17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</row>
    <row r="110" spans="1:17" s="42" customFormat="1" ht="32.4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</row>
    <row r="111" spans="1:17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17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 x14ac:dyDescent="0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 x14ac:dyDescent="0.15">
      <c r="A138" s="42" t="s">
        <v>60</v>
      </c>
    </row>
    <row r="139" spans="1:15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63"/>
      <c r="K139" s="55"/>
      <c r="L139" s="94"/>
      <c r="M139" s="94"/>
    </row>
    <row r="140" spans="1:15" s="42" customFormat="1" ht="12" x14ac:dyDescent="0.15">
      <c r="C140" s="85"/>
      <c r="D140" s="85"/>
      <c r="E140" s="85"/>
      <c r="F140" s="85"/>
      <c r="G140" s="63"/>
      <c r="H140" s="63"/>
      <c r="I140" s="63"/>
      <c r="J140" s="63"/>
      <c r="K140" s="41"/>
    </row>
    <row r="141" spans="1:15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63"/>
      <c r="K141" s="41"/>
    </row>
    <row r="142" spans="1:15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63"/>
      <c r="K142" s="41"/>
    </row>
    <row r="143" spans="1:15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63"/>
      <c r="K143" s="41"/>
    </row>
    <row r="144" spans="1:15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63"/>
      <c r="K144" s="41"/>
    </row>
    <row r="145" spans="1:11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63"/>
      <c r="K145" s="41"/>
    </row>
    <row r="146" spans="1:11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63"/>
      <c r="K146" s="41"/>
    </row>
    <row r="147" spans="1:11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63"/>
      <c r="K147" s="41"/>
    </row>
    <row r="148" spans="1:11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63"/>
      <c r="K148" s="41"/>
    </row>
    <row r="149" spans="1:11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63"/>
      <c r="K149" s="41"/>
    </row>
    <row r="150" spans="1:11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63"/>
      <c r="K150" s="41"/>
    </row>
    <row r="151" spans="1:11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63"/>
      <c r="K151" s="41"/>
    </row>
    <row r="152" spans="1:11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63"/>
      <c r="K152" s="41"/>
    </row>
    <row r="153" spans="1:11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63"/>
      <c r="K153" s="41"/>
    </row>
    <row r="154" spans="1:11" s="42" customFormat="1" x14ac:dyDescent="0.15"/>
    <row r="155" spans="1:11" s="42" customFormat="1" x14ac:dyDescent="0.15"/>
    <row r="160" spans="1:11" ht="12" x14ac:dyDescent="0.15">
      <c r="A160" s="56">
        <f ca="1">TODAY()</f>
        <v>43612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9">CONCATENATE(C160,"/",E160)</f>
        <v>2019/5</v>
      </c>
    </row>
    <row r="161" spans="1:6" ht="12" x14ac:dyDescent="0.15">
      <c r="A161" s="57"/>
      <c r="B161" s="57"/>
      <c r="C161" s="57">
        <f t="shared" ref="C161:C185" ca="1" si="10">IF(E160=12,C160+1,C160)</f>
        <v>2019</v>
      </c>
      <c r="D161" s="57"/>
      <c r="E161" s="58">
        <f t="shared" ref="E161:E185" ca="1" si="11">IF(E160=12,1,E160+1)</f>
        <v>6</v>
      </c>
      <c r="F161" s="59" t="str">
        <f t="shared" ca="1" si="9"/>
        <v>2019/6</v>
      </c>
    </row>
    <row r="162" spans="1:6" ht="12" x14ac:dyDescent="0.15">
      <c r="A162" s="57"/>
      <c r="B162" s="57"/>
      <c r="C162" s="57">
        <f t="shared" ca="1" si="10"/>
        <v>2019</v>
      </c>
      <c r="D162" s="57"/>
      <c r="E162" s="58">
        <f t="shared" ca="1" si="11"/>
        <v>7</v>
      </c>
      <c r="F162" s="59" t="str">
        <f t="shared" ca="1" si="9"/>
        <v>2019/7</v>
      </c>
    </row>
    <row r="163" spans="1:6" ht="12" x14ac:dyDescent="0.15">
      <c r="C163" s="57">
        <f t="shared" ca="1" si="10"/>
        <v>2019</v>
      </c>
      <c r="D163" s="57"/>
      <c r="E163" s="58">
        <f t="shared" ca="1" si="11"/>
        <v>8</v>
      </c>
      <c r="F163" s="59" t="str">
        <f t="shared" ca="1" si="9"/>
        <v>2019/8</v>
      </c>
    </row>
    <row r="164" spans="1:6" ht="12" x14ac:dyDescent="0.15">
      <c r="C164" s="57">
        <f t="shared" ca="1" si="10"/>
        <v>2019</v>
      </c>
      <c r="D164" s="57"/>
      <c r="E164" s="58">
        <f t="shared" ca="1" si="11"/>
        <v>9</v>
      </c>
      <c r="F164" s="59" t="str">
        <f t="shared" ca="1" si="9"/>
        <v>2019/9</v>
      </c>
    </row>
    <row r="165" spans="1:6" ht="12" x14ac:dyDescent="0.15">
      <c r="C165" s="57">
        <f t="shared" ca="1" si="10"/>
        <v>2019</v>
      </c>
      <c r="D165" s="57"/>
      <c r="E165" s="58">
        <f t="shared" ca="1" si="11"/>
        <v>10</v>
      </c>
      <c r="F165" s="59" t="str">
        <f t="shared" ca="1" si="9"/>
        <v>2019/10</v>
      </c>
    </row>
    <row r="166" spans="1:6" ht="12" x14ac:dyDescent="0.15">
      <c r="C166" s="57">
        <f t="shared" ca="1" si="10"/>
        <v>2019</v>
      </c>
      <c r="D166" s="57"/>
      <c r="E166" s="58">
        <f t="shared" ca="1" si="11"/>
        <v>11</v>
      </c>
      <c r="F166" s="59" t="str">
        <f t="shared" ca="1" si="9"/>
        <v>2019/11</v>
      </c>
    </row>
    <row r="167" spans="1:6" ht="12" x14ac:dyDescent="0.15">
      <c r="C167" s="57">
        <f t="shared" ca="1" si="10"/>
        <v>2019</v>
      </c>
      <c r="D167" s="57"/>
      <c r="E167" s="58">
        <f t="shared" ca="1" si="11"/>
        <v>12</v>
      </c>
      <c r="F167" s="59" t="str">
        <f t="shared" ca="1" si="9"/>
        <v>2019/12</v>
      </c>
    </row>
    <row r="168" spans="1:6" ht="12" x14ac:dyDescent="0.15">
      <c r="C168" s="57">
        <f t="shared" ca="1" si="10"/>
        <v>2020</v>
      </c>
      <c r="D168" s="57"/>
      <c r="E168" s="58">
        <f t="shared" ca="1" si="11"/>
        <v>1</v>
      </c>
      <c r="F168" s="59" t="str">
        <f t="shared" ca="1" si="9"/>
        <v>2020/1</v>
      </c>
    </row>
    <row r="169" spans="1:6" ht="12" x14ac:dyDescent="0.15">
      <c r="C169" s="57">
        <f t="shared" ca="1" si="10"/>
        <v>2020</v>
      </c>
      <c r="D169" s="57"/>
      <c r="E169" s="58">
        <f t="shared" ca="1" si="11"/>
        <v>2</v>
      </c>
      <c r="F169" s="59" t="str">
        <f t="shared" ca="1" si="9"/>
        <v>2020/2</v>
      </c>
    </row>
    <row r="170" spans="1:6" ht="12" x14ac:dyDescent="0.15">
      <c r="C170" s="57">
        <f t="shared" ca="1" si="10"/>
        <v>2020</v>
      </c>
      <c r="D170" s="57"/>
      <c r="E170" s="58">
        <f t="shared" ca="1" si="11"/>
        <v>3</v>
      </c>
      <c r="F170" s="59" t="str">
        <f t="shared" ca="1" si="9"/>
        <v>2020/3</v>
      </c>
    </row>
    <row r="171" spans="1:6" ht="12" x14ac:dyDescent="0.15">
      <c r="C171" s="57">
        <f t="shared" ca="1" si="10"/>
        <v>2020</v>
      </c>
      <c r="D171" s="57"/>
      <c r="E171" s="58">
        <f t="shared" ca="1" si="11"/>
        <v>4</v>
      </c>
      <c r="F171" s="59" t="str">
        <f t="shared" ca="1" si="9"/>
        <v>2020/4</v>
      </c>
    </row>
    <row r="172" spans="1:6" ht="12" x14ac:dyDescent="0.15">
      <c r="C172" s="57">
        <f t="shared" ca="1" si="10"/>
        <v>2020</v>
      </c>
      <c r="D172" s="57"/>
      <c r="E172" s="58">
        <f t="shared" ca="1" si="11"/>
        <v>5</v>
      </c>
      <c r="F172" s="59" t="str">
        <f t="shared" ca="1" si="9"/>
        <v>2020/5</v>
      </c>
    </row>
    <row r="173" spans="1:6" ht="12" x14ac:dyDescent="0.15">
      <c r="C173" s="57">
        <f t="shared" ca="1" si="10"/>
        <v>2020</v>
      </c>
      <c r="D173" s="57"/>
      <c r="E173" s="58">
        <f t="shared" ca="1" si="11"/>
        <v>6</v>
      </c>
      <c r="F173" s="59" t="str">
        <f t="shared" ca="1" si="9"/>
        <v>2020/6</v>
      </c>
    </row>
    <row r="174" spans="1:6" ht="12" x14ac:dyDescent="0.15">
      <c r="C174" s="57">
        <f t="shared" ca="1" si="10"/>
        <v>2020</v>
      </c>
      <c r="D174" s="57"/>
      <c r="E174" s="58">
        <f t="shared" ca="1" si="11"/>
        <v>7</v>
      </c>
      <c r="F174" s="59" t="str">
        <f t="shared" ca="1" si="9"/>
        <v>2020/7</v>
      </c>
    </row>
    <row r="175" spans="1:6" ht="12" x14ac:dyDescent="0.15">
      <c r="C175" s="57">
        <f t="shared" ca="1" si="10"/>
        <v>2020</v>
      </c>
      <c r="D175" s="57"/>
      <c r="E175" s="58">
        <f t="shared" ca="1" si="11"/>
        <v>8</v>
      </c>
      <c r="F175" s="59" t="str">
        <f t="shared" ca="1" si="9"/>
        <v>2020/8</v>
      </c>
    </row>
    <row r="176" spans="1:6" ht="12" x14ac:dyDescent="0.15">
      <c r="C176" s="57">
        <f t="shared" ca="1" si="10"/>
        <v>2020</v>
      </c>
      <c r="D176" s="57"/>
      <c r="E176" s="58">
        <f t="shared" ca="1" si="11"/>
        <v>9</v>
      </c>
      <c r="F176" s="59" t="str">
        <f t="shared" ca="1" si="9"/>
        <v>2020/9</v>
      </c>
    </row>
    <row r="177" spans="1:18" ht="12" x14ac:dyDescent="0.15">
      <c r="C177" s="57">
        <f t="shared" ca="1" si="10"/>
        <v>2020</v>
      </c>
      <c r="D177" s="57"/>
      <c r="E177" s="58">
        <f t="shared" ca="1" si="11"/>
        <v>10</v>
      </c>
      <c r="F177" s="59" t="str">
        <f t="shared" ca="1" si="9"/>
        <v>2020/10</v>
      </c>
    </row>
    <row r="178" spans="1:18" ht="12" x14ac:dyDescent="0.15">
      <c r="C178" s="57">
        <f t="shared" ca="1" si="10"/>
        <v>2020</v>
      </c>
      <c r="D178" s="57"/>
      <c r="E178" s="58">
        <f t="shared" ca="1" si="11"/>
        <v>11</v>
      </c>
      <c r="F178" s="59" t="str">
        <f t="shared" ca="1" si="9"/>
        <v>2020/11</v>
      </c>
    </row>
    <row r="179" spans="1:18" ht="12" x14ac:dyDescent="0.15">
      <c r="C179" s="57">
        <f t="shared" ca="1" si="10"/>
        <v>2020</v>
      </c>
      <c r="D179" s="57"/>
      <c r="E179" s="58">
        <f t="shared" ca="1" si="11"/>
        <v>12</v>
      </c>
      <c r="F179" s="59" t="str">
        <f t="shared" ca="1" si="9"/>
        <v>2020/12</v>
      </c>
    </row>
    <row r="180" spans="1:18" ht="12" x14ac:dyDescent="0.15">
      <c r="C180" s="57">
        <f t="shared" ca="1" si="10"/>
        <v>2021</v>
      </c>
      <c r="D180" s="57"/>
      <c r="E180" s="58">
        <f t="shared" ca="1" si="11"/>
        <v>1</v>
      </c>
      <c r="F180" s="59" t="str">
        <f t="shared" ca="1" si="9"/>
        <v>2021/1</v>
      </c>
    </row>
    <row r="181" spans="1:18" ht="12" x14ac:dyDescent="0.15">
      <c r="C181" s="57">
        <f t="shared" ca="1" si="10"/>
        <v>2021</v>
      </c>
      <c r="D181" s="57"/>
      <c r="E181" s="58">
        <f t="shared" ca="1" si="11"/>
        <v>2</v>
      </c>
      <c r="F181" s="59" t="str">
        <f t="shared" ca="1" si="9"/>
        <v>2021/2</v>
      </c>
    </row>
    <row r="182" spans="1:18" ht="12" x14ac:dyDescent="0.15">
      <c r="C182" s="57">
        <f t="shared" ca="1" si="10"/>
        <v>2021</v>
      </c>
      <c r="D182" s="57"/>
      <c r="E182" s="58">
        <f t="shared" ca="1" si="11"/>
        <v>3</v>
      </c>
      <c r="F182" s="59" t="str">
        <f t="shared" ca="1" si="9"/>
        <v>2021/3</v>
      </c>
    </row>
    <row r="183" spans="1:18" ht="12" x14ac:dyDescent="0.15">
      <c r="C183" s="57">
        <f t="shared" ca="1" si="10"/>
        <v>2021</v>
      </c>
      <c r="D183" s="57"/>
      <c r="E183" s="58">
        <f t="shared" ca="1" si="11"/>
        <v>4</v>
      </c>
      <c r="F183" s="59" t="str">
        <f t="shared" ca="1" si="9"/>
        <v>2021/4</v>
      </c>
    </row>
    <row r="184" spans="1:18" ht="12" x14ac:dyDescent="0.15">
      <c r="C184" s="57">
        <f t="shared" ca="1" si="10"/>
        <v>2021</v>
      </c>
      <c r="D184" s="57"/>
      <c r="E184" s="58">
        <f t="shared" ca="1" si="11"/>
        <v>5</v>
      </c>
      <c r="F184" s="59" t="str">
        <f t="shared" ca="1" si="9"/>
        <v>2021/5</v>
      </c>
    </row>
    <row r="185" spans="1:18" ht="12" x14ac:dyDescent="0.15">
      <c r="C185" s="57">
        <f t="shared" ca="1" si="10"/>
        <v>2021</v>
      </c>
      <c r="D185" s="57"/>
      <c r="E185" s="58">
        <f t="shared" ca="1" si="11"/>
        <v>6</v>
      </c>
      <c r="F185" s="59" t="str">
        <f t="shared" ca="1" si="9"/>
        <v>2021/6</v>
      </c>
    </row>
    <row r="187" spans="1:18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2"/>
      <c r="K187" s="63"/>
      <c r="L187" s="63"/>
      <c r="M187" s="63"/>
      <c r="N187" s="55"/>
    </row>
    <row r="188" spans="1:18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N188" s="73"/>
      <c r="P188" s="42"/>
      <c r="Q188" s="42"/>
      <c r="R188" s="42"/>
    </row>
    <row r="189" spans="1:18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N189" s="73"/>
      <c r="P189" s="42"/>
      <c r="Q189" s="42"/>
      <c r="R189" s="42"/>
    </row>
    <row r="190" spans="1:18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  <c r="N190" s="74"/>
    </row>
    <row r="191" spans="1:18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</sheetData>
  <mergeCells count="340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0:B10"/>
    <mergeCell ref="D10:F10"/>
    <mergeCell ref="K10:L10"/>
    <mergeCell ref="N10:P10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5:P5"/>
    <mergeCell ref="A6:B6"/>
    <mergeCell ref="D6:F6"/>
    <mergeCell ref="K6:L6"/>
    <mergeCell ref="N6:P6"/>
    <mergeCell ref="A7:B7"/>
    <mergeCell ref="D7:F7"/>
    <mergeCell ref="K7:L7"/>
    <mergeCell ref="N7:P7"/>
    <mergeCell ref="E2:K2"/>
    <mergeCell ref="D3:H3"/>
    <mergeCell ref="J3:N3"/>
    <mergeCell ref="B4:C4"/>
    <mergeCell ref="E4:G4"/>
    <mergeCell ref="H4:I4"/>
    <mergeCell ref="J4:K4"/>
    <mergeCell ref="L4:M4"/>
  </mergeCells>
  <phoneticPr fontId="3"/>
  <conditionalFormatting sqref="C61:D61 C77:D77 C34:D34 C58:D59 C74:C76 C87:D87 C78:C86 D72:D76 C35:C57 D65:D68">
    <cfRule type="cellIs" dxfId="6" priority="7" stopIfTrue="1" operator="notEqual">
      <formula>Q34</formula>
    </cfRule>
  </conditionalFormatting>
  <conditionalFormatting sqref="C72">
    <cfRule type="cellIs" dxfId="5" priority="6" stopIfTrue="1" operator="notEqual">
      <formula>Q72</formula>
    </cfRule>
  </conditionalFormatting>
  <conditionalFormatting sqref="D35:D44">
    <cfRule type="cellIs" dxfId="4" priority="5" stopIfTrue="1" operator="notEqual">
      <formula>R35</formula>
    </cfRule>
  </conditionalFormatting>
  <conditionalFormatting sqref="D62:D63">
    <cfRule type="cellIs" dxfId="3" priority="4" stopIfTrue="1" operator="notEqual">
      <formula>R62</formula>
    </cfRule>
  </conditionalFormatting>
  <conditionalFormatting sqref="C69:C71">
    <cfRule type="cellIs" dxfId="2" priority="3" stopIfTrue="1" operator="notEqual">
      <formula>Q69</formula>
    </cfRule>
  </conditionalFormatting>
  <conditionalFormatting sqref="D69:D71">
    <cfRule type="cellIs" dxfId="1" priority="2" stopIfTrue="1" operator="notEqual">
      <formula>R69</formula>
    </cfRule>
  </conditionalFormatting>
  <conditionalFormatting sqref="D64">
    <cfRule type="cellIs" dxfId="0" priority="1" stopIfTrue="1" operator="notEqual">
      <formula>R64</formula>
    </cfRule>
  </conditionalFormatting>
  <dataValidations count="19">
    <dataValidation type="list" allowBlank="1" showInputMessage="1" showErrorMessage="1" sqref="H61:H86" xr:uid="{38BC427F-2331-4CE8-A964-76D43E59F189}">
      <formula1>$Q$98:$Q$101</formula1>
    </dataValidation>
    <dataValidation type="list" allowBlank="1" showInputMessage="1" showErrorMessage="1" sqref="A61:A86" xr:uid="{F9ED8C0B-A59F-46F6-A8CA-335AA2CC3C30}">
      <formula1>$F$98:$N$98</formula1>
    </dataValidation>
    <dataValidation type="list" allowBlank="1" showInputMessage="1" showErrorMessage="1" sqref="A34:A57" xr:uid="{1FB7CD96-280A-46A2-8F58-2B1A03BFF6A9}">
      <formula1>$A$98:$F$98</formula1>
    </dataValidation>
    <dataValidation type="list" allowBlank="1" showInputMessage="1" showErrorMessage="1" sqref="K4" xr:uid="{B5AC3FAF-7D66-4A62-912C-998D0805BE8B}">
      <formula1>IF(#REF!=C138,$A$140:$A$155,IF(#REF!=E138,$C$140:$C$155,IF(#REF!=$E$139,$E$140:$E$155,IF(#REF!=$F$139,$F$140:$F$155,IF(#REF!=$G$139,$G$140:$G$155,IF(#REF!=$H$139,$H$140:$H$155,IF(#REF!=$I$139,$I$140:$I$155,$K$140:$K$155)))))))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J4" xr:uid="{694709BE-7594-4D09-9671-D374F8F47683}">
      <formula1>IF(#REF!=A138,$A$140:$A$155,IF(#REF!=C138,$C$140:$C$155,IF(#REF!=$E$139,$E$140:$E$155,IF(#REF!=$F$139,$F$140:$F$155,IF(#REF!=$G$139,$G$140:$G$155,IF(#REF!=$H$139,$H$140:$H$155,IF(#REF!=$I$139,$I$140:$I$155,$K$140:$K$155)))))))</formula1>
    </dataValidation>
    <dataValidation type="list" allowBlank="1" showInputMessage="1" showErrorMessage="1" sqref="D78" xr:uid="{AE4487FC-5187-426F-A1F3-8CCC18D8D4BC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11EA9DDC-7A9C-4109-9291-8C52A3C4E094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AF385AE4-8310-4780-A1F9-C9F651ABF219}">
      <formula1>IF(C7&lt;&gt;0,$O$118:$O$130,)</formula1>
    </dataValidation>
    <dataValidation type="list" allowBlank="1" showInputMessage="1" showErrorMessage="1" sqref="D77 C34:C57 C61:C86" xr:uid="{910D4D41-EA40-440B-ACCC-D02E6D91CF75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B4" xr:uid="{6004D386-6752-4BCA-8F93-3E9E1171DFC7}">
      <formula1>$A$139:$H$139</formula1>
    </dataValidation>
    <dataValidation imeMode="on" allowBlank="1" showInputMessage="1" showErrorMessage="1" sqref="D3" xr:uid="{997F145D-C14C-4594-95BA-64E1DE45F2E9}"/>
    <dataValidation type="list" allowBlank="1" showInputMessage="1" showErrorMessage="1" sqref="R34:R57 R61:R85" xr:uid="{A8413AD0-3555-4742-A570-FED655C18C32}">
      <formula1>$P$101:$P$102</formula1>
    </dataValidation>
    <dataValidation type="list" allowBlank="1" showInputMessage="1" showErrorMessage="1" sqref="D30 C19:C30" xr:uid="{B2516EC4-8CCE-4F36-8996-5758950FEC63}">
      <formula1>IF(A19&lt;&gt;0,$O$99:$O$111,)</formula1>
    </dataValidation>
    <dataValidation imeMode="hiragana" allowBlank="1" showInputMessage="1" showErrorMessage="1" sqref="O36:P40 O34:P34 O86 O55:P56 N80:N86 N7:N15 N19:N30 N34:N57 N61:P79" xr:uid="{242866D3-419C-47F6-B493-5397A01C206B}"/>
    <dataValidation type="textLength" imeMode="off" allowBlank="1" showInputMessage="1" showErrorMessage="1" errorTitle="製品コード入力ミス" error="製品コードを4桁で入力してください。_x000a_例：0000～9999" sqref="B3" xr:uid="{DD76DF21-20FF-4348-B03A-1D309A9F64E5}">
      <formula1>5</formula1>
      <formula2>5</formula2>
    </dataValidation>
    <dataValidation imeMode="off" allowBlank="1" showInputMessage="1" showErrorMessage="1" sqref="I7:J15 N4 P3 G7:G15 G19:G30 I19:J30 I34:J57 G34:G57 G61:G86 I61:J86" xr:uid="{34E30DDE-7FCE-46B0-B6E4-51D55999AB25}"/>
    <dataValidation type="list" allowBlank="1" showInputMessage="1" showErrorMessage="1" sqref="F34:F57 F61:F86" xr:uid="{96E41206-700C-4F5C-8C55-885FE81EA255}">
      <formula1>$P$99:$P$100</formula1>
    </dataValidation>
    <dataValidation type="list" allowBlank="1" showInputMessage="1" sqref="H7:H15 H34:H57 H19:H30" xr:uid="{76600CD0-F122-4ABA-8F7E-D9CB6B5B52BA}">
      <formula1>$Q$98:$Q$101</formula1>
    </dataValidation>
    <dataValidation type="list" allowBlank="1" showInputMessage="1" showErrorMessage="1" sqref="F87" xr:uid="{690C5D3B-DD19-4CEF-95DF-D18DAB0F302E}">
      <formula1>"　○"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 x14ac:dyDescent="0.15">
      <c r="A1" s="1" t="s">
        <v>0</v>
      </c>
      <c r="O1" s="60" t="s">
        <v>213</v>
      </c>
    </row>
    <row r="2" spans="1:24" ht="19.5" customHeight="1" thickBot="1" x14ac:dyDescent="0.25">
      <c r="A2" s="2" t="s">
        <v>1</v>
      </c>
      <c r="B2" s="2"/>
      <c r="C2" s="3"/>
      <c r="D2" s="3"/>
      <c r="E2" s="452" t="s">
        <v>63</v>
      </c>
      <c r="F2" s="452"/>
      <c r="G2" s="452"/>
      <c r="H2" s="452"/>
      <c r="I2" s="452"/>
      <c r="J2" s="452"/>
      <c r="K2" s="111"/>
      <c r="L2" s="111"/>
      <c r="M2" s="111"/>
      <c r="N2" s="111"/>
      <c r="O2" s="111"/>
    </row>
    <row r="3" spans="1:24" ht="14.25" customHeight="1" x14ac:dyDescent="0.15">
      <c r="A3" s="4" t="s">
        <v>2</v>
      </c>
      <c r="B3" s="140" t="s">
        <v>244</v>
      </c>
      <c r="C3" s="96" t="s">
        <v>3</v>
      </c>
      <c r="D3" s="537" t="s">
        <v>205</v>
      </c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9"/>
    </row>
    <row r="4" spans="1:24" ht="14.25" customHeight="1" thickBot="1" x14ac:dyDescent="0.2">
      <c r="A4" s="5" t="s">
        <v>201</v>
      </c>
      <c r="B4" s="536" t="s">
        <v>230</v>
      </c>
      <c r="C4" s="536"/>
      <c r="D4" s="454" t="s">
        <v>202</v>
      </c>
      <c r="E4" s="455"/>
      <c r="F4" s="456" t="s">
        <v>218</v>
      </c>
      <c r="G4" s="456"/>
      <c r="H4" s="456"/>
      <c r="I4" s="7" t="s">
        <v>4</v>
      </c>
      <c r="J4" s="6">
        <v>100</v>
      </c>
      <c r="K4" s="454" t="s">
        <v>249</v>
      </c>
      <c r="L4" s="455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 x14ac:dyDescent="0.2">
      <c r="A5" s="461"/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</row>
    <row r="6" spans="1:24" ht="18" customHeight="1" x14ac:dyDescent="0.15">
      <c r="A6" s="540" t="s">
        <v>5</v>
      </c>
      <c r="B6" s="541"/>
      <c r="C6" s="141" t="s">
        <v>6</v>
      </c>
      <c r="D6" s="542" t="s">
        <v>7</v>
      </c>
      <c r="E6" s="543"/>
      <c r="F6" s="541"/>
      <c r="G6" s="142" t="s">
        <v>8</v>
      </c>
      <c r="H6" s="143" t="s">
        <v>9</v>
      </c>
      <c r="I6" s="144" t="s">
        <v>10</v>
      </c>
      <c r="J6" s="544" t="s">
        <v>11</v>
      </c>
      <c r="K6" s="545"/>
      <c r="L6" s="162" t="s">
        <v>238</v>
      </c>
      <c r="M6" s="546" t="s">
        <v>149</v>
      </c>
      <c r="N6" s="546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 x14ac:dyDescent="0.15">
      <c r="A7" s="529" t="s">
        <v>237</v>
      </c>
      <c r="B7" s="530"/>
      <c r="C7" s="145" t="s">
        <v>233</v>
      </c>
      <c r="D7" s="531"/>
      <c r="E7" s="532"/>
      <c r="F7" s="533"/>
      <c r="G7" s="146">
        <v>10000</v>
      </c>
      <c r="H7" s="147" t="s">
        <v>14</v>
      </c>
      <c r="I7" s="148">
        <v>1250</v>
      </c>
      <c r="J7" s="501">
        <f>ROUNDDOWN(IF(H7="US",G7*I7*$O$18,G7*I7),0)</f>
        <v>12500000</v>
      </c>
      <c r="K7" s="502"/>
      <c r="L7" s="159"/>
      <c r="M7" s="449"/>
      <c r="N7" s="450"/>
      <c r="O7" s="451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 x14ac:dyDescent="0.15">
      <c r="A8" s="529" t="s">
        <v>237</v>
      </c>
      <c r="B8" s="530"/>
      <c r="C8" s="145" t="s">
        <v>233</v>
      </c>
      <c r="D8" s="531"/>
      <c r="E8" s="532"/>
      <c r="F8" s="533"/>
      <c r="G8" s="149"/>
      <c r="H8" s="150" t="s">
        <v>14</v>
      </c>
      <c r="I8" s="151"/>
      <c r="J8" s="501">
        <f t="shared" ref="J8:J15" si="0">ROUNDDOWN(IF(H8="US",G8*I8*$O$18,G8*I8),0)</f>
        <v>0</v>
      </c>
      <c r="K8" s="502"/>
      <c r="L8" s="159"/>
      <c r="M8" s="449"/>
      <c r="N8" s="450"/>
      <c r="O8" s="451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 x14ac:dyDescent="0.2">
      <c r="A9" s="529" t="s">
        <v>237</v>
      </c>
      <c r="B9" s="530"/>
      <c r="C9" s="145" t="s">
        <v>233</v>
      </c>
      <c r="D9" s="531"/>
      <c r="E9" s="532"/>
      <c r="F9" s="533"/>
      <c r="G9" s="149"/>
      <c r="H9" s="150" t="s">
        <v>14</v>
      </c>
      <c r="I9" s="151"/>
      <c r="J9" s="501">
        <f t="shared" si="0"/>
        <v>0</v>
      </c>
      <c r="K9" s="502"/>
      <c r="L9" s="163"/>
      <c r="M9" s="447"/>
      <c r="N9" s="447"/>
      <c r="O9" s="448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 x14ac:dyDescent="0.2">
      <c r="A10" s="529" t="s">
        <v>237</v>
      </c>
      <c r="B10" s="530"/>
      <c r="C10" s="145" t="s">
        <v>234</v>
      </c>
      <c r="D10" s="531"/>
      <c r="E10" s="532"/>
      <c r="F10" s="533"/>
      <c r="G10" s="149"/>
      <c r="H10" s="150" t="s">
        <v>14</v>
      </c>
      <c r="I10" s="151"/>
      <c r="J10" s="501">
        <f t="shared" si="0"/>
        <v>0</v>
      </c>
      <c r="K10" s="502"/>
      <c r="L10" s="163"/>
      <c r="M10" s="447"/>
      <c r="N10" s="447"/>
      <c r="O10" s="448"/>
      <c r="R10" s="14"/>
      <c r="S10" s="15"/>
      <c r="T10" s="15"/>
      <c r="U10" s="15"/>
      <c r="V10" s="15"/>
      <c r="W10" s="15"/>
      <c r="X10" s="15"/>
    </row>
    <row r="11" spans="1:24" ht="14.1" customHeight="1" x14ac:dyDescent="0.2">
      <c r="A11" s="529" t="s">
        <v>237</v>
      </c>
      <c r="B11" s="530"/>
      <c r="C11" s="145" t="s">
        <v>235</v>
      </c>
      <c r="D11" s="531"/>
      <c r="E11" s="532"/>
      <c r="F11" s="533"/>
      <c r="G11" s="149">
        <v>24</v>
      </c>
      <c r="H11" s="150" t="s">
        <v>14</v>
      </c>
      <c r="I11" s="151">
        <v>1200</v>
      </c>
      <c r="J11" s="501">
        <f t="shared" si="0"/>
        <v>28800</v>
      </c>
      <c r="K11" s="502"/>
      <c r="L11" s="163"/>
      <c r="M11" s="447"/>
      <c r="N11" s="447"/>
      <c r="O11" s="448"/>
      <c r="R11" s="14"/>
      <c r="S11" s="15"/>
      <c r="T11" s="15"/>
      <c r="U11" s="15"/>
      <c r="V11" s="15"/>
      <c r="W11" s="15"/>
      <c r="X11" s="15"/>
    </row>
    <row r="12" spans="1:24" ht="14.1" customHeight="1" x14ac:dyDescent="0.2">
      <c r="A12" s="529" t="s">
        <v>237</v>
      </c>
      <c r="B12" s="530"/>
      <c r="C12" s="145" t="s">
        <v>236</v>
      </c>
      <c r="D12" s="531"/>
      <c r="E12" s="532"/>
      <c r="F12" s="533"/>
      <c r="G12" s="149">
        <v>96</v>
      </c>
      <c r="H12" s="150" t="s">
        <v>14</v>
      </c>
      <c r="I12" s="151">
        <v>1200</v>
      </c>
      <c r="J12" s="501">
        <f t="shared" si="0"/>
        <v>115200</v>
      </c>
      <c r="K12" s="502"/>
      <c r="L12" s="163"/>
      <c r="M12" s="447"/>
      <c r="N12" s="447"/>
      <c r="O12" s="448"/>
      <c r="R12" s="14"/>
      <c r="S12" s="15"/>
      <c r="T12" s="15"/>
      <c r="U12" s="15"/>
      <c r="V12" s="15"/>
      <c r="W12" s="15"/>
      <c r="X12" s="15"/>
    </row>
    <row r="13" spans="1:24" ht="14.1" customHeight="1" x14ac:dyDescent="0.2">
      <c r="A13" s="529" t="s">
        <v>237</v>
      </c>
      <c r="B13" s="530"/>
      <c r="C13" s="145"/>
      <c r="D13" s="531"/>
      <c r="E13" s="532"/>
      <c r="F13" s="533"/>
      <c r="G13" s="149"/>
      <c r="H13" s="150" t="s">
        <v>14</v>
      </c>
      <c r="I13" s="151"/>
      <c r="J13" s="501">
        <f t="shared" si="0"/>
        <v>0</v>
      </c>
      <c r="K13" s="502"/>
      <c r="L13" s="163"/>
      <c r="M13" s="447"/>
      <c r="N13" s="447"/>
      <c r="O13" s="448"/>
      <c r="R13" s="14"/>
      <c r="S13" s="15"/>
      <c r="T13" s="15"/>
      <c r="U13" s="15"/>
      <c r="V13" s="15"/>
      <c r="W13" s="15"/>
      <c r="X13" s="15"/>
    </row>
    <row r="14" spans="1:24" ht="14.1" customHeight="1" x14ac:dyDescent="0.2">
      <c r="A14" s="529" t="s">
        <v>237</v>
      </c>
      <c r="B14" s="530"/>
      <c r="C14" s="145"/>
      <c r="D14" s="531"/>
      <c r="E14" s="532"/>
      <c r="F14" s="533"/>
      <c r="G14" s="149"/>
      <c r="H14" s="150" t="s">
        <v>14</v>
      </c>
      <c r="I14" s="151"/>
      <c r="J14" s="501">
        <f t="shared" si="0"/>
        <v>0</v>
      </c>
      <c r="K14" s="502"/>
      <c r="L14" s="163"/>
      <c r="M14" s="447"/>
      <c r="N14" s="447"/>
      <c r="O14" s="448"/>
      <c r="R14" s="14"/>
      <c r="S14" s="15"/>
      <c r="T14" s="15"/>
      <c r="U14" s="15"/>
      <c r="V14" s="15"/>
      <c r="W14" s="15"/>
      <c r="X14" s="15"/>
    </row>
    <row r="15" spans="1:24" ht="14.1" customHeight="1" thickBot="1" x14ac:dyDescent="0.25">
      <c r="A15" s="534" t="s">
        <v>237</v>
      </c>
      <c r="B15" s="535"/>
      <c r="C15" s="152"/>
      <c r="D15" s="531"/>
      <c r="E15" s="532"/>
      <c r="F15" s="533"/>
      <c r="G15" s="153"/>
      <c r="H15" s="154" t="s">
        <v>14</v>
      </c>
      <c r="I15" s="155"/>
      <c r="J15" s="501">
        <f t="shared" si="0"/>
        <v>0</v>
      </c>
      <c r="K15" s="502"/>
      <c r="L15" s="164"/>
      <c r="M15" s="426"/>
      <c r="N15" s="426"/>
      <c r="O15" s="42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 x14ac:dyDescent="0.25">
      <c r="A16" s="428" t="s">
        <v>232</v>
      </c>
      <c r="B16" s="429"/>
      <c r="C16" s="429"/>
      <c r="D16" s="429"/>
      <c r="E16" s="429"/>
      <c r="F16" s="430"/>
      <c r="G16" s="169">
        <f>SUM(G7:G15)</f>
        <v>10120</v>
      </c>
      <c r="H16" s="156"/>
      <c r="I16" s="431">
        <f>SUM(J7:J15)</f>
        <v>12644000</v>
      </c>
      <c r="J16" s="432"/>
      <c r="K16" s="433"/>
      <c r="L16" s="157"/>
      <c r="M16" s="434"/>
      <c r="N16" s="434"/>
      <c r="O16" s="435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 x14ac:dyDescent="0.25">
      <c r="A17" s="410"/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2"/>
      <c r="R17" s="15"/>
      <c r="S17" s="15"/>
      <c r="T17" s="15"/>
      <c r="U17" s="15"/>
      <c r="V17" s="15"/>
      <c r="W17" s="15"/>
      <c r="X17" s="15"/>
    </row>
    <row r="18" spans="1:24" ht="18" customHeight="1" x14ac:dyDescent="0.15">
      <c r="A18" s="522" t="s">
        <v>5</v>
      </c>
      <c r="B18" s="523"/>
      <c r="C18" s="132" t="s">
        <v>6</v>
      </c>
      <c r="D18" s="524" t="s">
        <v>7</v>
      </c>
      <c r="E18" s="525"/>
      <c r="F18" s="523"/>
      <c r="G18" s="133" t="s">
        <v>8</v>
      </c>
      <c r="H18" s="134" t="s">
        <v>9</v>
      </c>
      <c r="I18" s="135" t="s">
        <v>10</v>
      </c>
      <c r="J18" s="526" t="s">
        <v>11</v>
      </c>
      <c r="K18" s="527"/>
      <c r="L18" s="162" t="s">
        <v>238</v>
      </c>
      <c r="M18" s="528" t="s">
        <v>149</v>
      </c>
      <c r="N18" s="528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 x14ac:dyDescent="0.15">
      <c r="A19" s="498" t="s">
        <v>12</v>
      </c>
      <c r="B19" s="499"/>
      <c r="C19" s="9" t="s">
        <v>13</v>
      </c>
      <c r="D19" s="514"/>
      <c r="E19" s="515"/>
      <c r="F19" s="516"/>
      <c r="G19" s="10">
        <v>1</v>
      </c>
      <c r="H19" s="103" t="s">
        <v>14</v>
      </c>
      <c r="I19" s="11">
        <v>85000</v>
      </c>
      <c r="J19" s="501">
        <f>ROUNDDOWN(IF(H19="US",G19*I19*$O$18,G19*I19),0)</f>
        <v>85000</v>
      </c>
      <c r="K19" s="502"/>
      <c r="L19" s="159"/>
      <c r="M19" s="418"/>
      <c r="N19" s="419"/>
      <c r="O19" s="420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 x14ac:dyDescent="0.15">
      <c r="A20" s="498" t="s">
        <v>12</v>
      </c>
      <c r="B20" s="499"/>
      <c r="C20" s="9" t="s">
        <v>15</v>
      </c>
      <c r="D20" s="514"/>
      <c r="E20" s="515"/>
      <c r="F20" s="516"/>
      <c r="G20" s="12"/>
      <c r="H20" s="104" t="s">
        <v>14</v>
      </c>
      <c r="I20" s="13"/>
      <c r="J20" s="501">
        <f t="shared" ref="J20:J31" si="1">ROUNDDOWN(IF(H20="US",G20*I20*$O$18,G20*I20),0)</f>
        <v>0</v>
      </c>
      <c r="K20" s="502"/>
      <c r="L20" s="159"/>
      <c r="M20" s="418"/>
      <c r="N20" s="419"/>
      <c r="O20" s="420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 x14ac:dyDescent="0.2">
      <c r="A21" s="498" t="s">
        <v>12</v>
      </c>
      <c r="B21" s="499"/>
      <c r="C21" s="9" t="s">
        <v>16</v>
      </c>
      <c r="D21" s="514"/>
      <c r="E21" s="515"/>
      <c r="F21" s="516"/>
      <c r="G21" s="12"/>
      <c r="H21" s="104" t="s">
        <v>14</v>
      </c>
      <c r="I21" s="13"/>
      <c r="J21" s="501">
        <f t="shared" si="1"/>
        <v>0</v>
      </c>
      <c r="K21" s="502"/>
      <c r="L21" s="159"/>
      <c r="M21" s="362"/>
      <c r="N21" s="362"/>
      <c r="O21" s="363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 x14ac:dyDescent="0.2">
      <c r="A22" s="498" t="s">
        <v>12</v>
      </c>
      <c r="B22" s="499"/>
      <c r="C22" s="9" t="s">
        <v>17</v>
      </c>
      <c r="D22" s="514"/>
      <c r="E22" s="515"/>
      <c r="F22" s="516"/>
      <c r="G22" s="12"/>
      <c r="H22" s="104" t="s">
        <v>14</v>
      </c>
      <c r="I22" s="13"/>
      <c r="J22" s="501">
        <f t="shared" si="1"/>
        <v>0</v>
      </c>
      <c r="K22" s="502"/>
      <c r="L22" s="159"/>
      <c r="M22" s="362"/>
      <c r="N22" s="362"/>
      <c r="O22" s="363"/>
      <c r="R22" s="14"/>
      <c r="S22" s="15"/>
      <c r="T22" s="15"/>
      <c r="U22" s="15"/>
      <c r="V22" s="15"/>
      <c r="W22" s="15"/>
      <c r="X22" s="15"/>
    </row>
    <row r="23" spans="1:24" ht="14.1" customHeight="1" x14ac:dyDescent="0.2">
      <c r="A23" s="498" t="s">
        <v>12</v>
      </c>
      <c r="B23" s="499"/>
      <c r="C23" s="9" t="s">
        <v>18</v>
      </c>
      <c r="D23" s="514"/>
      <c r="E23" s="515"/>
      <c r="F23" s="516"/>
      <c r="G23" s="12"/>
      <c r="H23" s="104" t="s">
        <v>14</v>
      </c>
      <c r="I23" s="13"/>
      <c r="J23" s="501">
        <f t="shared" si="1"/>
        <v>0</v>
      </c>
      <c r="K23" s="502"/>
      <c r="L23" s="159"/>
      <c r="M23" s="362"/>
      <c r="N23" s="362"/>
      <c r="O23" s="363"/>
      <c r="R23" s="14"/>
      <c r="S23" s="15"/>
      <c r="T23" s="15"/>
      <c r="U23" s="15"/>
      <c r="V23" s="15"/>
      <c r="W23" s="15"/>
      <c r="X23" s="15"/>
    </row>
    <row r="24" spans="1:24" ht="14.1" customHeight="1" x14ac:dyDescent="0.2">
      <c r="A24" s="498" t="s">
        <v>12</v>
      </c>
      <c r="B24" s="499"/>
      <c r="C24" s="9" t="s">
        <v>19</v>
      </c>
      <c r="D24" s="514"/>
      <c r="E24" s="515"/>
      <c r="F24" s="516"/>
      <c r="G24" s="12"/>
      <c r="H24" s="104" t="s">
        <v>14</v>
      </c>
      <c r="I24" s="13"/>
      <c r="J24" s="501">
        <f t="shared" si="1"/>
        <v>0</v>
      </c>
      <c r="K24" s="502"/>
      <c r="L24" s="159"/>
      <c r="M24" s="362"/>
      <c r="N24" s="362"/>
      <c r="O24" s="363"/>
      <c r="R24" s="14"/>
      <c r="S24" s="15"/>
      <c r="T24" s="15"/>
      <c r="U24" s="15"/>
      <c r="V24" s="15"/>
      <c r="W24" s="15"/>
      <c r="X24" s="15"/>
    </row>
    <row r="25" spans="1:24" ht="14.1" customHeight="1" x14ac:dyDescent="0.2">
      <c r="A25" s="498" t="s">
        <v>12</v>
      </c>
      <c r="B25" s="499"/>
      <c r="C25" s="9" t="s">
        <v>20</v>
      </c>
      <c r="D25" s="514"/>
      <c r="E25" s="515"/>
      <c r="F25" s="516"/>
      <c r="G25" s="12"/>
      <c r="H25" s="104" t="s">
        <v>14</v>
      </c>
      <c r="I25" s="13"/>
      <c r="J25" s="501">
        <f t="shared" si="1"/>
        <v>0</v>
      </c>
      <c r="K25" s="502"/>
      <c r="L25" s="159"/>
      <c r="M25" s="362"/>
      <c r="N25" s="362"/>
      <c r="O25" s="363"/>
      <c r="R25" s="14"/>
      <c r="S25" s="15"/>
      <c r="T25" s="15"/>
      <c r="U25" s="15"/>
      <c r="V25" s="15"/>
      <c r="W25" s="15"/>
      <c r="X25" s="15"/>
    </row>
    <row r="26" spans="1:24" ht="14.1" customHeight="1" x14ac:dyDescent="0.2">
      <c r="A26" s="498" t="s">
        <v>12</v>
      </c>
      <c r="B26" s="499"/>
      <c r="C26" s="9"/>
      <c r="D26" s="514"/>
      <c r="E26" s="515"/>
      <c r="F26" s="516"/>
      <c r="G26" s="12"/>
      <c r="H26" s="104" t="s">
        <v>14</v>
      </c>
      <c r="I26" s="13"/>
      <c r="J26" s="501">
        <f t="shared" si="1"/>
        <v>0</v>
      </c>
      <c r="K26" s="502"/>
      <c r="L26" s="159"/>
      <c r="M26" s="362"/>
      <c r="N26" s="362"/>
      <c r="O26" s="363"/>
      <c r="R26" s="14"/>
      <c r="S26" s="15"/>
      <c r="T26" s="15"/>
      <c r="U26" s="15"/>
      <c r="V26" s="15"/>
      <c r="W26" s="15"/>
      <c r="X26" s="15"/>
    </row>
    <row r="27" spans="1:24" ht="14.1" customHeight="1" x14ac:dyDescent="0.2">
      <c r="A27" s="498" t="s">
        <v>12</v>
      </c>
      <c r="B27" s="499"/>
      <c r="C27" s="9"/>
      <c r="D27" s="514"/>
      <c r="E27" s="515"/>
      <c r="F27" s="516"/>
      <c r="G27" s="12"/>
      <c r="H27" s="104" t="s">
        <v>14</v>
      </c>
      <c r="I27" s="13"/>
      <c r="J27" s="501">
        <f t="shared" si="1"/>
        <v>0</v>
      </c>
      <c r="K27" s="502"/>
      <c r="L27" s="159"/>
      <c r="M27" s="362"/>
      <c r="N27" s="362"/>
      <c r="O27" s="363"/>
      <c r="R27" s="14"/>
      <c r="S27" s="15"/>
      <c r="T27" s="15"/>
      <c r="U27" s="15"/>
      <c r="V27" s="15"/>
      <c r="W27" s="15"/>
      <c r="X27" s="15"/>
    </row>
    <row r="28" spans="1:24" ht="14.1" customHeight="1" x14ac:dyDescent="0.2">
      <c r="A28" s="498" t="s">
        <v>12</v>
      </c>
      <c r="B28" s="499"/>
      <c r="C28" s="9"/>
      <c r="D28" s="514"/>
      <c r="E28" s="515"/>
      <c r="F28" s="516"/>
      <c r="G28" s="12"/>
      <c r="H28" s="104" t="s">
        <v>14</v>
      </c>
      <c r="I28" s="13"/>
      <c r="J28" s="501">
        <f t="shared" si="1"/>
        <v>0</v>
      </c>
      <c r="K28" s="502"/>
      <c r="L28" s="159"/>
      <c r="M28" s="362"/>
      <c r="N28" s="362"/>
      <c r="O28" s="363"/>
      <c r="R28" s="14"/>
      <c r="S28" s="15"/>
      <c r="T28" s="15"/>
      <c r="U28" s="15"/>
      <c r="V28" s="15"/>
      <c r="W28" s="15"/>
      <c r="X28" s="15"/>
    </row>
    <row r="29" spans="1:24" ht="14.1" customHeight="1" x14ac:dyDescent="0.2">
      <c r="A29" s="498" t="s">
        <v>12</v>
      </c>
      <c r="B29" s="499"/>
      <c r="C29" s="9"/>
      <c r="D29" s="514"/>
      <c r="E29" s="515"/>
      <c r="F29" s="516"/>
      <c r="G29" s="12"/>
      <c r="H29" s="104" t="s">
        <v>14</v>
      </c>
      <c r="I29" s="13"/>
      <c r="J29" s="501">
        <f t="shared" si="1"/>
        <v>0</v>
      </c>
      <c r="K29" s="502"/>
      <c r="L29" s="159"/>
      <c r="M29" s="362"/>
      <c r="N29" s="362"/>
      <c r="O29" s="363"/>
      <c r="R29" s="14"/>
      <c r="S29" s="15"/>
      <c r="T29" s="15"/>
      <c r="U29" s="15"/>
      <c r="V29" s="15"/>
      <c r="W29" s="15"/>
      <c r="X29" s="15"/>
    </row>
    <row r="30" spans="1:24" ht="14.1" customHeight="1" x14ac:dyDescent="0.2">
      <c r="A30" s="498" t="s">
        <v>12</v>
      </c>
      <c r="B30" s="499"/>
      <c r="C30" s="9"/>
      <c r="D30" s="514"/>
      <c r="E30" s="515"/>
      <c r="F30" s="516"/>
      <c r="G30" s="12"/>
      <c r="H30" s="104" t="s">
        <v>14</v>
      </c>
      <c r="I30" s="13"/>
      <c r="J30" s="501">
        <f t="shared" si="1"/>
        <v>0</v>
      </c>
      <c r="K30" s="502"/>
      <c r="L30" s="159"/>
      <c r="M30" s="362"/>
      <c r="N30" s="362"/>
      <c r="O30" s="363"/>
      <c r="R30" s="14"/>
      <c r="S30" s="15"/>
      <c r="T30" s="15"/>
      <c r="U30" s="15"/>
      <c r="V30" s="15"/>
      <c r="W30" s="15"/>
      <c r="X30" s="15"/>
    </row>
    <row r="31" spans="1:24" ht="14.1" customHeight="1" thickBot="1" x14ac:dyDescent="0.25">
      <c r="A31" s="517" t="s">
        <v>12</v>
      </c>
      <c r="B31" s="518"/>
      <c r="C31" s="100" t="s">
        <v>153</v>
      </c>
      <c r="D31" s="519"/>
      <c r="E31" s="520"/>
      <c r="F31" s="521"/>
      <c r="G31" s="101"/>
      <c r="H31" s="105" t="s">
        <v>14</v>
      </c>
      <c r="I31" s="97"/>
      <c r="J31" s="501">
        <f t="shared" si="1"/>
        <v>0</v>
      </c>
      <c r="K31" s="502"/>
      <c r="L31" s="161"/>
      <c r="M31" s="403"/>
      <c r="N31" s="403"/>
      <c r="O31" s="404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 x14ac:dyDescent="0.25">
      <c r="A32" s="405" t="s">
        <v>21</v>
      </c>
      <c r="B32" s="406"/>
      <c r="C32" s="406"/>
      <c r="D32" s="406"/>
      <c r="E32" s="406"/>
      <c r="F32" s="407"/>
      <c r="G32" s="168">
        <f>SUM(G19:G31)</f>
        <v>1</v>
      </c>
      <c r="H32" s="102"/>
      <c r="I32" s="387">
        <f>SUM(J19:J31)</f>
        <v>85000</v>
      </c>
      <c r="J32" s="388"/>
      <c r="K32" s="389"/>
      <c r="L32" s="98"/>
      <c r="M32" s="408"/>
      <c r="N32" s="408"/>
      <c r="O32" s="409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 x14ac:dyDescent="0.25">
      <c r="A33" s="410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2"/>
      <c r="R33" s="15"/>
      <c r="S33" s="15"/>
      <c r="T33" s="15"/>
      <c r="U33" s="15"/>
      <c r="V33" s="15"/>
      <c r="W33" s="15"/>
      <c r="X33" s="15"/>
    </row>
    <row r="34" spans="1:24" ht="20.25" customHeight="1" x14ac:dyDescent="0.15">
      <c r="A34" s="509" t="s">
        <v>22</v>
      </c>
      <c r="B34" s="510"/>
      <c r="C34" s="136" t="s">
        <v>23</v>
      </c>
      <c r="D34" s="511" t="s">
        <v>24</v>
      </c>
      <c r="E34" s="510"/>
      <c r="F34" s="136" t="s">
        <v>25</v>
      </c>
      <c r="G34" s="136" t="s">
        <v>26</v>
      </c>
      <c r="H34" s="136" t="s">
        <v>9</v>
      </c>
      <c r="I34" s="136" t="s">
        <v>27</v>
      </c>
      <c r="J34" s="511" t="s">
        <v>28</v>
      </c>
      <c r="K34" s="510"/>
      <c r="L34" s="160" t="s">
        <v>238</v>
      </c>
      <c r="M34" s="512" t="s">
        <v>65</v>
      </c>
      <c r="N34" s="513"/>
      <c r="O34" s="137">
        <f>$O$18</f>
        <v>114</v>
      </c>
      <c r="Q34" s="79" t="s">
        <v>200</v>
      </c>
    </row>
    <row r="35" spans="1:24" ht="14.1" customHeight="1" x14ac:dyDescent="0.2">
      <c r="A35" s="498" t="s">
        <v>33</v>
      </c>
      <c r="B35" s="499"/>
      <c r="C35" s="16" t="s">
        <v>34</v>
      </c>
      <c r="D35" s="500"/>
      <c r="E35" s="499"/>
      <c r="F35" s="17"/>
      <c r="G35" s="12">
        <v>1</v>
      </c>
      <c r="H35" s="104"/>
      <c r="I35" s="13">
        <v>80000</v>
      </c>
      <c r="J35" s="501">
        <f>ROUNDDOWN(IF(H35="US",G35*I35*$O$18,G35*I35),0)</f>
        <v>80000</v>
      </c>
      <c r="K35" s="502"/>
      <c r="L35" s="159"/>
      <c r="M35" s="380"/>
      <c r="N35" s="380"/>
      <c r="O35" s="38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 x14ac:dyDescent="0.2">
      <c r="A36" s="498" t="s">
        <v>33</v>
      </c>
      <c r="B36" s="499"/>
      <c r="C36" s="16" t="s">
        <v>35</v>
      </c>
      <c r="D36" s="500"/>
      <c r="E36" s="499"/>
      <c r="F36" s="17"/>
      <c r="G36" s="12"/>
      <c r="H36" s="104"/>
      <c r="I36" s="13"/>
      <c r="J36" s="501">
        <f t="shared" ref="J36:J59" si="3">ROUNDDOWN(IF(H36="US",G36*I36*$O$18,G36*I36),0)</f>
        <v>0</v>
      </c>
      <c r="K36" s="502"/>
      <c r="L36" s="159"/>
      <c r="M36" s="380"/>
      <c r="N36" s="380"/>
      <c r="O36" s="38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 x14ac:dyDescent="0.2">
      <c r="A37" s="498" t="s">
        <v>33</v>
      </c>
      <c r="B37" s="499"/>
      <c r="C37" s="16" t="s">
        <v>35</v>
      </c>
      <c r="D37" s="500"/>
      <c r="E37" s="499"/>
      <c r="F37" s="17"/>
      <c r="G37" s="12"/>
      <c r="H37" s="104"/>
      <c r="I37" s="13"/>
      <c r="J37" s="501">
        <f t="shared" si="3"/>
        <v>0</v>
      </c>
      <c r="K37" s="502"/>
      <c r="L37" s="159"/>
      <c r="M37" s="380"/>
      <c r="N37" s="380"/>
      <c r="O37" s="38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 x14ac:dyDescent="0.2">
      <c r="A38" s="498" t="s">
        <v>33</v>
      </c>
      <c r="B38" s="499"/>
      <c r="C38" s="16" t="s">
        <v>35</v>
      </c>
      <c r="D38" s="500"/>
      <c r="E38" s="499"/>
      <c r="F38" s="17"/>
      <c r="G38" s="12"/>
      <c r="H38" s="104"/>
      <c r="I38" s="13"/>
      <c r="J38" s="501">
        <f t="shared" si="3"/>
        <v>0</v>
      </c>
      <c r="K38" s="502"/>
      <c r="L38" s="159"/>
      <c r="M38" s="380"/>
      <c r="N38" s="380"/>
      <c r="O38" s="38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 x14ac:dyDescent="0.2">
      <c r="A39" s="498"/>
      <c r="B39" s="499"/>
      <c r="C39" s="16"/>
      <c r="D39" s="500"/>
      <c r="E39" s="499"/>
      <c r="F39" s="17"/>
      <c r="G39" s="12"/>
      <c r="H39" s="104"/>
      <c r="I39" s="13"/>
      <c r="J39" s="501">
        <f t="shared" si="3"/>
        <v>0</v>
      </c>
      <c r="K39" s="502"/>
      <c r="L39" s="159"/>
      <c r="M39" s="380"/>
      <c r="N39" s="380"/>
      <c r="O39" s="38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 x14ac:dyDescent="0.2">
      <c r="A40" s="498" t="s">
        <v>29</v>
      </c>
      <c r="B40" s="499"/>
      <c r="C40" s="16" t="s">
        <v>30</v>
      </c>
      <c r="D40" s="500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501">
        <f t="shared" si="3"/>
        <v>200000</v>
      </c>
      <c r="K40" s="502"/>
      <c r="L40" s="159"/>
      <c r="M40" s="380"/>
      <c r="N40" s="380"/>
      <c r="O40" s="38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 x14ac:dyDescent="0.2">
      <c r="A41" s="498" t="s">
        <v>29</v>
      </c>
      <c r="B41" s="499"/>
      <c r="C41" s="16" t="s">
        <v>30</v>
      </c>
      <c r="D41" s="500"/>
      <c r="E41" s="499"/>
      <c r="F41" s="17"/>
      <c r="G41" s="12"/>
      <c r="H41" s="104"/>
      <c r="I41" s="13"/>
      <c r="J41" s="501">
        <f t="shared" si="3"/>
        <v>0</v>
      </c>
      <c r="K41" s="502"/>
      <c r="L41" s="159"/>
      <c r="M41" s="380"/>
      <c r="N41" s="380"/>
      <c r="O41" s="38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 x14ac:dyDescent="0.2">
      <c r="A42" s="498" t="s">
        <v>29</v>
      </c>
      <c r="B42" s="499"/>
      <c r="C42" s="16" t="s">
        <v>30</v>
      </c>
      <c r="D42" s="500"/>
      <c r="E42" s="499"/>
      <c r="F42" s="17"/>
      <c r="G42" s="12"/>
      <c r="H42" s="104"/>
      <c r="I42" s="13"/>
      <c r="J42" s="501">
        <f t="shared" si="3"/>
        <v>0</v>
      </c>
      <c r="K42" s="502"/>
      <c r="L42" s="159"/>
      <c r="M42" s="380"/>
      <c r="N42" s="380"/>
      <c r="O42" s="38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 x14ac:dyDescent="0.2">
      <c r="A43" s="498" t="s">
        <v>29</v>
      </c>
      <c r="B43" s="499"/>
      <c r="C43" s="16" t="s">
        <v>31</v>
      </c>
      <c r="D43" s="500"/>
      <c r="E43" s="499"/>
      <c r="F43" s="17"/>
      <c r="G43" s="12"/>
      <c r="H43" s="104"/>
      <c r="I43" s="13"/>
      <c r="J43" s="501">
        <f t="shared" si="3"/>
        <v>0</v>
      </c>
      <c r="K43" s="502"/>
      <c r="L43" s="159"/>
      <c r="M43" s="393"/>
      <c r="N43" s="394"/>
      <c r="O43" s="395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 x14ac:dyDescent="0.2">
      <c r="A44" s="498" t="s">
        <v>29</v>
      </c>
      <c r="B44" s="499"/>
      <c r="C44" s="16" t="s">
        <v>32</v>
      </c>
      <c r="D44" s="500"/>
      <c r="E44" s="499"/>
      <c r="F44" s="17"/>
      <c r="G44" s="12"/>
      <c r="H44" s="104"/>
      <c r="I44" s="13"/>
      <c r="J44" s="501">
        <f t="shared" si="3"/>
        <v>0</v>
      </c>
      <c r="K44" s="502"/>
      <c r="L44" s="159"/>
      <c r="M44" s="380"/>
      <c r="N44" s="380"/>
      <c r="O44" s="38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 x14ac:dyDescent="0.2">
      <c r="A45" s="498"/>
      <c r="B45" s="499"/>
      <c r="C45" s="16"/>
      <c r="D45" s="500"/>
      <c r="E45" s="499"/>
      <c r="F45" s="17"/>
      <c r="G45" s="12"/>
      <c r="H45" s="104"/>
      <c r="I45" s="13"/>
      <c r="J45" s="501">
        <f t="shared" si="3"/>
        <v>0</v>
      </c>
      <c r="K45" s="502"/>
      <c r="L45" s="159"/>
      <c r="M45" s="380"/>
      <c r="N45" s="380"/>
      <c r="O45" s="38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 x14ac:dyDescent="0.2">
      <c r="A46" s="498" t="s">
        <v>36</v>
      </c>
      <c r="B46" s="499"/>
      <c r="C46" s="16" t="s">
        <v>37</v>
      </c>
      <c r="D46" s="500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501">
        <f t="shared" si="3"/>
        <v>1140000</v>
      </c>
      <c r="K46" s="502"/>
      <c r="L46" s="159"/>
      <c r="M46" s="393"/>
      <c r="N46" s="394"/>
      <c r="O46" s="395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 x14ac:dyDescent="0.2">
      <c r="A47" s="498" t="s">
        <v>36</v>
      </c>
      <c r="B47" s="499"/>
      <c r="C47" s="16" t="s">
        <v>37</v>
      </c>
      <c r="D47" s="500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501">
        <f t="shared" si="3"/>
        <v>991800</v>
      </c>
      <c r="K47" s="502"/>
      <c r="L47" s="159"/>
      <c r="M47" s="393"/>
      <c r="N47" s="394"/>
      <c r="O47" s="395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 x14ac:dyDescent="0.2">
      <c r="A48" s="498" t="s">
        <v>36</v>
      </c>
      <c r="B48" s="499"/>
      <c r="C48" s="16" t="s">
        <v>37</v>
      </c>
      <c r="D48" s="500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501">
        <f t="shared" si="3"/>
        <v>991800</v>
      </c>
      <c r="K48" s="502"/>
      <c r="L48" s="159"/>
      <c r="M48" s="393"/>
      <c r="N48" s="394"/>
      <c r="O48" s="395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 x14ac:dyDescent="0.2">
      <c r="A49" s="498" t="s">
        <v>36</v>
      </c>
      <c r="B49" s="499"/>
      <c r="C49" s="16" t="s">
        <v>37</v>
      </c>
      <c r="D49" s="500"/>
      <c r="E49" s="499"/>
      <c r="F49" s="17"/>
      <c r="G49" s="12"/>
      <c r="H49" s="104"/>
      <c r="I49" s="13"/>
      <c r="J49" s="501">
        <f t="shared" si="3"/>
        <v>0</v>
      </c>
      <c r="K49" s="502"/>
      <c r="L49" s="159"/>
      <c r="M49" s="393"/>
      <c r="N49" s="394"/>
      <c r="O49" s="395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 x14ac:dyDescent="0.2">
      <c r="A50" s="498" t="s">
        <v>36</v>
      </c>
      <c r="B50" s="499"/>
      <c r="C50" s="16" t="s">
        <v>38</v>
      </c>
      <c r="D50" s="500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501">
        <f t="shared" si="3"/>
        <v>39900</v>
      </c>
      <c r="K50" s="502"/>
      <c r="L50" s="159"/>
      <c r="M50" s="393"/>
      <c r="N50" s="394"/>
      <c r="O50" s="395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 x14ac:dyDescent="0.2">
      <c r="A51" s="498" t="s">
        <v>36</v>
      </c>
      <c r="B51" s="499"/>
      <c r="C51" s="16" t="s">
        <v>38</v>
      </c>
      <c r="D51" s="500"/>
      <c r="E51" s="499"/>
      <c r="F51" s="17"/>
      <c r="G51" s="12"/>
      <c r="H51" s="104"/>
      <c r="I51" s="13"/>
      <c r="J51" s="501">
        <f t="shared" si="3"/>
        <v>0</v>
      </c>
      <c r="K51" s="502"/>
      <c r="L51" s="159"/>
      <c r="M51" s="393"/>
      <c r="N51" s="394"/>
      <c r="O51" s="395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 x14ac:dyDescent="0.2">
      <c r="A52" s="498" t="s">
        <v>36</v>
      </c>
      <c r="B52" s="499"/>
      <c r="C52" s="16" t="s">
        <v>39</v>
      </c>
      <c r="D52" s="500"/>
      <c r="E52" s="499"/>
      <c r="F52" s="17"/>
      <c r="G52" s="12"/>
      <c r="H52" s="104"/>
      <c r="I52" s="13"/>
      <c r="J52" s="501">
        <f t="shared" si="3"/>
        <v>0</v>
      </c>
      <c r="K52" s="502"/>
      <c r="L52" s="159"/>
      <c r="M52" s="380"/>
      <c r="N52" s="380"/>
      <c r="O52" s="38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 x14ac:dyDescent="0.2">
      <c r="A53" s="498" t="s">
        <v>36</v>
      </c>
      <c r="B53" s="499"/>
      <c r="C53" s="16" t="s">
        <v>39</v>
      </c>
      <c r="D53" s="500"/>
      <c r="E53" s="499"/>
      <c r="F53" s="17"/>
      <c r="G53" s="12"/>
      <c r="H53" s="104"/>
      <c r="I53" s="13"/>
      <c r="J53" s="501">
        <f t="shared" si="3"/>
        <v>0</v>
      </c>
      <c r="K53" s="502"/>
      <c r="L53" s="159"/>
      <c r="M53" s="380"/>
      <c r="N53" s="380"/>
      <c r="O53" s="38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 x14ac:dyDescent="0.2">
      <c r="A54" s="498" t="s">
        <v>36</v>
      </c>
      <c r="B54" s="499"/>
      <c r="C54" s="16" t="s">
        <v>39</v>
      </c>
      <c r="D54" s="500"/>
      <c r="E54" s="499"/>
      <c r="F54" s="17"/>
      <c r="G54" s="12"/>
      <c r="H54" s="104"/>
      <c r="I54" s="13"/>
      <c r="J54" s="501">
        <f t="shared" si="3"/>
        <v>0</v>
      </c>
      <c r="K54" s="502"/>
      <c r="L54" s="159"/>
      <c r="M54" s="380"/>
      <c r="N54" s="380"/>
      <c r="O54" s="38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 x14ac:dyDescent="0.2">
      <c r="A55" s="498"/>
      <c r="B55" s="499"/>
      <c r="C55" s="16"/>
      <c r="D55" s="500"/>
      <c r="E55" s="499"/>
      <c r="F55" s="17"/>
      <c r="G55" s="12"/>
      <c r="H55" s="104"/>
      <c r="I55" s="13"/>
      <c r="J55" s="501">
        <f t="shared" si="3"/>
        <v>0</v>
      </c>
      <c r="K55" s="502"/>
      <c r="L55" s="159"/>
      <c r="M55" s="380"/>
      <c r="N55" s="380"/>
      <c r="O55" s="38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 x14ac:dyDescent="0.2">
      <c r="A56" s="498"/>
      <c r="B56" s="499"/>
      <c r="C56" s="16"/>
      <c r="D56" s="500"/>
      <c r="E56" s="499"/>
      <c r="F56" s="17"/>
      <c r="G56" s="12"/>
      <c r="H56" s="104"/>
      <c r="I56" s="13"/>
      <c r="J56" s="501">
        <f t="shared" si="3"/>
        <v>0</v>
      </c>
      <c r="K56" s="502"/>
      <c r="L56" s="159"/>
      <c r="M56" s="380"/>
      <c r="N56" s="380"/>
      <c r="O56" s="38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 x14ac:dyDescent="0.2">
      <c r="A57" s="498"/>
      <c r="B57" s="499"/>
      <c r="C57" s="16"/>
      <c r="D57" s="500"/>
      <c r="E57" s="499"/>
      <c r="F57" s="17"/>
      <c r="G57" s="12"/>
      <c r="H57" s="104"/>
      <c r="I57" s="13"/>
      <c r="J57" s="501">
        <f t="shared" si="3"/>
        <v>0</v>
      </c>
      <c r="K57" s="502"/>
      <c r="L57" s="159"/>
      <c r="M57" s="380"/>
      <c r="N57" s="380"/>
      <c r="O57" s="38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 x14ac:dyDescent="0.2">
      <c r="A58" s="498"/>
      <c r="B58" s="499"/>
      <c r="C58" s="16"/>
      <c r="D58" s="500"/>
      <c r="E58" s="499"/>
      <c r="F58" s="17"/>
      <c r="G58" s="12"/>
      <c r="H58" s="104"/>
      <c r="I58" s="13"/>
      <c r="J58" s="501">
        <f t="shared" si="3"/>
        <v>0</v>
      </c>
      <c r="K58" s="502"/>
      <c r="L58" s="159"/>
      <c r="M58" s="380"/>
      <c r="N58" s="380"/>
      <c r="O58" s="38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 x14ac:dyDescent="0.25">
      <c r="A59" s="498"/>
      <c r="B59" s="499"/>
      <c r="C59" s="18"/>
      <c r="D59" s="500"/>
      <c r="E59" s="499"/>
      <c r="F59" s="19"/>
      <c r="G59" s="20"/>
      <c r="H59" s="106"/>
      <c r="I59" s="97"/>
      <c r="J59" s="501">
        <f t="shared" si="3"/>
        <v>0</v>
      </c>
      <c r="K59" s="502"/>
      <c r="L59" s="161"/>
      <c r="M59" s="382"/>
      <c r="N59" s="382"/>
      <c r="O59" s="383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 x14ac:dyDescent="0.25">
      <c r="A60" s="384" t="s">
        <v>40</v>
      </c>
      <c r="B60" s="385"/>
      <c r="C60" s="385"/>
      <c r="D60" s="385"/>
      <c r="E60" s="385"/>
      <c r="F60" s="386"/>
      <c r="G60" s="22"/>
      <c r="H60" s="23"/>
      <c r="I60" s="387">
        <f>SUM(J35:J59)</f>
        <v>3443500</v>
      </c>
      <c r="J60" s="388"/>
      <c r="K60" s="389"/>
      <c r="L60" s="99"/>
      <c r="M60" s="390">
        <f>SUMIF(F35:F59,"",J35:J59)</f>
        <v>80000</v>
      </c>
      <c r="N60" s="391"/>
      <c r="O60" s="392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 x14ac:dyDescent="0.25">
      <c r="A61" s="372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4"/>
      <c r="Q61" s="77"/>
      <c r="R61" s="21"/>
      <c r="S61" s="15"/>
      <c r="T61" s="15"/>
      <c r="U61" s="15"/>
      <c r="V61" s="15"/>
      <c r="W61" s="15"/>
      <c r="X61" s="15"/>
    </row>
    <row r="62" spans="1:24" ht="19.5" customHeight="1" x14ac:dyDescent="0.2">
      <c r="A62" s="509" t="s">
        <v>22</v>
      </c>
      <c r="B62" s="510"/>
      <c r="C62" s="136" t="s">
        <v>23</v>
      </c>
      <c r="D62" s="511" t="s">
        <v>24</v>
      </c>
      <c r="E62" s="510"/>
      <c r="F62" s="138" t="s">
        <v>25</v>
      </c>
      <c r="G62" s="138" t="s">
        <v>26</v>
      </c>
      <c r="H62" s="138" t="s">
        <v>9</v>
      </c>
      <c r="I62" s="138" t="s">
        <v>27</v>
      </c>
      <c r="J62" s="511" t="s">
        <v>28</v>
      </c>
      <c r="K62" s="510"/>
      <c r="L62" s="160" t="s">
        <v>238</v>
      </c>
      <c r="M62" s="511" t="s">
        <v>65</v>
      </c>
      <c r="N62" s="510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 x14ac:dyDescent="0.2">
      <c r="A63" s="498" t="s">
        <v>41</v>
      </c>
      <c r="B63" s="499"/>
      <c r="C63" s="16" t="s">
        <v>42</v>
      </c>
      <c r="D63" s="500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501">
        <f>ROUNDDOWN(IF(H63="US",G63*I63*$O$18,G63*I63),0)</f>
        <v>6654978</v>
      </c>
      <c r="K63" s="502"/>
      <c r="L63" s="159"/>
      <c r="M63" s="362"/>
      <c r="N63" s="362"/>
      <c r="O63" s="363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 x14ac:dyDescent="0.15">
      <c r="A64" s="498" t="s">
        <v>41</v>
      </c>
      <c r="B64" s="499"/>
      <c r="C64" s="16" t="s">
        <v>243</v>
      </c>
      <c r="D64" s="500"/>
      <c r="E64" s="499"/>
      <c r="F64" s="17"/>
      <c r="G64" s="24">
        <v>24</v>
      </c>
      <c r="H64" s="104" t="s">
        <v>148</v>
      </c>
      <c r="I64" s="13">
        <v>5.83</v>
      </c>
      <c r="J64" s="501">
        <f t="shared" ref="J64:J80" si="5">ROUNDDOWN(IF(H64="US",G64*I64*$O$18,G64*I64),0)</f>
        <v>15950</v>
      </c>
      <c r="K64" s="502"/>
      <c r="L64" s="159"/>
      <c r="M64" s="362"/>
      <c r="N64" s="362"/>
      <c r="O64" s="363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 x14ac:dyDescent="0.15">
      <c r="A65" s="498" t="s">
        <v>41</v>
      </c>
      <c r="B65" s="499"/>
      <c r="C65" s="16" t="s">
        <v>155</v>
      </c>
      <c r="D65" s="500"/>
      <c r="E65" s="499"/>
      <c r="F65" s="17"/>
      <c r="G65" s="24">
        <v>96</v>
      </c>
      <c r="H65" s="104" t="s">
        <v>148</v>
      </c>
      <c r="I65" s="13">
        <v>5.83</v>
      </c>
      <c r="J65" s="501">
        <f t="shared" si="5"/>
        <v>63803</v>
      </c>
      <c r="K65" s="502"/>
      <c r="L65" s="159"/>
      <c r="M65" s="346"/>
      <c r="N65" s="347"/>
      <c r="O65" s="348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 x14ac:dyDescent="0.15">
      <c r="A66" s="498"/>
      <c r="B66" s="499"/>
      <c r="C66" s="16"/>
      <c r="D66" s="500"/>
      <c r="E66" s="499"/>
      <c r="F66" s="17"/>
      <c r="G66" s="24">
        <f>IF(A66&lt;&gt;0,($J$4*#REF!),)</f>
        <v>0</v>
      </c>
      <c r="H66" s="104"/>
      <c r="I66" s="13"/>
      <c r="J66" s="501">
        <f t="shared" si="5"/>
        <v>0</v>
      </c>
      <c r="K66" s="502"/>
      <c r="L66" s="159"/>
      <c r="M66" s="362"/>
      <c r="N66" s="362"/>
      <c r="O66" s="363"/>
      <c r="P66" s="1">
        <f t="shared" si="4"/>
        <v>0</v>
      </c>
      <c r="Q66" s="76"/>
    </row>
    <row r="67" spans="1:18" ht="14.1" customHeight="1" x14ac:dyDescent="0.15">
      <c r="A67" s="498"/>
      <c r="B67" s="499"/>
      <c r="C67" s="16"/>
      <c r="D67" s="500"/>
      <c r="E67" s="499"/>
      <c r="F67" s="17"/>
      <c r="G67" s="24">
        <f>IF(A67&lt;&gt;0,($J$4*#REF!),)</f>
        <v>0</v>
      </c>
      <c r="H67" s="104"/>
      <c r="I67" s="13"/>
      <c r="J67" s="501">
        <f>ROUNDDOWN(IF(H67="US",G67*I67*$O$18,G67*I67),0)</f>
        <v>0</v>
      </c>
      <c r="K67" s="502"/>
      <c r="L67" s="159"/>
      <c r="M67" s="362"/>
      <c r="N67" s="362"/>
      <c r="O67" s="363"/>
      <c r="P67" s="1">
        <f t="shared" si="4"/>
        <v>0</v>
      </c>
      <c r="Q67" s="76"/>
    </row>
    <row r="68" spans="1:18" ht="14.1" customHeight="1" x14ac:dyDescent="0.15">
      <c r="A68" s="498"/>
      <c r="B68" s="499"/>
      <c r="C68" s="16"/>
      <c r="D68" s="500"/>
      <c r="E68" s="499"/>
      <c r="F68" s="17"/>
      <c r="G68" s="24">
        <f>IF(A68&lt;&gt;0,($J$4*#REF!),)</f>
        <v>0</v>
      </c>
      <c r="H68" s="104"/>
      <c r="I68" s="13"/>
      <c r="J68" s="501">
        <f>ROUNDDOWN(IF(H68="US",G68*I68*$O$18,G68*I68),0)</f>
        <v>0</v>
      </c>
      <c r="K68" s="502"/>
      <c r="L68" s="159"/>
      <c r="M68" s="362"/>
      <c r="N68" s="362"/>
      <c r="O68" s="363"/>
      <c r="P68" s="1">
        <f t="shared" si="4"/>
        <v>0</v>
      </c>
      <c r="Q68" s="76"/>
    </row>
    <row r="69" spans="1:18" ht="14.1" customHeight="1" x14ac:dyDescent="0.15">
      <c r="A69" s="498"/>
      <c r="B69" s="499"/>
      <c r="C69" s="16"/>
      <c r="D69" s="500"/>
      <c r="E69" s="499"/>
      <c r="F69" s="17"/>
      <c r="G69" s="24">
        <f>IF(A69&lt;&gt;0,($J$4*#REF!),)</f>
        <v>0</v>
      </c>
      <c r="H69" s="104"/>
      <c r="I69" s="13"/>
      <c r="J69" s="501">
        <f>ROUNDDOWN(IF(H69="US",G69*I69*$O$18,G69*I69),0)</f>
        <v>0</v>
      </c>
      <c r="K69" s="502"/>
      <c r="L69" s="159"/>
      <c r="M69" s="362"/>
      <c r="N69" s="362"/>
      <c r="O69" s="363"/>
      <c r="P69" s="1">
        <f t="shared" si="4"/>
        <v>0</v>
      </c>
      <c r="Q69" s="76"/>
    </row>
    <row r="70" spans="1:18" ht="14.1" customHeight="1" x14ac:dyDescent="0.15">
      <c r="A70" s="498"/>
      <c r="B70" s="499"/>
      <c r="C70" s="16"/>
      <c r="D70" s="500"/>
      <c r="E70" s="499"/>
      <c r="F70" s="17"/>
      <c r="G70" s="24">
        <f>IF(A70&lt;&gt;0,($J$4*#REF!),)</f>
        <v>0</v>
      </c>
      <c r="H70" s="104"/>
      <c r="I70" s="13"/>
      <c r="J70" s="501">
        <f t="shared" si="5"/>
        <v>0</v>
      </c>
      <c r="K70" s="502"/>
      <c r="L70" s="159"/>
      <c r="M70" s="362"/>
      <c r="N70" s="362"/>
      <c r="O70" s="363"/>
      <c r="P70" s="1">
        <f t="shared" si="4"/>
        <v>0</v>
      </c>
      <c r="Q70" s="76"/>
    </row>
    <row r="71" spans="1:18" ht="14.1" customHeight="1" x14ac:dyDescent="0.15">
      <c r="A71" s="498"/>
      <c r="B71" s="499"/>
      <c r="C71" s="16"/>
      <c r="D71" s="500"/>
      <c r="E71" s="499"/>
      <c r="F71" s="17"/>
      <c r="G71" s="24">
        <f>IF(A71&lt;&gt;0,($J$4*#REF!),)</f>
        <v>0</v>
      </c>
      <c r="H71" s="104"/>
      <c r="I71" s="13"/>
      <c r="J71" s="501">
        <f t="shared" si="5"/>
        <v>0</v>
      </c>
      <c r="K71" s="502"/>
      <c r="L71" s="159"/>
      <c r="M71" s="362"/>
      <c r="N71" s="362"/>
      <c r="O71" s="363"/>
      <c r="P71" s="1">
        <f t="shared" si="4"/>
        <v>0</v>
      </c>
      <c r="Q71" s="76"/>
    </row>
    <row r="72" spans="1:18" ht="14.1" customHeight="1" x14ac:dyDescent="0.15">
      <c r="A72" s="498"/>
      <c r="B72" s="499"/>
      <c r="C72" s="16"/>
      <c r="D72" s="500"/>
      <c r="E72" s="499"/>
      <c r="F72" s="17"/>
      <c r="G72" s="24">
        <f>IF(A72&lt;&gt;0,($J$4*#REF!),)</f>
        <v>0</v>
      </c>
      <c r="H72" s="104"/>
      <c r="I72" s="13"/>
      <c r="J72" s="501">
        <f t="shared" si="5"/>
        <v>0</v>
      </c>
      <c r="K72" s="502"/>
      <c r="L72" s="159"/>
      <c r="M72" s="362"/>
      <c r="N72" s="362"/>
      <c r="O72" s="363"/>
      <c r="P72" s="1">
        <f t="shared" si="4"/>
        <v>0</v>
      </c>
      <c r="Q72" s="76"/>
    </row>
    <row r="73" spans="1:18" ht="14.1" customHeight="1" x14ac:dyDescent="0.15">
      <c r="A73" s="498"/>
      <c r="B73" s="499"/>
      <c r="C73" s="16"/>
      <c r="D73" s="500"/>
      <c r="E73" s="499"/>
      <c r="F73" s="17"/>
      <c r="G73" s="24">
        <f>IF(A73&lt;&gt;0,($J$4*#REF!),)</f>
        <v>0</v>
      </c>
      <c r="H73" s="104"/>
      <c r="I73" s="13"/>
      <c r="J73" s="501">
        <f>ROUNDDOWN(IF(H73="US",G73*I73*$O$18,G73*I73),0)</f>
        <v>0</v>
      </c>
      <c r="K73" s="502"/>
      <c r="L73" s="159"/>
      <c r="M73" s="362"/>
      <c r="N73" s="362"/>
      <c r="O73" s="363"/>
      <c r="P73" s="1">
        <f t="shared" si="4"/>
        <v>0</v>
      </c>
      <c r="Q73" s="76"/>
    </row>
    <row r="74" spans="1:18" ht="14.1" customHeight="1" x14ac:dyDescent="0.15">
      <c r="A74" s="498"/>
      <c r="B74" s="499"/>
      <c r="C74" s="16"/>
      <c r="D74" s="500"/>
      <c r="E74" s="499"/>
      <c r="F74" s="17"/>
      <c r="G74" s="24">
        <f>IF(A74&lt;&gt;0,($J$4*#REF!),)</f>
        <v>0</v>
      </c>
      <c r="H74" s="104"/>
      <c r="I74" s="13"/>
      <c r="J74" s="501">
        <f>ROUNDDOWN(IF(H74="US",G74*I74*$O$18,G74*I74),0)</f>
        <v>0</v>
      </c>
      <c r="K74" s="502"/>
      <c r="L74" s="159"/>
      <c r="M74" s="362"/>
      <c r="N74" s="362"/>
      <c r="O74" s="363"/>
      <c r="P74" s="1">
        <f t="shared" si="4"/>
        <v>0</v>
      </c>
      <c r="Q74" s="76"/>
    </row>
    <row r="75" spans="1:18" ht="14.1" customHeight="1" x14ac:dyDescent="0.15">
      <c r="A75" s="498"/>
      <c r="B75" s="499"/>
      <c r="C75" s="16"/>
      <c r="D75" s="500"/>
      <c r="E75" s="499"/>
      <c r="F75" s="17"/>
      <c r="G75" s="24">
        <f>IF(A75&lt;&gt;0,($J$4*#REF!),)</f>
        <v>0</v>
      </c>
      <c r="H75" s="104"/>
      <c r="I75" s="13"/>
      <c r="J75" s="501">
        <f>ROUNDDOWN(IF(H75="US",G75*I75*$O$18,G75*I75),0)</f>
        <v>0</v>
      </c>
      <c r="K75" s="502"/>
      <c r="L75" s="159"/>
      <c r="M75" s="362"/>
      <c r="N75" s="362"/>
      <c r="O75" s="363"/>
      <c r="P75" s="1">
        <f t="shared" si="4"/>
        <v>0</v>
      </c>
      <c r="Q75" s="76"/>
    </row>
    <row r="76" spans="1:18" ht="14.1" customHeight="1" x14ac:dyDescent="0.15">
      <c r="A76" s="498"/>
      <c r="B76" s="499"/>
      <c r="C76" s="16"/>
      <c r="D76" s="500"/>
      <c r="E76" s="499"/>
      <c r="F76" s="17"/>
      <c r="G76" s="24">
        <f>IF(A76&lt;&gt;0,($J$4*#REF!),)</f>
        <v>0</v>
      </c>
      <c r="H76" s="104"/>
      <c r="I76" s="13"/>
      <c r="J76" s="501">
        <f t="shared" si="5"/>
        <v>0</v>
      </c>
      <c r="K76" s="502"/>
      <c r="L76" s="159"/>
      <c r="M76" s="362"/>
      <c r="N76" s="362"/>
      <c r="O76" s="363"/>
      <c r="P76" s="1">
        <f t="shared" si="4"/>
        <v>0</v>
      </c>
      <c r="Q76" s="76"/>
    </row>
    <row r="77" spans="1:18" ht="14.1" customHeight="1" x14ac:dyDescent="0.15">
      <c r="A77" s="498"/>
      <c r="B77" s="499"/>
      <c r="C77" s="16"/>
      <c r="D77" s="500"/>
      <c r="E77" s="499"/>
      <c r="F77" s="17"/>
      <c r="G77" s="24">
        <f>IF(A77&lt;&gt;0,($J$4*#REF!),)</f>
        <v>0</v>
      </c>
      <c r="H77" s="104"/>
      <c r="I77" s="13"/>
      <c r="J77" s="501">
        <f t="shared" si="5"/>
        <v>0</v>
      </c>
      <c r="K77" s="502"/>
      <c r="L77" s="159"/>
      <c r="M77" s="362"/>
      <c r="N77" s="362"/>
      <c r="O77" s="363"/>
      <c r="P77" s="1">
        <f t="shared" si="4"/>
        <v>0</v>
      </c>
      <c r="Q77" s="76"/>
    </row>
    <row r="78" spans="1:18" ht="14.1" customHeight="1" x14ac:dyDescent="0.15">
      <c r="A78" s="498"/>
      <c r="B78" s="499"/>
      <c r="C78" s="16"/>
      <c r="D78" s="500"/>
      <c r="E78" s="499"/>
      <c r="F78" s="17"/>
      <c r="G78" s="24">
        <f>IF(A78&lt;&gt;0,($J$4*#REF!),)</f>
        <v>0</v>
      </c>
      <c r="H78" s="104"/>
      <c r="I78" s="13"/>
      <c r="J78" s="501">
        <f t="shared" si="5"/>
        <v>0</v>
      </c>
      <c r="K78" s="502"/>
      <c r="L78" s="159"/>
      <c r="M78" s="362"/>
      <c r="N78" s="362"/>
      <c r="O78" s="363"/>
      <c r="P78" s="1">
        <f t="shared" si="4"/>
        <v>0</v>
      </c>
      <c r="Q78" s="76"/>
    </row>
    <row r="79" spans="1:18" ht="14.1" customHeight="1" x14ac:dyDescent="0.15">
      <c r="A79" s="498"/>
      <c r="B79" s="499"/>
      <c r="C79" s="16"/>
      <c r="D79" s="500"/>
      <c r="E79" s="499"/>
      <c r="F79" s="17"/>
      <c r="G79" s="24">
        <f>IF(A79&lt;&gt;0,($J$4*#REF!),)</f>
        <v>0</v>
      </c>
      <c r="H79" s="104"/>
      <c r="I79" s="13"/>
      <c r="J79" s="501">
        <f t="shared" si="5"/>
        <v>0</v>
      </c>
      <c r="K79" s="502"/>
      <c r="L79" s="159"/>
      <c r="M79" s="346"/>
      <c r="N79" s="347"/>
      <c r="O79" s="348"/>
      <c r="P79" s="1">
        <f t="shared" si="4"/>
        <v>0</v>
      </c>
      <c r="Q79" s="76"/>
    </row>
    <row r="80" spans="1:18" ht="14.1" customHeight="1" x14ac:dyDescent="0.15">
      <c r="A80" s="498"/>
      <c r="B80" s="499"/>
      <c r="C80" s="16"/>
      <c r="D80" s="500"/>
      <c r="E80" s="499"/>
      <c r="F80" s="17"/>
      <c r="G80" s="24">
        <f>IF(A80&lt;&gt;0,($J$4*#REF!),)</f>
        <v>0</v>
      </c>
      <c r="H80" s="104"/>
      <c r="I80" s="13"/>
      <c r="J80" s="501">
        <f t="shared" si="5"/>
        <v>0</v>
      </c>
      <c r="K80" s="502"/>
      <c r="L80" s="159"/>
      <c r="M80" s="362"/>
      <c r="N80" s="362"/>
      <c r="O80" s="363"/>
      <c r="P80" s="1">
        <f t="shared" si="4"/>
        <v>0</v>
      </c>
      <c r="Q80" s="76"/>
    </row>
    <row r="81" spans="1:17" ht="14.1" customHeight="1" x14ac:dyDescent="0.15">
      <c r="A81" s="503" t="s">
        <v>50</v>
      </c>
      <c r="B81" s="504"/>
      <c r="C81" s="80" t="s">
        <v>158</v>
      </c>
      <c r="D81" s="505"/>
      <c r="E81" s="506"/>
      <c r="F81" s="81"/>
      <c r="G81" s="82">
        <v>1</v>
      </c>
      <c r="H81" s="107" t="s">
        <v>14</v>
      </c>
      <c r="I81" s="83">
        <v>150000</v>
      </c>
      <c r="J81" s="507">
        <f>ROUNDDOWN(IF(H81="US",G81*I81*$O$18,G81*I81),0)</f>
        <v>150000</v>
      </c>
      <c r="K81" s="508"/>
      <c r="L81" s="122"/>
      <c r="M81" s="362" t="s">
        <v>210</v>
      </c>
      <c r="N81" s="362"/>
      <c r="O81" s="363"/>
      <c r="P81" s="1" t="str">
        <f t="shared" si="4"/>
        <v>3:運賃(FEDEX、BLPなど)</v>
      </c>
      <c r="Q81" s="76"/>
    </row>
    <row r="82" spans="1:17" ht="14.1" customHeight="1" x14ac:dyDescent="0.15">
      <c r="A82" s="503" t="s">
        <v>50</v>
      </c>
      <c r="B82" s="504"/>
      <c r="C82" s="80" t="s">
        <v>159</v>
      </c>
      <c r="D82" s="500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501">
        <f>ROUNDDOWN(IF(H82="US",G82*I82*$O$18,G82*I82),0)</f>
        <v>200000</v>
      </c>
      <c r="K82" s="502"/>
      <c r="L82" s="122"/>
      <c r="M82" s="362" t="s">
        <v>211</v>
      </c>
      <c r="N82" s="362"/>
      <c r="O82" s="363"/>
      <c r="P82" s="1" t="str">
        <f t="shared" si="4"/>
        <v>4:検査費</v>
      </c>
      <c r="Q82" s="76"/>
    </row>
    <row r="83" spans="1:17" ht="14.1" customHeight="1" x14ac:dyDescent="0.15">
      <c r="A83" s="484" t="s">
        <v>43</v>
      </c>
      <c r="B83" s="485"/>
      <c r="C83" s="25" t="s">
        <v>44</v>
      </c>
      <c r="D83" s="486"/>
      <c r="E83" s="487"/>
      <c r="F83" s="109"/>
      <c r="G83" s="110">
        <f>IF(A83&lt;&gt;0,$M$4)</f>
        <v>10000</v>
      </c>
      <c r="H83" s="108" t="s">
        <v>14</v>
      </c>
      <c r="I83" s="13"/>
      <c r="J83" s="488">
        <f>ROUNDDOWN(IF(I83&lt;&gt;0,IF(G83&lt;&gt;0,IF(H83="US",G83*I83*$O$18,G83*I83),E83*$M$4*$O$4),E83*$M$4*$O$4),0)</f>
        <v>0</v>
      </c>
      <c r="K83" s="489"/>
      <c r="L83" s="122"/>
      <c r="M83" s="362" t="s">
        <v>212</v>
      </c>
      <c r="N83" s="362"/>
      <c r="O83" s="363"/>
      <c r="P83" s="1" t="str">
        <f t="shared" si="4"/>
        <v>1:証紙</v>
      </c>
      <c r="Q83" s="76"/>
    </row>
    <row r="84" spans="1:17" ht="14.1" customHeight="1" x14ac:dyDescent="0.15">
      <c r="A84" s="490" t="s">
        <v>45</v>
      </c>
      <c r="B84" s="491"/>
      <c r="C84" s="170" t="s">
        <v>204</v>
      </c>
      <c r="D84" s="492">
        <v>0.03</v>
      </c>
      <c r="E84" s="493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94">
        <f>ROUNDDOWN(IF(D84&lt;&gt;0,IF(H84="US","エラー",I84*G84),),0)</f>
        <v>305346</v>
      </c>
      <c r="K84" s="495"/>
      <c r="L84" s="123"/>
      <c r="M84" s="346" t="s">
        <v>207</v>
      </c>
      <c r="N84" s="347"/>
      <c r="O84" s="348"/>
      <c r="P84" s="1" t="str">
        <f t="shared" si="4"/>
        <v>2:輸入費用</v>
      </c>
      <c r="Q84" s="76"/>
    </row>
    <row r="85" spans="1:17" ht="14.1" customHeight="1" thickBot="1" x14ac:dyDescent="0.2">
      <c r="A85" s="490" t="s">
        <v>45</v>
      </c>
      <c r="B85" s="491"/>
      <c r="C85" s="170" t="s">
        <v>152</v>
      </c>
      <c r="D85" s="492"/>
      <c r="E85" s="493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94">
        <f>ROUNDDOWN(IF(E85&lt;&gt;0,IF(H85="US","エラー",I85*G85),),0)</f>
        <v>0</v>
      </c>
      <c r="K85" s="495"/>
      <c r="L85" s="123"/>
      <c r="M85" s="346" t="s">
        <v>208</v>
      </c>
      <c r="N85" s="347"/>
      <c r="O85" s="348"/>
      <c r="P85" s="1" t="str">
        <f t="shared" si="4"/>
        <v>3:関税</v>
      </c>
      <c r="Q85" s="78"/>
    </row>
    <row r="86" spans="1:17" ht="14.1" customHeight="1" thickBot="1" x14ac:dyDescent="0.2">
      <c r="A86" s="496"/>
      <c r="B86" s="497"/>
      <c r="C86" s="171"/>
      <c r="D86" s="480"/>
      <c r="E86" s="481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82">
        <f>ROUNDDOWN(IF(E86&lt;&gt;0,IF(H86="US","エラー",I86*G86),),0)</f>
        <v>0</v>
      </c>
      <c r="K86" s="483"/>
      <c r="L86" s="124"/>
      <c r="M86" s="355"/>
      <c r="N86" s="356"/>
      <c r="O86" s="357"/>
      <c r="P86" s="1">
        <f t="shared" si="4"/>
        <v>0</v>
      </c>
    </row>
    <row r="87" spans="1:17" ht="6" customHeight="1" thickBot="1" x14ac:dyDescent="0.2">
      <c r="A87" s="26"/>
      <c r="G87" s="27"/>
      <c r="H87" s="27"/>
      <c r="I87" s="28"/>
      <c r="J87" s="29"/>
      <c r="K87" s="29"/>
      <c r="L87" s="29"/>
      <c r="M87" s="289"/>
      <c r="N87" s="289"/>
      <c r="O87" s="307"/>
    </row>
    <row r="88" spans="1:17" ht="16.5" customHeight="1" x14ac:dyDescent="0.2">
      <c r="A88" s="308" t="s">
        <v>240</v>
      </c>
      <c r="B88" s="309"/>
      <c r="C88" s="128">
        <f>I16</f>
        <v>12644000</v>
      </c>
      <c r="D88" s="129"/>
      <c r="E88" s="310" t="s">
        <v>239</v>
      </c>
      <c r="F88" s="311"/>
      <c r="G88" s="309"/>
      <c r="H88" s="312">
        <f>I32</f>
        <v>85000</v>
      </c>
      <c r="I88" s="313"/>
      <c r="J88" s="130"/>
      <c r="K88" s="314" t="s">
        <v>241</v>
      </c>
      <c r="L88" s="315"/>
      <c r="M88" s="316">
        <f>C88+H88</f>
        <v>12729000</v>
      </c>
      <c r="N88" s="317"/>
      <c r="O88" s="131"/>
    </row>
    <row r="89" spans="1:17" ht="16.5" customHeight="1" x14ac:dyDescent="0.2">
      <c r="A89" s="320" t="s">
        <v>246</v>
      </c>
      <c r="B89" s="321"/>
      <c r="C89" s="125">
        <f>C88-J94</f>
        <v>1890423</v>
      </c>
      <c r="D89" s="158">
        <f>C89/C88</f>
        <v>0.14951146788990827</v>
      </c>
      <c r="E89" s="322" t="s">
        <v>247</v>
      </c>
      <c r="F89" s="323"/>
      <c r="G89" s="324"/>
      <c r="H89" s="325">
        <f>H88-M60</f>
        <v>5000</v>
      </c>
      <c r="I89" s="326"/>
      <c r="J89" s="158">
        <f>H89/H88</f>
        <v>5.8823529411764705E-2</v>
      </c>
      <c r="K89" s="322" t="s">
        <v>250</v>
      </c>
      <c r="L89" s="324"/>
      <c r="M89" s="327">
        <f>C89+H89</f>
        <v>1895423</v>
      </c>
      <c r="N89" s="328"/>
      <c r="O89" s="126">
        <f>M89/M88</f>
        <v>0.14890588420142981</v>
      </c>
    </row>
    <row r="90" spans="1:17" ht="16.5" customHeight="1" x14ac:dyDescent="0.2">
      <c r="A90" s="179"/>
      <c r="B90" s="180"/>
      <c r="C90" s="181"/>
      <c r="D90" s="181"/>
      <c r="E90" s="181"/>
      <c r="F90" s="181"/>
      <c r="G90" s="116"/>
      <c r="H90" s="182"/>
      <c r="I90" s="182"/>
      <c r="J90" s="329" t="s">
        <v>242</v>
      </c>
      <c r="K90" s="330"/>
      <c r="L90" s="331"/>
      <c r="M90" s="332">
        <f>ROUNDDOWN((M88*O90),0)</f>
        <v>773923</v>
      </c>
      <c r="N90" s="333"/>
      <c r="O90" s="183">
        <v>6.08E-2</v>
      </c>
    </row>
    <row r="91" spans="1:17" ht="16.5" customHeight="1" thickBot="1" x14ac:dyDescent="0.25">
      <c r="A91" s="119"/>
      <c r="B91" s="120"/>
      <c r="C91" s="121"/>
      <c r="D91" s="121"/>
      <c r="E91" s="121"/>
      <c r="F91" s="121"/>
      <c r="G91" s="36"/>
      <c r="H91" s="36"/>
      <c r="I91" s="115"/>
      <c r="J91" s="302" t="s">
        <v>248</v>
      </c>
      <c r="K91" s="334"/>
      <c r="L91" s="303"/>
      <c r="M91" s="335">
        <f>M89-M90</f>
        <v>1121500</v>
      </c>
      <c r="N91" s="336"/>
      <c r="O91" s="127">
        <f>M91/M88</f>
        <v>8.8105899913583155E-2</v>
      </c>
    </row>
    <row r="92" spans="1:17" ht="16.5" customHeight="1" x14ac:dyDescent="0.15">
      <c r="A92" s="337" t="s">
        <v>46</v>
      </c>
      <c r="B92" s="338"/>
      <c r="C92" s="339" t="s">
        <v>253</v>
      </c>
      <c r="D92" s="339"/>
      <c r="E92" s="339"/>
      <c r="F92" s="339"/>
      <c r="G92" s="30">
        <f>$M$4</f>
        <v>10000</v>
      </c>
      <c r="H92" s="31"/>
      <c r="I92" s="32">
        <f>IF(G92&gt;0,J92/G92,)</f>
        <v>739.0077</v>
      </c>
      <c r="J92" s="318">
        <f>SUMIF(F63:F86,"",J63:J86)</f>
        <v>7390077</v>
      </c>
      <c r="K92" s="318"/>
      <c r="L92" s="32"/>
      <c r="M92" s="319"/>
      <c r="N92" s="319"/>
      <c r="O92" s="118"/>
    </row>
    <row r="93" spans="1:17" ht="16.5" customHeight="1" x14ac:dyDescent="0.15">
      <c r="A93" s="290" t="s">
        <v>47</v>
      </c>
      <c r="B93" s="291"/>
      <c r="C93" s="292" t="s">
        <v>254</v>
      </c>
      <c r="D93" s="292"/>
      <c r="E93" s="292"/>
      <c r="F93" s="292"/>
      <c r="G93" s="33">
        <f>$M$4</f>
        <v>10000</v>
      </c>
      <c r="H93" s="34"/>
      <c r="I93" s="117">
        <f>IF(G93&gt;0,J93/G93,)</f>
        <v>336.35</v>
      </c>
      <c r="J93" s="293">
        <f>SUMIF(F35:F86,"○",J35:J86)</f>
        <v>3363500</v>
      </c>
      <c r="K93" s="294"/>
      <c r="L93" s="92"/>
      <c r="M93" s="295"/>
      <c r="N93" s="296"/>
      <c r="O93" s="35"/>
    </row>
    <row r="94" spans="1:17" ht="16.5" customHeight="1" thickBot="1" x14ac:dyDescent="0.2">
      <c r="A94" s="472" t="s">
        <v>251</v>
      </c>
      <c r="B94" s="473"/>
      <c r="C94" s="474" t="s">
        <v>252</v>
      </c>
      <c r="D94" s="474"/>
      <c r="E94" s="474"/>
      <c r="F94" s="474"/>
      <c r="G94" s="112">
        <f>$M$4</f>
        <v>10000</v>
      </c>
      <c r="H94" s="113"/>
      <c r="I94" s="114">
        <f>IF(G94&gt;0,J94/G94,)</f>
        <v>1075.3577</v>
      </c>
      <c r="J94" s="475">
        <f>SUM(J92:J93)</f>
        <v>10753577</v>
      </c>
      <c r="K94" s="476"/>
      <c r="L94" s="477" t="s">
        <v>245</v>
      </c>
      <c r="M94" s="478"/>
      <c r="N94" s="475">
        <f>M60</f>
        <v>80000</v>
      </c>
      <c r="O94" s="479"/>
    </row>
    <row r="95" spans="1:17" ht="16.5" customHeight="1" x14ac:dyDescent="0.15">
      <c r="A95" s="305" t="s">
        <v>48</v>
      </c>
      <c r="B95" s="305"/>
      <c r="C95" s="305"/>
      <c r="D95" s="305"/>
      <c r="E95" s="305"/>
      <c r="F95" s="305"/>
      <c r="G95" s="305"/>
      <c r="H95" s="37"/>
      <c r="I95" s="306" t="s">
        <v>66</v>
      </c>
      <c r="J95" s="306"/>
      <c r="K95" s="306"/>
      <c r="L95" s="306"/>
      <c r="M95" s="306"/>
      <c r="N95" s="306"/>
      <c r="O95" s="306"/>
    </row>
    <row r="96" spans="1:17" ht="9" customHeight="1" x14ac:dyDescent="0.15">
      <c r="A96" s="289" t="s">
        <v>67</v>
      </c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</row>
    <row r="98" spans="1:16" s="42" customFormat="1" ht="54" x14ac:dyDescent="0.15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 x14ac:dyDescent="0.15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 x14ac:dyDescent="0.15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 x14ac:dyDescent="0.15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 x14ac:dyDescent="0.15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 x14ac:dyDescent="0.15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 x14ac:dyDescent="0.15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 x14ac:dyDescent="0.15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 x14ac:dyDescent="0.15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 x14ac:dyDescent="0.15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 x14ac:dyDescent="0.15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 x14ac:dyDescent="0.15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 x14ac:dyDescent="0.15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 x14ac:dyDescent="0.15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 x14ac:dyDescent="0.15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 x14ac:dyDescent="0.2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 x14ac:dyDescent="0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 x14ac:dyDescent="0.2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 x14ac:dyDescent="0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 x14ac:dyDescent="0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 x14ac:dyDescent="0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 x14ac:dyDescent="0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 x14ac:dyDescent="0.15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 x14ac:dyDescent="0.15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 x14ac:dyDescent="0.15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 x14ac:dyDescent="0.15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 x14ac:dyDescent="0.15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 x14ac:dyDescent="0.15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 x14ac:dyDescent="0.15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 x14ac:dyDescent="0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 x14ac:dyDescent="0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 x14ac:dyDescent="0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 x14ac:dyDescent="0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 x14ac:dyDescent="0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 x14ac:dyDescent="0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 x14ac:dyDescent="0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 x14ac:dyDescent="0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 x14ac:dyDescent="0.15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 x14ac:dyDescent="0.15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 x14ac:dyDescent="0.15">
      <c r="A138" s="42" t="s">
        <v>60</v>
      </c>
    </row>
    <row r="139" spans="1:14" s="42" customFormat="1" ht="13.2" x14ac:dyDescent="0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 x14ac:dyDescent="0.15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 x14ac:dyDescent="0.15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 x14ac:dyDescent="0.15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 x14ac:dyDescent="0.15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 x14ac:dyDescent="0.15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 x14ac:dyDescent="0.15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 x14ac:dyDescent="0.15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 x14ac:dyDescent="0.15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 x14ac:dyDescent="0.15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 x14ac:dyDescent="0.15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 x14ac:dyDescent="0.15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 x14ac:dyDescent="0.15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 x14ac:dyDescent="0.15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 x14ac:dyDescent="0.15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 x14ac:dyDescent="0.15"/>
    <row r="155" spans="1:10" s="42" customFormat="1" x14ac:dyDescent="0.15"/>
    <row r="160" spans="1:10" ht="12" x14ac:dyDescent="0.15">
      <c r="A160" s="56">
        <f ca="1">TODAY()</f>
        <v>43612</v>
      </c>
      <c r="B160" s="56"/>
      <c r="C160" s="57">
        <f ca="1">YEAR(A160)</f>
        <v>2019</v>
      </c>
      <c r="D160" s="57"/>
      <c r="E160" s="58">
        <f ca="1">MONTH(A160)</f>
        <v>5</v>
      </c>
      <c r="F160" s="59" t="str">
        <f t="shared" ref="F160:F185" ca="1" si="6">CONCATENATE(C160,"/",E160)</f>
        <v>2019/5</v>
      </c>
    </row>
    <row r="161" spans="1:6" ht="12" x14ac:dyDescent="0.15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6</v>
      </c>
      <c r="F161" s="59" t="str">
        <f t="shared" ca="1" si="6"/>
        <v>2019/6</v>
      </c>
    </row>
    <row r="162" spans="1:6" ht="12" x14ac:dyDescent="0.15">
      <c r="A162" s="57"/>
      <c r="B162" s="57"/>
      <c r="C162" s="57">
        <f t="shared" ca="1" si="7"/>
        <v>2019</v>
      </c>
      <c r="D162" s="57"/>
      <c r="E162" s="58">
        <f t="shared" ca="1" si="8"/>
        <v>7</v>
      </c>
      <c r="F162" s="59" t="str">
        <f t="shared" ca="1" si="6"/>
        <v>2019/7</v>
      </c>
    </row>
    <row r="163" spans="1:6" ht="12" x14ac:dyDescent="0.15">
      <c r="C163" s="57">
        <f t="shared" ca="1" si="7"/>
        <v>2019</v>
      </c>
      <c r="D163" s="57"/>
      <c r="E163" s="58">
        <f t="shared" ca="1" si="8"/>
        <v>8</v>
      </c>
      <c r="F163" s="59" t="str">
        <f t="shared" ca="1" si="6"/>
        <v>2019/8</v>
      </c>
    </row>
    <row r="164" spans="1:6" ht="12" x14ac:dyDescent="0.15">
      <c r="C164" s="57">
        <f t="shared" ca="1" si="7"/>
        <v>2019</v>
      </c>
      <c r="D164" s="57"/>
      <c r="E164" s="58">
        <f t="shared" ca="1" si="8"/>
        <v>9</v>
      </c>
      <c r="F164" s="59" t="str">
        <f t="shared" ca="1" si="6"/>
        <v>2019/9</v>
      </c>
    </row>
    <row r="165" spans="1:6" ht="12" x14ac:dyDescent="0.15">
      <c r="C165" s="57">
        <f t="shared" ca="1" si="7"/>
        <v>2019</v>
      </c>
      <c r="D165" s="57"/>
      <c r="E165" s="58">
        <f t="shared" ca="1" si="8"/>
        <v>10</v>
      </c>
      <c r="F165" s="59" t="str">
        <f t="shared" ca="1" si="6"/>
        <v>2019/10</v>
      </c>
    </row>
    <row r="166" spans="1:6" ht="12" x14ac:dyDescent="0.15">
      <c r="C166" s="57">
        <f t="shared" ca="1" si="7"/>
        <v>2019</v>
      </c>
      <c r="D166" s="57"/>
      <c r="E166" s="58">
        <f t="shared" ca="1" si="8"/>
        <v>11</v>
      </c>
      <c r="F166" s="59" t="str">
        <f t="shared" ca="1" si="6"/>
        <v>2019/11</v>
      </c>
    </row>
    <row r="167" spans="1:6" ht="12" x14ac:dyDescent="0.15">
      <c r="C167" s="57">
        <f t="shared" ca="1" si="7"/>
        <v>2019</v>
      </c>
      <c r="D167" s="57"/>
      <c r="E167" s="58">
        <f t="shared" ca="1" si="8"/>
        <v>12</v>
      </c>
      <c r="F167" s="59" t="str">
        <f t="shared" ca="1" si="6"/>
        <v>2019/12</v>
      </c>
    </row>
    <row r="168" spans="1:6" ht="12" x14ac:dyDescent="0.15">
      <c r="C168" s="57">
        <f t="shared" ca="1" si="7"/>
        <v>2020</v>
      </c>
      <c r="D168" s="57"/>
      <c r="E168" s="58">
        <f t="shared" ca="1" si="8"/>
        <v>1</v>
      </c>
      <c r="F168" s="59" t="str">
        <f t="shared" ca="1" si="6"/>
        <v>2020/1</v>
      </c>
    </row>
    <row r="169" spans="1:6" ht="12" x14ac:dyDescent="0.15">
      <c r="C169" s="57">
        <f t="shared" ca="1" si="7"/>
        <v>2020</v>
      </c>
      <c r="D169" s="57"/>
      <c r="E169" s="58">
        <f t="shared" ca="1" si="8"/>
        <v>2</v>
      </c>
      <c r="F169" s="59" t="str">
        <f t="shared" ca="1" si="6"/>
        <v>2020/2</v>
      </c>
    </row>
    <row r="170" spans="1:6" ht="12" x14ac:dyDescent="0.15">
      <c r="C170" s="57">
        <f t="shared" ca="1" si="7"/>
        <v>2020</v>
      </c>
      <c r="D170" s="57"/>
      <c r="E170" s="58">
        <f t="shared" ca="1" si="8"/>
        <v>3</v>
      </c>
      <c r="F170" s="59" t="str">
        <f t="shared" ca="1" si="6"/>
        <v>2020/3</v>
      </c>
    </row>
    <row r="171" spans="1:6" ht="12" x14ac:dyDescent="0.15">
      <c r="C171" s="57">
        <f t="shared" ca="1" si="7"/>
        <v>2020</v>
      </c>
      <c r="D171" s="57"/>
      <c r="E171" s="58">
        <f t="shared" ca="1" si="8"/>
        <v>4</v>
      </c>
      <c r="F171" s="59" t="str">
        <f t="shared" ca="1" si="6"/>
        <v>2020/4</v>
      </c>
    </row>
    <row r="172" spans="1:6" ht="12" x14ac:dyDescent="0.15">
      <c r="C172" s="57">
        <f t="shared" ca="1" si="7"/>
        <v>2020</v>
      </c>
      <c r="D172" s="57"/>
      <c r="E172" s="58">
        <f t="shared" ca="1" si="8"/>
        <v>5</v>
      </c>
      <c r="F172" s="59" t="str">
        <f t="shared" ca="1" si="6"/>
        <v>2020/5</v>
      </c>
    </row>
    <row r="173" spans="1:6" ht="12" x14ac:dyDescent="0.15">
      <c r="C173" s="57">
        <f t="shared" ca="1" si="7"/>
        <v>2020</v>
      </c>
      <c r="D173" s="57"/>
      <c r="E173" s="58">
        <f t="shared" ca="1" si="8"/>
        <v>6</v>
      </c>
      <c r="F173" s="59" t="str">
        <f t="shared" ca="1" si="6"/>
        <v>2020/6</v>
      </c>
    </row>
    <row r="174" spans="1:6" ht="12" x14ac:dyDescent="0.15">
      <c r="C174" s="57">
        <f t="shared" ca="1" si="7"/>
        <v>2020</v>
      </c>
      <c r="D174" s="57"/>
      <c r="E174" s="58">
        <f t="shared" ca="1" si="8"/>
        <v>7</v>
      </c>
      <c r="F174" s="59" t="str">
        <f t="shared" ca="1" si="6"/>
        <v>2020/7</v>
      </c>
    </row>
    <row r="175" spans="1:6" ht="12" x14ac:dyDescent="0.15">
      <c r="C175" s="57">
        <f t="shared" ca="1" si="7"/>
        <v>2020</v>
      </c>
      <c r="D175" s="57"/>
      <c r="E175" s="58">
        <f t="shared" ca="1" si="8"/>
        <v>8</v>
      </c>
      <c r="F175" s="59" t="str">
        <f t="shared" ca="1" si="6"/>
        <v>2020/8</v>
      </c>
    </row>
    <row r="176" spans="1:6" ht="12" x14ac:dyDescent="0.15">
      <c r="C176" s="57">
        <f t="shared" ca="1" si="7"/>
        <v>2020</v>
      </c>
      <c r="D176" s="57"/>
      <c r="E176" s="58">
        <f t="shared" ca="1" si="8"/>
        <v>9</v>
      </c>
      <c r="F176" s="59" t="str">
        <f t="shared" ca="1" si="6"/>
        <v>2020/9</v>
      </c>
    </row>
    <row r="177" spans="1:17" ht="12" x14ac:dyDescent="0.15">
      <c r="C177" s="57">
        <f t="shared" ca="1" si="7"/>
        <v>2020</v>
      </c>
      <c r="D177" s="57"/>
      <c r="E177" s="58">
        <f t="shared" ca="1" si="8"/>
        <v>10</v>
      </c>
      <c r="F177" s="59" t="str">
        <f t="shared" ca="1" si="6"/>
        <v>2020/10</v>
      </c>
    </row>
    <row r="178" spans="1:17" ht="12" x14ac:dyDescent="0.15">
      <c r="C178" s="57">
        <f t="shared" ca="1" si="7"/>
        <v>2020</v>
      </c>
      <c r="D178" s="57"/>
      <c r="E178" s="58">
        <f t="shared" ca="1" si="8"/>
        <v>11</v>
      </c>
      <c r="F178" s="59" t="str">
        <f t="shared" ca="1" si="6"/>
        <v>2020/11</v>
      </c>
    </row>
    <row r="179" spans="1:17" ht="12" x14ac:dyDescent="0.15">
      <c r="C179" s="57">
        <f t="shared" ca="1" si="7"/>
        <v>2020</v>
      </c>
      <c r="D179" s="57"/>
      <c r="E179" s="58">
        <f t="shared" ca="1" si="8"/>
        <v>12</v>
      </c>
      <c r="F179" s="59" t="str">
        <f t="shared" ca="1" si="6"/>
        <v>2020/12</v>
      </c>
    </row>
    <row r="180" spans="1:17" ht="12" x14ac:dyDescent="0.15">
      <c r="C180" s="57">
        <f t="shared" ca="1" si="7"/>
        <v>2021</v>
      </c>
      <c r="D180" s="57"/>
      <c r="E180" s="58">
        <f t="shared" ca="1" si="8"/>
        <v>1</v>
      </c>
      <c r="F180" s="59" t="str">
        <f t="shared" ca="1" si="6"/>
        <v>2021/1</v>
      </c>
    </row>
    <row r="181" spans="1:17" ht="12" x14ac:dyDescent="0.15">
      <c r="C181" s="57">
        <f t="shared" ca="1" si="7"/>
        <v>2021</v>
      </c>
      <c r="D181" s="57"/>
      <c r="E181" s="58">
        <f t="shared" ca="1" si="8"/>
        <v>2</v>
      </c>
      <c r="F181" s="59" t="str">
        <f t="shared" ca="1" si="6"/>
        <v>2021/2</v>
      </c>
    </row>
    <row r="182" spans="1:17" ht="12" x14ac:dyDescent="0.15">
      <c r="C182" s="57">
        <f t="shared" ca="1" si="7"/>
        <v>2021</v>
      </c>
      <c r="D182" s="57"/>
      <c r="E182" s="58">
        <f t="shared" ca="1" si="8"/>
        <v>3</v>
      </c>
      <c r="F182" s="59" t="str">
        <f t="shared" ca="1" si="6"/>
        <v>2021/3</v>
      </c>
    </row>
    <row r="183" spans="1:17" ht="12" x14ac:dyDescent="0.15">
      <c r="C183" s="57">
        <f t="shared" ca="1" si="7"/>
        <v>2021</v>
      </c>
      <c r="D183" s="57"/>
      <c r="E183" s="58">
        <f t="shared" ca="1" si="8"/>
        <v>4</v>
      </c>
      <c r="F183" s="59" t="str">
        <f t="shared" ca="1" si="6"/>
        <v>2021/4</v>
      </c>
    </row>
    <row r="184" spans="1:17" ht="12" x14ac:dyDescent="0.15">
      <c r="C184" s="57">
        <f t="shared" ca="1" si="7"/>
        <v>2021</v>
      </c>
      <c r="D184" s="57"/>
      <c r="E184" s="58">
        <f t="shared" ca="1" si="8"/>
        <v>5</v>
      </c>
      <c r="F184" s="59" t="str">
        <f t="shared" ca="1" si="6"/>
        <v>2021/5</v>
      </c>
    </row>
    <row r="185" spans="1:17" ht="12" x14ac:dyDescent="0.15">
      <c r="C185" s="57">
        <f t="shared" ca="1" si="7"/>
        <v>2021</v>
      </c>
      <c r="D185" s="57"/>
      <c r="E185" s="58">
        <f t="shared" ca="1" si="8"/>
        <v>6</v>
      </c>
      <c r="F185" s="59" t="str">
        <f t="shared" ca="1" si="6"/>
        <v>2021/6</v>
      </c>
    </row>
    <row r="187" spans="1:17" ht="13.2" x14ac:dyDescent="0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 x14ac:dyDescent="0.15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 x14ac:dyDescent="0.15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 x14ac:dyDescent="0.15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 x14ac:dyDescent="0.2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14" priority="8" stopIfTrue="1" operator="notEqual">
      <formula>P35</formula>
    </cfRule>
  </conditionalFormatting>
  <conditionalFormatting sqref="C76">
    <cfRule type="cellIs" dxfId="13" priority="7" stopIfTrue="1" operator="notEqual">
      <formula>P76</formula>
    </cfRule>
  </conditionalFormatting>
  <conditionalFormatting sqref="D36:D45">
    <cfRule type="cellIs" dxfId="12" priority="6" stopIfTrue="1" operator="notEqual">
      <formula>Q36</formula>
    </cfRule>
  </conditionalFormatting>
  <conditionalFormatting sqref="D64:D65 D76:D80 D72">
    <cfRule type="cellIs" dxfId="11" priority="5" stopIfTrue="1" operator="notEqual">
      <formula>Q64</formula>
    </cfRule>
  </conditionalFormatting>
  <conditionalFormatting sqref="C73:C75">
    <cfRule type="cellIs" dxfId="10" priority="4" stopIfTrue="1" operator="notEqual">
      <formula>P73</formula>
    </cfRule>
  </conditionalFormatting>
  <conditionalFormatting sqref="D73:D75">
    <cfRule type="cellIs" dxfId="9" priority="3" stopIfTrue="1" operator="notEqual">
      <formula>Q73</formula>
    </cfRule>
  </conditionalFormatting>
  <conditionalFormatting sqref="D66 D70:D71">
    <cfRule type="cellIs" dxfId="8" priority="2" stopIfTrue="1" operator="notEqual">
      <formula>Q66</formula>
    </cfRule>
  </conditionalFormatting>
  <conditionalFormatting sqref="D67:D69">
    <cfRule type="cellIs" dxfId="7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100-000000000000}">
      <formula1>$A$98:$F$98</formula1>
    </dataValidation>
    <dataValidation type="list" allowBlank="1" showInputMessage="1" showErrorMessage="1" sqref="D35:E45 D46:D59 D63:D80" xr:uid="{00000000-0002-0000-01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100-000002000000}">
      <formula1>IF(C7&lt;&gt;0,$N$118:$N$130,)</formula1>
    </dataValidation>
    <dataValidation type="list" allowBlank="1" showInputMessage="1" showErrorMessage="1" sqref="F4:H4" xr:uid="{00000000-0002-0000-01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1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100-000005000000}">
      <formula1>$F$98:$M$98</formula1>
    </dataValidation>
    <dataValidation type="list" allowBlank="1" showInputMessage="1" showErrorMessage="1" sqref="B4" xr:uid="{00000000-0002-0000-0100-000006000000}">
      <formula1>$A$139:$H$139</formula1>
    </dataValidation>
    <dataValidation imeMode="on" allowBlank="1" showInputMessage="1" showErrorMessage="1" sqref="D3" xr:uid="{00000000-0002-0000-0100-000007000000}"/>
    <dataValidation type="list" allowBlank="1" showInputMessage="1" showErrorMessage="1" sqref="Q35:Q59 Q63:Q85" xr:uid="{00000000-0002-0000-0100-000008000000}">
      <formula1>$O$101:$O$102</formula1>
    </dataValidation>
    <dataValidation type="list" allowBlank="1" showInputMessage="1" showErrorMessage="1" sqref="D31 C19:C31" xr:uid="{00000000-0002-0000-01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1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1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100-00000C000000}"/>
    <dataValidation type="list" allowBlank="1" showInputMessage="1" showErrorMessage="1" sqref="F35:F59 F63:F86" xr:uid="{00000000-0002-0000-0100-00000D000000}">
      <formula1>$O$99:$O$100</formula1>
    </dataValidation>
    <dataValidation type="list" allowBlank="1" showInputMessage="1" sqref="H19:H31 H35:H59 H7:H15 H63:H86" xr:uid="{00000000-0002-0000-0100-00000E000000}">
      <formula1>$P$98:$P$100</formula1>
    </dataValidation>
    <dataValidation type="list" allowBlank="1" showInputMessage="1" showErrorMessage="1" sqref="F87" xr:uid="{00000000-0002-0000-0100-00000F000000}">
      <formula1>"　○"</formula1>
    </dataValidation>
    <dataValidation type="list" allowBlank="1" showInputMessage="1" showErrorMessage="1" sqref="D82" xr:uid="{00000000-0002-0000-01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112</vt:i4>
      </vt:variant>
    </vt:vector>
  </HeadingPairs>
  <TitlesOfParts>
    <vt:vector size="114" baseType="lpstr">
      <vt:lpstr>ver.4.0.1 ﾊﾟﾀｰﾝ1</vt:lpstr>
      <vt:lpstr>標準原価見積書new_ver.4.0 ﾊﾟﾀｰﾝ原紙</vt:lpstr>
      <vt:lpstr>'ver.4.0.1 ﾊﾟﾀｰﾝ1'!bottom_left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ﾊﾟﾀｰﾝ1'!customerusername</vt:lpstr>
      <vt:lpstr>'ver.4.0.1 ﾊﾟﾀｰﾝ1'!customerusername_header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ﾊﾟﾀｰﾝ1'!inchargegroupcode</vt:lpstr>
      <vt:lpstr>'ver.4.0.1 ﾊﾟﾀｰﾝ1'!inchargegroupcode_header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ﾊﾟﾀｰﾝ1'!order_e_stockitemcode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ﾊﾟﾀｰﾝ1'!order_f_stockitemcode</vt:lpstr>
      <vt:lpstr>'ver.4.0.1 ﾊﾟﾀｰﾝ1'!order_f_stocksubjectcode</vt:lpstr>
      <vt:lpstr>'ver.4.0.1 ﾊﾟﾀｰﾝ1'!order_f_subtotalprice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ﾊﾟﾀｰﾝ1'!receive_f_salesclasscode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ﾊﾟﾀｰﾝ1'!receive_p_salesclasscode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ﾊﾟﾀｰﾝ1'!top_left</vt:lpstr>
      <vt:lpstr>'ver.4.0.1 ﾊﾟﾀｰﾝ1'!top_right</vt:lpstr>
      <vt:lpstr>'ver.4.0.1 ﾊﾟﾀｰﾝ1'!usercode</vt:lpstr>
      <vt:lpstr>'ver.4.0.1 ﾊﾟﾀｰﾝ1'!usercode_header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2019-05-27T08:50:37Z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