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AN\Desktop\BENTEX ORDERS\4884-87MX\"/>
    </mc:Choice>
  </mc:AlternateContent>
  <xr:revisionPtr revIDLastSave="0" documentId="13_ncr:1_{468D9F18-8345-4A73-AAA2-09114E7F8369}" xr6:coauthVersionLast="47" xr6:coauthVersionMax="47" xr10:uidLastSave="{00000000-0000-0000-0000-000000000000}"/>
  <bookViews>
    <workbookView xWindow="-108" yWindow="-108" windowWidth="23256" windowHeight="12456" activeTab="4" xr2:uid="{520326ED-B5EB-4B5E-B938-9249708DA778}"/>
  </bookViews>
  <sheets>
    <sheet name="4884MX" sheetId="1" r:id="rId1"/>
    <sheet name="4885MX" sheetId="4" r:id="rId2"/>
    <sheet name="4886MX" sheetId="2" r:id="rId3"/>
    <sheet name="4887MX" sheetId="3" r:id="rId4"/>
    <sheet name="SPPS" sheetId="5" r:id="rId5"/>
    <sheet name="FABRIC &amp; TRIMS " sheetId="15" r:id="rId6"/>
    <sheet name="Hoja1" sheetId="22" r:id="rId7"/>
    <sheet name="FABRIC REPLENISHMENT" sheetId="26" r:id="rId8"/>
    <sheet name="FABRIC-PO" sheetId="7" r:id="rId9"/>
    <sheet name="SP PO#1" sheetId="16" r:id="rId10"/>
    <sheet name="SP PO#2" sheetId="24" r:id="rId11"/>
    <sheet name="SP PO#3" sheetId="25" r:id="rId12"/>
    <sheet name="THREAD" sheetId="17" r:id="rId13"/>
    <sheet name="CARE LABEL" sheetId="18" r:id="rId14"/>
    <sheet name="HEAT SEAL" sheetId="19" r:id="rId15"/>
    <sheet name="POLYBAG" sheetId="20" r:id="rId16"/>
    <sheet name="CARTON" sheetId="21" r:id="rId17"/>
    <sheet name="FABRIC &amp; TRIMS  (2)" sheetId="23" r:id="rId18"/>
  </sheets>
  <definedNames>
    <definedName name="_xlnm._FilterDatabase" localSheetId="5" hidden="1">'FABRIC &amp; TRIMS '!$A$2:$AM$33</definedName>
    <definedName name="_xlnm._FilterDatabase" localSheetId="17" hidden="1">'FABRIC &amp; TRIMS  (2)'!$A$2:$AI$33</definedName>
    <definedName name="_xlnm.Print_Area" localSheetId="5">'FABRIC &amp; TRIMS '!$A$1:$S$32</definedName>
    <definedName name="_xlnm.Print_Area" localSheetId="17">'FABRIC &amp; TRIMS  (2)'!$A$2:$AJ$37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5" l="1"/>
  <c r="G15" i="5"/>
  <c r="F15" i="5"/>
  <c r="P7" i="3"/>
  <c r="F31" i="26"/>
  <c r="F30" i="26"/>
  <c r="F33" i="26"/>
  <c r="F38" i="26" s="1"/>
  <c r="D17" i="26"/>
  <c r="D15" i="26"/>
  <c r="D12" i="26"/>
  <c r="D10" i="26"/>
  <c r="J31" i="1" l="1"/>
  <c r="F31" i="25" l="1"/>
  <c r="F30" i="25"/>
  <c r="O24" i="25"/>
  <c r="K24" i="25"/>
  <c r="O23" i="25"/>
  <c r="K23" i="25"/>
  <c r="O22" i="25"/>
  <c r="K22" i="25"/>
  <c r="F22" i="25"/>
  <c r="F33" i="25" s="1"/>
  <c r="F38" i="25" s="1"/>
  <c r="D17" i="25"/>
  <c r="D15" i="25"/>
  <c r="D12" i="25"/>
  <c r="D10" i="25"/>
  <c r="F31" i="24"/>
  <c r="F30" i="24"/>
  <c r="O24" i="24"/>
  <c r="K24" i="24"/>
  <c r="O23" i="24"/>
  <c r="K23" i="24"/>
  <c r="O22" i="24"/>
  <c r="K22" i="24"/>
  <c r="F22" i="24"/>
  <c r="F33" i="24" s="1"/>
  <c r="F38" i="24" s="1"/>
  <c r="D17" i="24"/>
  <c r="D15" i="24"/>
  <c r="D12" i="24"/>
  <c r="D10" i="24"/>
  <c r="F25" i="16"/>
  <c r="F24" i="16"/>
  <c r="F23" i="16"/>
  <c r="F22" i="16"/>
  <c r="O24" i="16"/>
  <c r="K24" i="16"/>
  <c r="O23" i="16"/>
  <c r="K23" i="16"/>
  <c r="O22" i="16"/>
  <c r="K22" i="16"/>
  <c r="E23" i="18" l="1"/>
  <c r="E22" i="18"/>
  <c r="E31" i="23" l="1"/>
  <c r="AB30" i="23"/>
  <c r="W30" i="23"/>
  <c r="Z30" i="23" s="1"/>
  <c r="V30" i="23"/>
  <c r="S30" i="23"/>
  <c r="Q30" i="23" s="1"/>
  <c r="P30" i="23"/>
  <c r="T30" i="23" s="1"/>
  <c r="R30" i="23" s="1"/>
  <c r="AB29" i="23"/>
  <c r="W29" i="23"/>
  <c r="Z29" i="23" s="1"/>
  <c r="V29" i="23"/>
  <c r="S29" i="23"/>
  <c r="Q29" i="23" s="1"/>
  <c r="P29" i="23"/>
  <c r="T29" i="23" s="1"/>
  <c r="R29" i="23" s="1"/>
  <c r="AB28" i="23"/>
  <c r="W28" i="23"/>
  <c r="Z28" i="23" s="1"/>
  <c r="V28" i="23"/>
  <c r="S28" i="23"/>
  <c r="Q28" i="23" s="1"/>
  <c r="P28" i="23"/>
  <c r="T28" i="23" s="1"/>
  <c r="R28" i="23" s="1"/>
  <c r="AB27" i="23"/>
  <c r="W27" i="23"/>
  <c r="Z27" i="23" s="1"/>
  <c r="V27" i="23"/>
  <c r="S27" i="23"/>
  <c r="Q27" i="23" s="1"/>
  <c r="P27" i="23"/>
  <c r="T27" i="23" s="1"/>
  <c r="R27" i="23" s="1"/>
  <c r="AB26" i="23"/>
  <c r="W26" i="23"/>
  <c r="Z26" i="23" s="1"/>
  <c r="V26" i="23"/>
  <c r="S26" i="23"/>
  <c r="Q26" i="23" s="1"/>
  <c r="P26" i="23"/>
  <c r="T26" i="23" s="1"/>
  <c r="R26" i="23" s="1"/>
  <c r="AB25" i="23"/>
  <c r="W25" i="23"/>
  <c r="Z25" i="23" s="1"/>
  <c r="V25" i="23"/>
  <c r="S25" i="23"/>
  <c r="P25" i="23"/>
  <c r="T25" i="23" s="1"/>
  <c r="E24" i="23"/>
  <c r="AB23" i="23"/>
  <c r="W23" i="23"/>
  <c r="Z23" i="23" s="1"/>
  <c r="V23" i="23"/>
  <c r="S23" i="23"/>
  <c r="Q23" i="23" s="1"/>
  <c r="P23" i="23"/>
  <c r="T23" i="23" s="1"/>
  <c r="R23" i="23" s="1"/>
  <c r="AB22" i="23"/>
  <c r="W22" i="23"/>
  <c r="Z22" i="23" s="1"/>
  <c r="V22" i="23"/>
  <c r="S22" i="23"/>
  <c r="Q22" i="23" s="1"/>
  <c r="P22" i="23"/>
  <c r="T22" i="23" s="1"/>
  <c r="R22" i="23" s="1"/>
  <c r="AB21" i="23"/>
  <c r="W21" i="23"/>
  <c r="Z21" i="23" s="1"/>
  <c r="V21" i="23"/>
  <c r="S21" i="23"/>
  <c r="Q21" i="23" s="1"/>
  <c r="P21" i="23"/>
  <c r="T21" i="23" s="1"/>
  <c r="R21" i="23" s="1"/>
  <c r="AB20" i="23"/>
  <c r="W20" i="23"/>
  <c r="Z20" i="23" s="1"/>
  <c r="V20" i="23"/>
  <c r="S20" i="23"/>
  <c r="Q20" i="23" s="1"/>
  <c r="P20" i="23"/>
  <c r="T20" i="23" s="1"/>
  <c r="R20" i="23" s="1"/>
  <c r="AB19" i="23"/>
  <c r="W19" i="23"/>
  <c r="Z19" i="23" s="1"/>
  <c r="V19" i="23"/>
  <c r="S19" i="23"/>
  <c r="Q19" i="23" s="1"/>
  <c r="P19" i="23"/>
  <c r="T19" i="23" s="1"/>
  <c r="R19" i="23" s="1"/>
  <c r="AB18" i="23"/>
  <c r="W18" i="23"/>
  <c r="Z18" i="23" s="1"/>
  <c r="V18" i="23"/>
  <c r="S18" i="23"/>
  <c r="P18" i="23"/>
  <c r="E17" i="23"/>
  <c r="AB16" i="23"/>
  <c r="W16" i="23"/>
  <c r="Z16" i="23" s="1"/>
  <c r="V16" i="23"/>
  <c r="S16" i="23"/>
  <c r="Q16" i="23" s="1"/>
  <c r="P16" i="23"/>
  <c r="T16" i="23" s="1"/>
  <c r="R16" i="23" s="1"/>
  <c r="AB15" i="23"/>
  <c r="W15" i="23"/>
  <c r="Z15" i="23" s="1"/>
  <c r="V15" i="23"/>
  <c r="S15" i="23"/>
  <c r="Q15" i="23" s="1"/>
  <c r="P15" i="23"/>
  <c r="T15" i="23" s="1"/>
  <c r="R15" i="23" s="1"/>
  <c r="AB14" i="23"/>
  <c r="W14" i="23"/>
  <c r="Z14" i="23" s="1"/>
  <c r="V14" i="23"/>
  <c r="S14" i="23"/>
  <c r="Q14" i="23" s="1"/>
  <c r="P14" i="23"/>
  <c r="T14" i="23" s="1"/>
  <c r="R14" i="23" s="1"/>
  <c r="AB13" i="23"/>
  <c r="W13" i="23"/>
  <c r="Z13" i="23" s="1"/>
  <c r="V13" i="23"/>
  <c r="S13" i="23"/>
  <c r="Q13" i="23" s="1"/>
  <c r="P13" i="23"/>
  <c r="T13" i="23" s="1"/>
  <c r="R13" i="23" s="1"/>
  <c r="AB12" i="23"/>
  <c r="W12" i="23"/>
  <c r="Z12" i="23" s="1"/>
  <c r="V12" i="23"/>
  <c r="S12" i="23"/>
  <c r="Q12" i="23" s="1"/>
  <c r="P12" i="23"/>
  <c r="T12" i="23" s="1"/>
  <c r="R12" i="23" s="1"/>
  <c r="AB11" i="23"/>
  <c r="W11" i="23"/>
  <c r="Z11" i="23" s="1"/>
  <c r="V11" i="23"/>
  <c r="S11" i="23"/>
  <c r="P11" i="23"/>
  <c r="E10" i="23"/>
  <c r="AB9" i="23"/>
  <c r="W9" i="23"/>
  <c r="Z9" i="23" s="1"/>
  <c r="V9" i="23"/>
  <c r="S9" i="23"/>
  <c r="Q9" i="23"/>
  <c r="P9" i="23"/>
  <c r="T9" i="23" s="1"/>
  <c r="R9" i="23" s="1"/>
  <c r="AB8" i="23"/>
  <c r="W8" i="23"/>
  <c r="Z8" i="23" s="1"/>
  <c r="V8" i="23"/>
  <c r="S8" i="23"/>
  <c r="Q8" i="23" s="1"/>
  <c r="P8" i="23"/>
  <c r="T8" i="23" s="1"/>
  <c r="R8" i="23" s="1"/>
  <c r="AB7" i="23"/>
  <c r="W7" i="23"/>
  <c r="Z7" i="23" s="1"/>
  <c r="V7" i="23"/>
  <c r="S7" i="23"/>
  <c r="Q7" i="23" s="1"/>
  <c r="P7" i="23"/>
  <c r="T7" i="23" s="1"/>
  <c r="R7" i="23" s="1"/>
  <c r="AB6" i="23"/>
  <c r="W6" i="23"/>
  <c r="Z6" i="23" s="1"/>
  <c r="V6" i="23"/>
  <c r="S6" i="23"/>
  <c r="Q6" i="23"/>
  <c r="P6" i="23"/>
  <c r="T6" i="23" s="1"/>
  <c r="R6" i="23" s="1"/>
  <c r="AB5" i="23"/>
  <c r="W5" i="23"/>
  <c r="Z5" i="23" s="1"/>
  <c r="V5" i="23"/>
  <c r="S5" i="23"/>
  <c r="Q5" i="23" s="1"/>
  <c r="P5" i="23"/>
  <c r="T5" i="23" s="1"/>
  <c r="R5" i="23" s="1"/>
  <c r="AB4" i="23"/>
  <c r="W4" i="23"/>
  <c r="Z4" i="23" s="1"/>
  <c r="V4" i="23"/>
  <c r="S4" i="23"/>
  <c r="P4" i="23"/>
  <c r="T4" i="23" s="1"/>
  <c r="AD25" i="15"/>
  <c r="AA30" i="15"/>
  <c r="AD30" i="15" s="1"/>
  <c r="Z30" i="15"/>
  <c r="AA29" i="15"/>
  <c r="AD29" i="15" s="1"/>
  <c r="Z29" i="15"/>
  <c r="AA28" i="15"/>
  <c r="AD28" i="15" s="1"/>
  <c r="Z28" i="15"/>
  <c r="AA27" i="15"/>
  <c r="AD27" i="15" s="1"/>
  <c r="Z27" i="15"/>
  <c r="AA26" i="15"/>
  <c r="AD26" i="15" s="1"/>
  <c r="Z26" i="15"/>
  <c r="AA25" i="15"/>
  <c r="Z25" i="15"/>
  <c r="AA23" i="15"/>
  <c r="AD23" i="15" s="1"/>
  <c r="Z23" i="15"/>
  <c r="AA22" i="15"/>
  <c r="AD22" i="15" s="1"/>
  <c r="Z22" i="15"/>
  <c r="AA21" i="15"/>
  <c r="AD21" i="15" s="1"/>
  <c r="Z21" i="15"/>
  <c r="AA20" i="15"/>
  <c r="AD20" i="15" s="1"/>
  <c r="Z20" i="15"/>
  <c r="AA19" i="15"/>
  <c r="AD19" i="15" s="1"/>
  <c r="Z19" i="15"/>
  <c r="AA18" i="15"/>
  <c r="AD18" i="15" s="1"/>
  <c r="Z18" i="15"/>
  <c r="AA16" i="15"/>
  <c r="Z16" i="15"/>
  <c r="AA15" i="15"/>
  <c r="AD15" i="15" s="1"/>
  <c r="Z15" i="15"/>
  <c r="AA14" i="15"/>
  <c r="AD14" i="15" s="1"/>
  <c r="Z14" i="15"/>
  <c r="AA13" i="15"/>
  <c r="AD13" i="15" s="1"/>
  <c r="Z13" i="15"/>
  <c r="AA12" i="15"/>
  <c r="AD12" i="15" s="1"/>
  <c r="Z12" i="15"/>
  <c r="AA11" i="15"/>
  <c r="AD11" i="15" s="1"/>
  <c r="Z11" i="15"/>
  <c r="AA9" i="15"/>
  <c r="AD9" i="15" s="1"/>
  <c r="AA8" i="15"/>
  <c r="AD8" i="15" s="1"/>
  <c r="AA7" i="15"/>
  <c r="AD7" i="15" s="1"/>
  <c r="AA6" i="15"/>
  <c r="AD6" i="15" s="1"/>
  <c r="AA5" i="15"/>
  <c r="AD5" i="15" s="1"/>
  <c r="AA4" i="15"/>
  <c r="AD4" i="15" s="1"/>
  <c r="Z9" i="15"/>
  <c r="Z8" i="15"/>
  <c r="Z7" i="15"/>
  <c r="Z6" i="15"/>
  <c r="Z5" i="15"/>
  <c r="Z4" i="15"/>
  <c r="AD16" i="15"/>
  <c r="F30" i="18"/>
  <c r="F29" i="18"/>
  <c r="F28" i="18"/>
  <c r="F27" i="18"/>
  <c r="F34" i="18"/>
  <c r="F33" i="18"/>
  <c r="F32" i="18"/>
  <c r="F31" i="18"/>
  <c r="F26" i="18"/>
  <c r="Q17" i="3"/>
  <c r="O16" i="3"/>
  <c r="O17" i="2"/>
  <c r="N16" i="2"/>
  <c r="I16" i="3"/>
  <c r="I16" i="2"/>
  <c r="R17" i="4"/>
  <c r="I16" i="4"/>
  <c r="O20" i="1"/>
  <c r="N19" i="1"/>
  <c r="N18" i="1"/>
  <c r="O17" i="1"/>
  <c r="O18" i="1" s="1"/>
  <c r="N17" i="1"/>
  <c r="I16" i="1"/>
  <c r="F31" i="21"/>
  <c r="F30" i="21"/>
  <c r="F25" i="21"/>
  <c r="F24" i="21"/>
  <c r="F23" i="21"/>
  <c r="F22" i="21"/>
  <c r="F33" i="21" s="1"/>
  <c r="F38" i="21" s="1"/>
  <c r="D17" i="21"/>
  <c r="D15" i="21"/>
  <c r="D12" i="21"/>
  <c r="D10" i="21"/>
  <c r="F31" i="20"/>
  <c r="F30" i="20"/>
  <c r="F25" i="20"/>
  <c r="F24" i="20"/>
  <c r="F23" i="20"/>
  <c r="F22" i="20"/>
  <c r="D17" i="20"/>
  <c r="D15" i="20"/>
  <c r="D12" i="20"/>
  <c r="D10" i="20"/>
  <c r="F31" i="19"/>
  <c r="F30" i="19"/>
  <c r="F25" i="19"/>
  <c r="F24" i="19"/>
  <c r="F23" i="19"/>
  <c r="F22" i="19"/>
  <c r="D17" i="19"/>
  <c r="D15" i="19"/>
  <c r="D12" i="19"/>
  <c r="D10" i="19"/>
  <c r="F35" i="18"/>
  <c r="F25" i="18"/>
  <c r="F24" i="18"/>
  <c r="F23" i="18"/>
  <c r="F22" i="18"/>
  <c r="D17" i="18"/>
  <c r="D15" i="18"/>
  <c r="D12" i="18"/>
  <c r="D10" i="18"/>
  <c r="W30" i="15"/>
  <c r="U30" i="15" s="1"/>
  <c r="W29" i="15"/>
  <c r="U29" i="15" s="1"/>
  <c r="W28" i="15"/>
  <c r="U28" i="15" s="1"/>
  <c r="W27" i="15"/>
  <c r="U27" i="15" s="1"/>
  <c r="W26" i="15"/>
  <c r="U26" i="15" s="1"/>
  <c r="W25" i="15"/>
  <c r="U25" i="15" s="1"/>
  <c r="W23" i="15"/>
  <c r="U23" i="15" s="1"/>
  <c r="W22" i="15"/>
  <c r="U22" i="15" s="1"/>
  <c r="W21" i="15"/>
  <c r="U21" i="15" s="1"/>
  <c r="W20" i="15"/>
  <c r="U20" i="15" s="1"/>
  <c r="W19" i="15"/>
  <c r="U19" i="15" s="1"/>
  <c r="W18" i="15"/>
  <c r="U18" i="15" s="1"/>
  <c r="W16" i="15"/>
  <c r="U16" i="15" s="1"/>
  <c r="W15" i="15"/>
  <c r="U15" i="15" s="1"/>
  <c r="W14" i="15"/>
  <c r="U14" i="15" s="1"/>
  <c r="W13" i="15"/>
  <c r="U13" i="15" s="1"/>
  <c r="W12" i="15"/>
  <c r="U12" i="15" s="1"/>
  <c r="W11" i="15"/>
  <c r="U11" i="15" s="1"/>
  <c r="W9" i="15"/>
  <c r="U9" i="15" s="1"/>
  <c r="W8" i="15"/>
  <c r="U8" i="15" s="1"/>
  <c r="W7" i="15"/>
  <c r="U7" i="15" s="1"/>
  <c r="W6" i="15"/>
  <c r="U6" i="15" s="1"/>
  <c r="W5" i="15"/>
  <c r="U5" i="15" s="1"/>
  <c r="W4" i="15"/>
  <c r="U4" i="15" s="1"/>
  <c r="I15" i="1"/>
  <c r="I15" i="2"/>
  <c r="I15" i="3"/>
  <c r="M15" i="3" s="1"/>
  <c r="P15" i="3" s="1"/>
  <c r="G16" i="1"/>
  <c r="J33" i="1"/>
  <c r="J30" i="1"/>
  <c r="T30" i="15"/>
  <c r="X30" i="15" s="1"/>
  <c r="T29" i="15"/>
  <c r="X29" i="15" s="1"/>
  <c r="T28" i="15"/>
  <c r="X28" i="15" s="1"/>
  <c r="T27" i="15"/>
  <c r="X27" i="15" s="1"/>
  <c r="T26" i="15"/>
  <c r="X26" i="15" s="1"/>
  <c r="T25" i="15"/>
  <c r="X25" i="15" s="1"/>
  <c r="T23" i="15"/>
  <c r="X23" i="15" s="1"/>
  <c r="T22" i="15"/>
  <c r="X22" i="15" s="1"/>
  <c r="T21" i="15"/>
  <c r="X21" i="15" s="1"/>
  <c r="T20" i="15"/>
  <c r="X20" i="15" s="1"/>
  <c r="T19" i="15"/>
  <c r="X19" i="15" s="1"/>
  <c r="T18" i="15"/>
  <c r="X18" i="15" s="1"/>
  <c r="T16" i="15"/>
  <c r="X16" i="15" s="1"/>
  <c r="T15" i="15"/>
  <c r="X15" i="15" s="1"/>
  <c r="T14" i="15"/>
  <c r="X14" i="15" s="1"/>
  <c r="T13" i="15"/>
  <c r="X13" i="15" s="1"/>
  <c r="T12" i="15"/>
  <c r="X12" i="15" s="1"/>
  <c r="T11" i="15"/>
  <c r="X11" i="15" s="1"/>
  <c r="T9" i="15"/>
  <c r="X9" i="15" s="1"/>
  <c r="T8" i="15"/>
  <c r="X8" i="15" s="1"/>
  <c r="T7" i="15"/>
  <c r="X7" i="15" s="1"/>
  <c r="T6" i="15"/>
  <c r="X6" i="15" s="1"/>
  <c r="T5" i="15"/>
  <c r="X5" i="15" s="1"/>
  <c r="T4" i="15"/>
  <c r="X4" i="15" s="1"/>
  <c r="P31" i="15"/>
  <c r="E31" i="15"/>
  <c r="P24" i="15"/>
  <c r="E24" i="15"/>
  <c r="P17" i="15"/>
  <c r="E17" i="15"/>
  <c r="E10" i="15"/>
  <c r="F31" i="17"/>
  <c r="F30" i="17"/>
  <c r="D17" i="17"/>
  <c r="D15" i="17"/>
  <c r="D12" i="17"/>
  <c r="D10" i="17"/>
  <c r="F31" i="16"/>
  <c r="F30" i="16"/>
  <c r="D17" i="16"/>
  <c r="D15" i="16"/>
  <c r="D12" i="16"/>
  <c r="D10" i="16"/>
  <c r="AE12" i="23" l="1"/>
  <c r="AJ12" i="23" s="1"/>
  <c r="AE16" i="23"/>
  <c r="AJ16" i="23" s="1"/>
  <c r="AH20" i="23"/>
  <c r="AE20" i="23"/>
  <c r="AJ20" i="23" s="1"/>
  <c r="AH28" i="23"/>
  <c r="AE28" i="23"/>
  <c r="AH6" i="23"/>
  <c r="AE6" i="23"/>
  <c r="AH9" i="23"/>
  <c r="AE9" i="23"/>
  <c r="AJ9" i="23" s="1"/>
  <c r="AE13" i="23"/>
  <c r="AJ13" i="23" s="1"/>
  <c r="AH21" i="23"/>
  <c r="AE21" i="23"/>
  <c r="AJ21" i="23" s="1"/>
  <c r="AH25" i="23"/>
  <c r="AE25" i="23"/>
  <c r="AH29" i="23"/>
  <c r="AE29" i="23"/>
  <c r="AJ29" i="23" s="1"/>
  <c r="AE4" i="23"/>
  <c r="AJ4" i="23" s="1"/>
  <c r="AH7" i="23"/>
  <c r="AE7" i="23"/>
  <c r="AJ7" i="23" s="1"/>
  <c r="AE14" i="23"/>
  <c r="AJ14" i="23" s="1"/>
  <c r="AH18" i="23"/>
  <c r="AE18" i="23"/>
  <c r="AJ18" i="23" s="1"/>
  <c r="AH22" i="23"/>
  <c r="AE22" i="23"/>
  <c r="AJ22" i="23" s="1"/>
  <c r="AH26" i="23"/>
  <c r="AE26" i="23"/>
  <c r="AJ26" i="23" s="1"/>
  <c r="AH30" i="23"/>
  <c r="AE30" i="23"/>
  <c r="AH5" i="23"/>
  <c r="AE5" i="23"/>
  <c r="AJ5" i="23" s="1"/>
  <c r="AE8" i="23"/>
  <c r="AJ8" i="23" s="1"/>
  <c r="AE11" i="23"/>
  <c r="AJ11" i="23" s="1"/>
  <c r="AE15" i="23"/>
  <c r="AJ15" i="23" s="1"/>
  <c r="AH19" i="23"/>
  <c r="AE19" i="23"/>
  <c r="AJ19" i="23" s="1"/>
  <c r="AH23" i="23"/>
  <c r="AE23" i="23"/>
  <c r="AJ23" i="23" s="1"/>
  <c r="AH27" i="23"/>
  <c r="AE27" i="23"/>
  <c r="AJ27" i="23" s="1"/>
  <c r="P17" i="23"/>
  <c r="P24" i="23"/>
  <c r="S31" i="23"/>
  <c r="AJ25" i="23"/>
  <c r="E32" i="23"/>
  <c r="AH13" i="23"/>
  <c r="AH15" i="23"/>
  <c r="AH4" i="23"/>
  <c r="AH11" i="23"/>
  <c r="S24" i="23"/>
  <c r="AH8" i="23"/>
  <c r="AJ6" i="23"/>
  <c r="S17" i="23"/>
  <c r="AH12" i="23"/>
  <c r="AH16" i="23"/>
  <c r="Q25" i="23"/>
  <c r="Q31" i="23" s="1"/>
  <c r="AJ30" i="23"/>
  <c r="AH14" i="23"/>
  <c r="AJ28" i="23"/>
  <c r="R4" i="23"/>
  <c r="T10" i="23"/>
  <c r="T31" i="23"/>
  <c r="R25" i="23"/>
  <c r="R31" i="23" s="1"/>
  <c r="T11" i="23"/>
  <c r="Q18" i="23"/>
  <c r="Q24" i="23" s="1"/>
  <c r="P31" i="23"/>
  <c r="P10" i="23"/>
  <c r="P32" i="23" s="1"/>
  <c r="T18" i="23"/>
  <c r="Q4" i="23"/>
  <c r="Q11" i="23"/>
  <c r="Q17" i="23" s="1"/>
  <c r="S10" i="23"/>
  <c r="O19" i="1"/>
  <c r="O21" i="1" s="1"/>
  <c r="Q21" i="3" s="1"/>
  <c r="F33" i="20"/>
  <c r="F38" i="20" s="1"/>
  <c r="F33" i="19"/>
  <c r="F38" i="19" s="1"/>
  <c r="F37" i="18"/>
  <c r="F42" i="18" s="1"/>
  <c r="E32" i="15"/>
  <c r="S32" i="23" l="1"/>
  <c r="T17" i="23"/>
  <c r="R11" i="23"/>
  <c r="R17" i="23" s="1"/>
  <c r="R10" i="23"/>
  <c r="Q10" i="23"/>
  <c r="Q32" i="23" s="1"/>
  <c r="T24" i="23"/>
  <c r="T32" i="23" s="1"/>
  <c r="R18" i="23"/>
  <c r="R24" i="23" s="1"/>
  <c r="AF30" i="15"/>
  <c r="AF29" i="15"/>
  <c r="AF28" i="15"/>
  <c r="AF27" i="15"/>
  <c r="AF26" i="15"/>
  <c r="AF25" i="15"/>
  <c r="AF23" i="15"/>
  <c r="AF22" i="15"/>
  <c r="AF21" i="15"/>
  <c r="AF20" i="15"/>
  <c r="AF19" i="15"/>
  <c r="AF18" i="15"/>
  <c r="AF16" i="15"/>
  <c r="AF15" i="15"/>
  <c r="AF14" i="15"/>
  <c r="AF13" i="15"/>
  <c r="AF12" i="15"/>
  <c r="AF11" i="15"/>
  <c r="AF9" i="15"/>
  <c r="AF8" i="15"/>
  <c r="AF7" i="15"/>
  <c r="AF6" i="15"/>
  <c r="AF5" i="15"/>
  <c r="AF4" i="15"/>
  <c r="V30" i="15"/>
  <c r="V29" i="15"/>
  <c r="V28" i="15"/>
  <c r="V27" i="15"/>
  <c r="V23" i="15"/>
  <c r="V22" i="15"/>
  <c r="V21" i="15"/>
  <c r="V20" i="15"/>
  <c r="V19" i="15"/>
  <c r="V16" i="15"/>
  <c r="V15" i="15"/>
  <c r="V14" i="15"/>
  <c r="V13" i="15"/>
  <c r="V12" i="15"/>
  <c r="V9" i="15"/>
  <c r="V7" i="15"/>
  <c r="V6" i="15"/>
  <c r="V5" i="15"/>
  <c r="P9" i="15"/>
  <c r="P8" i="15"/>
  <c r="P7" i="15"/>
  <c r="P6" i="15"/>
  <c r="P5" i="15"/>
  <c r="P4" i="15"/>
  <c r="F31" i="7"/>
  <c r="F30" i="7"/>
  <c r="D17" i="7"/>
  <c r="D15" i="7"/>
  <c r="D12" i="7"/>
  <c r="D10" i="7"/>
  <c r="R32" i="23" l="1"/>
  <c r="AI4" i="15"/>
  <c r="AN4" i="15" s="1"/>
  <c r="AL4" i="15"/>
  <c r="AI8" i="15"/>
  <c r="AN8" i="15" s="1"/>
  <c r="AL8" i="15"/>
  <c r="AI13" i="15"/>
  <c r="AN13" i="15" s="1"/>
  <c r="AL13" i="15"/>
  <c r="AI18" i="15"/>
  <c r="AN18" i="15" s="1"/>
  <c r="AL18" i="15"/>
  <c r="AI22" i="15"/>
  <c r="AN22" i="15" s="1"/>
  <c r="AL22" i="15"/>
  <c r="AI27" i="15"/>
  <c r="AN27" i="15" s="1"/>
  <c r="AL27" i="15"/>
  <c r="AI5" i="15"/>
  <c r="AN5" i="15" s="1"/>
  <c r="AL5" i="15"/>
  <c r="AI9" i="15"/>
  <c r="AN9" i="15" s="1"/>
  <c r="AL9" i="15"/>
  <c r="AI14" i="15"/>
  <c r="AN14" i="15" s="1"/>
  <c r="AL14" i="15"/>
  <c r="AI19" i="15"/>
  <c r="AN19" i="15" s="1"/>
  <c r="AL19" i="15"/>
  <c r="AI23" i="15"/>
  <c r="AN23" i="15" s="1"/>
  <c r="AL23" i="15"/>
  <c r="AI28" i="15"/>
  <c r="AN28" i="15" s="1"/>
  <c r="AL28" i="15"/>
  <c r="AI6" i="15"/>
  <c r="AN6" i="15" s="1"/>
  <c r="AL6" i="15"/>
  <c r="AI11" i="15"/>
  <c r="AN11" i="15" s="1"/>
  <c r="AL11" i="15"/>
  <c r="AI15" i="15"/>
  <c r="AN15" i="15" s="1"/>
  <c r="AL15" i="15"/>
  <c r="AI20" i="15"/>
  <c r="AN20" i="15" s="1"/>
  <c r="AL20" i="15"/>
  <c r="AI25" i="15"/>
  <c r="AN25" i="15" s="1"/>
  <c r="AL25" i="15"/>
  <c r="AI29" i="15"/>
  <c r="AN29" i="15" s="1"/>
  <c r="AL29" i="15"/>
  <c r="AI7" i="15"/>
  <c r="AN7" i="15" s="1"/>
  <c r="AL7" i="15"/>
  <c r="AI12" i="15"/>
  <c r="AN12" i="15" s="1"/>
  <c r="AL12" i="15"/>
  <c r="AI16" i="15"/>
  <c r="AN16" i="15" s="1"/>
  <c r="AL16" i="15"/>
  <c r="AI21" i="15"/>
  <c r="AN21" i="15" s="1"/>
  <c r="AL21" i="15"/>
  <c r="AI26" i="15"/>
  <c r="AN26" i="15" s="1"/>
  <c r="AL26" i="15"/>
  <c r="AI30" i="15"/>
  <c r="AN30" i="15" s="1"/>
  <c r="AL30" i="15"/>
  <c r="T17" i="15"/>
  <c r="T31" i="15"/>
  <c r="V4" i="15"/>
  <c r="T10" i="15"/>
  <c r="X24" i="15"/>
  <c r="T24" i="15"/>
  <c r="P10" i="15"/>
  <c r="P32" i="15" s="1"/>
  <c r="V26" i="15"/>
  <c r="F29" i="7" s="1"/>
  <c r="X17" i="15"/>
  <c r="V8" i="15"/>
  <c r="I15" i="4"/>
  <c r="M15" i="4" s="1"/>
  <c r="P15" i="4" s="1"/>
  <c r="M15" i="1"/>
  <c r="J15" i="3"/>
  <c r="M7" i="2"/>
  <c r="J7" i="2"/>
  <c r="M40" i="1"/>
  <c r="J40" i="1"/>
  <c r="L36" i="1"/>
  <c r="F35" i="1"/>
  <c r="F34" i="1"/>
  <c r="K33" i="1"/>
  <c r="G33" i="1"/>
  <c r="F32" i="1"/>
  <c r="J32" i="1" s="1"/>
  <c r="F31" i="1"/>
  <c r="K30" i="1"/>
  <c r="G30" i="1"/>
  <c r="F29" i="1"/>
  <c r="F28" i="1"/>
  <c r="F27" i="1"/>
  <c r="F26" i="1"/>
  <c r="F23" i="1"/>
  <c r="G23" i="1" s="1"/>
  <c r="F22" i="1"/>
  <c r="G22" i="1" s="1"/>
  <c r="F21" i="1"/>
  <c r="G21" i="1" s="1"/>
  <c r="F20" i="1"/>
  <c r="F19" i="1"/>
  <c r="G19" i="1" s="1"/>
  <c r="F16" i="1"/>
  <c r="F15" i="1"/>
  <c r="M10" i="1"/>
  <c r="G10" i="1"/>
  <c r="F10" i="1"/>
  <c r="J8" i="1"/>
  <c r="J10" i="1" s="1"/>
  <c r="K7" i="1"/>
  <c r="K6" i="1"/>
  <c r="N40" i="4"/>
  <c r="M40" i="4"/>
  <c r="J40" i="4"/>
  <c r="L36" i="4"/>
  <c r="J35" i="4"/>
  <c r="K35" i="4" s="1"/>
  <c r="F35" i="4"/>
  <c r="G35" i="4" s="1"/>
  <c r="F34" i="4"/>
  <c r="G34" i="4" s="1"/>
  <c r="K33" i="4"/>
  <c r="F33" i="4"/>
  <c r="G33" i="4" s="1"/>
  <c r="F32" i="4"/>
  <c r="J32" i="4" s="1"/>
  <c r="K31" i="4"/>
  <c r="F31" i="4"/>
  <c r="G31" i="4" s="1"/>
  <c r="K30" i="4"/>
  <c r="F30" i="4"/>
  <c r="G30" i="4" s="1"/>
  <c r="F29" i="4"/>
  <c r="J29" i="4" s="1"/>
  <c r="K29" i="4" s="1"/>
  <c r="F28" i="4"/>
  <c r="J28" i="4" s="1"/>
  <c r="K28" i="4" s="1"/>
  <c r="F27" i="4"/>
  <c r="J27" i="4" s="1"/>
  <c r="K27" i="4" s="1"/>
  <c r="F26" i="4"/>
  <c r="G26" i="4" s="1"/>
  <c r="F23" i="4"/>
  <c r="F22" i="4"/>
  <c r="F21" i="4"/>
  <c r="F20" i="4"/>
  <c r="F19" i="4"/>
  <c r="J16" i="4"/>
  <c r="K16" i="4" s="1"/>
  <c r="M16" i="4"/>
  <c r="F16" i="4"/>
  <c r="N15" i="4"/>
  <c r="Q15" i="4" s="1"/>
  <c r="J15" i="4"/>
  <c r="O15" i="4" s="1"/>
  <c r="F15" i="4"/>
  <c r="N10" i="4"/>
  <c r="M10" i="4"/>
  <c r="G10" i="4"/>
  <c r="F10" i="4"/>
  <c r="J8" i="4"/>
  <c r="J10" i="4" s="1"/>
  <c r="K7" i="4"/>
  <c r="K6" i="4"/>
  <c r="K10" i="4" s="1"/>
  <c r="M40" i="2"/>
  <c r="J40" i="2"/>
  <c r="L36" i="2"/>
  <c r="J35" i="2"/>
  <c r="K35" i="2" s="1"/>
  <c r="F35" i="2"/>
  <c r="G35" i="2" s="1"/>
  <c r="F34" i="2"/>
  <c r="J34" i="2" s="1"/>
  <c r="K34" i="2" s="1"/>
  <c r="K33" i="2"/>
  <c r="F33" i="2"/>
  <c r="G33" i="2" s="1"/>
  <c r="F32" i="2"/>
  <c r="J32" i="2" s="1"/>
  <c r="K31" i="2"/>
  <c r="F31" i="2"/>
  <c r="G31" i="2" s="1"/>
  <c r="K30" i="2"/>
  <c r="F30" i="2"/>
  <c r="G30" i="2" s="1"/>
  <c r="F29" i="2"/>
  <c r="G29" i="2" s="1"/>
  <c r="J28" i="2"/>
  <c r="K28" i="2" s="1"/>
  <c r="F28" i="2"/>
  <c r="G28" i="2" s="1"/>
  <c r="F27" i="2"/>
  <c r="J27" i="2" s="1"/>
  <c r="K27" i="2" s="1"/>
  <c r="F26" i="2"/>
  <c r="J26" i="2" s="1"/>
  <c r="K26" i="2" s="1"/>
  <c r="J23" i="2"/>
  <c r="K23" i="2" s="1"/>
  <c r="F23" i="2"/>
  <c r="G23" i="2" s="1"/>
  <c r="K22" i="2"/>
  <c r="G22" i="2"/>
  <c r="F22" i="2"/>
  <c r="J21" i="2"/>
  <c r="K21" i="2" s="1"/>
  <c r="F21" i="2"/>
  <c r="G21" i="2" s="1"/>
  <c r="F20" i="2"/>
  <c r="G20" i="2" s="1"/>
  <c r="K20" i="2" s="1"/>
  <c r="F19" i="2"/>
  <c r="G19" i="2" s="1"/>
  <c r="J19" i="2" s="1"/>
  <c r="M16" i="2"/>
  <c r="F16" i="2"/>
  <c r="M15" i="2"/>
  <c r="O15" i="2" s="1"/>
  <c r="J15" i="2"/>
  <c r="N15" i="2" s="1"/>
  <c r="F15" i="2"/>
  <c r="M10" i="2"/>
  <c r="G10" i="2"/>
  <c r="F10" i="2"/>
  <c r="J8" i="2"/>
  <c r="J10" i="2" s="1"/>
  <c r="K7" i="2"/>
  <c r="K6" i="2"/>
  <c r="K10" i="2" s="1"/>
  <c r="N40" i="3"/>
  <c r="M40" i="3"/>
  <c r="J40" i="3"/>
  <c r="L36" i="3"/>
  <c r="J35" i="3"/>
  <c r="K35" i="3" s="1"/>
  <c r="F35" i="3"/>
  <c r="G35" i="3" s="1"/>
  <c r="F34" i="3"/>
  <c r="J34" i="3" s="1"/>
  <c r="K34" i="3" s="1"/>
  <c r="K33" i="3"/>
  <c r="F33" i="3"/>
  <c r="G33" i="3" s="1"/>
  <c r="F32" i="3"/>
  <c r="J32" i="3" s="1"/>
  <c r="K31" i="3"/>
  <c r="F31" i="3"/>
  <c r="G31" i="3" s="1"/>
  <c r="K30" i="3"/>
  <c r="F30" i="3"/>
  <c r="G30" i="3" s="1"/>
  <c r="F29" i="3"/>
  <c r="J29" i="3" s="1"/>
  <c r="K29" i="3" s="1"/>
  <c r="F28" i="3"/>
  <c r="J28" i="3" s="1"/>
  <c r="K28" i="3" s="1"/>
  <c r="F27" i="3"/>
  <c r="J27" i="3" s="1"/>
  <c r="K27" i="3" s="1"/>
  <c r="F26" i="3"/>
  <c r="J26" i="3" s="1"/>
  <c r="K26" i="3" s="1"/>
  <c r="K23" i="3"/>
  <c r="J23" i="3"/>
  <c r="F23" i="3"/>
  <c r="G23" i="3" s="1"/>
  <c r="J22" i="3"/>
  <c r="K22" i="3" s="1"/>
  <c r="F22" i="3"/>
  <c r="G22" i="3" s="1"/>
  <c r="K21" i="3"/>
  <c r="J21" i="3"/>
  <c r="F21" i="3"/>
  <c r="G21" i="3" s="1"/>
  <c r="F20" i="3"/>
  <c r="G20" i="3" s="1"/>
  <c r="J20" i="3" s="1"/>
  <c r="K20" i="3" s="1"/>
  <c r="F19" i="3"/>
  <c r="G19" i="3" s="1"/>
  <c r="J19" i="3" s="1"/>
  <c r="M16" i="3"/>
  <c r="N16" i="3" s="1"/>
  <c r="J16" i="3"/>
  <c r="K16" i="3" s="1"/>
  <c r="F16" i="3"/>
  <c r="N15" i="3"/>
  <c r="Q15" i="3" s="1"/>
  <c r="F15" i="3"/>
  <c r="N10" i="3"/>
  <c r="M10" i="3"/>
  <c r="G10" i="3"/>
  <c r="F10" i="3"/>
  <c r="J8" i="3"/>
  <c r="J10" i="3" s="1"/>
  <c r="K7" i="3"/>
  <c r="K6" i="3"/>
  <c r="K10" i="3" s="1"/>
  <c r="G19" i="4" l="1"/>
  <c r="J19" i="4"/>
  <c r="G23" i="4"/>
  <c r="J23" i="4"/>
  <c r="J20" i="1"/>
  <c r="K20" i="1" s="1"/>
  <c r="G20" i="1"/>
  <c r="G32" i="3"/>
  <c r="J29" i="2"/>
  <c r="K29" i="2" s="1"/>
  <c r="G20" i="4"/>
  <c r="J20" i="4"/>
  <c r="R16" i="4"/>
  <c r="R18" i="4" s="1"/>
  <c r="Q20" i="3" s="1"/>
  <c r="G22" i="4"/>
  <c r="J22" i="4"/>
  <c r="O16" i="2"/>
  <c r="O18" i="2" s="1"/>
  <c r="Q19" i="3" s="1"/>
  <c r="G21" i="4"/>
  <c r="K21" i="4" s="1"/>
  <c r="J21" i="4"/>
  <c r="K15" i="3"/>
  <c r="O15" i="3"/>
  <c r="Q16" i="3" s="1"/>
  <c r="Q18" i="3" s="1"/>
  <c r="G35" i="1"/>
  <c r="J35" i="1"/>
  <c r="K35" i="1" s="1"/>
  <c r="J34" i="1"/>
  <c r="K34" i="1" s="1"/>
  <c r="G31" i="1"/>
  <c r="K31" i="1"/>
  <c r="J29" i="1"/>
  <c r="K29" i="1" s="1"/>
  <c r="J28" i="1"/>
  <c r="K28" i="1" s="1"/>
  <c r="J27" i="1"/>
  <c r="K27" i="1" s="1"/>
  <c r="J26" i="1"/>
  <c r="K26" i="1" s="1"/>
  <c r="J23" i="1"/>
  <c r="K23" i="1" s="1"/>
  <c r="K22" i="1"/>
  <c r="J21" i="1"/>
  <c r="K21" i="1" s="1"/>
  <c r="J19" i="1"/>
  <c r="G29" i="4"/>
  <c r="K26" i="4"/>
  <c r="K20" i="4"/>
  <c r="T32" i="15"/>
  <c r="W31" i="15"/>
  <c r="V10" i="15"/>
  <c r="W10" i="15"/>
  <c r="V25" i="15"/>
  <c r="V31" i="15" s="1"/>
  <c r="X31" i="15"/>
  <c r="W24" i="15"/>
  <c r="V18" i="15"/>
  <c r="X10" i="15"/>
  <c r="X32" i="15" s="1"/>
  <c r="W17" i="15"/>
  <c r="F22" i="17"/>
  <c r="F23" i="17"/>
  <c r="F24" i="17"/>
  <c r="F25" i="17"/>
  <c r="K17" i="3"/>
  <c r="F26" i="7"/>
  <c r="V11" i="15"/>
  <c r="M16" i="1"/>
  <c r="M17" i="1" s="1"/>
  <c r="J16" i="1"/>
  <c r="K16" i="1" s="1"/>
  <c r="M17" i="4"/>
  <c r="J15" i="1"/>
  <c r="K15" i="1" s="1"/>
  <c r="K10" i="1"/>
  <c r="G26" i="3"/>
  <c r="G27" i="3"/>
  <c r="G28" i="3"/>
  <c r="G29" i="3"/>
  <c r="J17" i="3"/>
  <c r="M17" i="3"/>
  <c r="G27" i="2"/>
  <c r="K15" i="2"/>
  <c r="J16" i="2"/>
  <c r="K16" i="2" s="1"/>
  <c r="G26" i="2"/>
  <c r="M17" i="2"/>
  <c r="G28" i="4"/>
  <c r="J17" i="4"/>
  <c r="G27" i="4"/>
  <c r="K15" i="4"/>
  <c r="K17" i="4" s="1"/>
  <c r="G26" i="1"/>
  <c r="G27" i="1"/>
  <c r="G28" i="1"/>
  <c r="G29" i="1"/>
  <c r="K19" i="1"/>
  <c r="J36" i="1"/>
  <c r="K32" i="1"/>
  <c r="G34" i="1"/>
  <c r="G32" i="1"/>
  <c r="J24" i="4"/>
  <c r="K19" i="4"/>
  <c r="N16" i="4"/>
  <c r="O16" i="4" s="1"/>
  <c r="K32" i="4"/>
  <c r="G32" i="4"/>
  <c r="J34" i="4"/>
  <c r="K34" i="4" s="1"/>
  <c r="J36" i="2"/>
  <c r="K32" i="2"/>
  <c r="K19" i="2"/>
  <c r="K24" i="2" s="1"/>
  <c r="J24" i="2"/>
  <c r="K36" i="2"/>
  <c r="G34" i="2"/>
  <c r="G32" i="2"/>
  <c r="J36" i="3"/>
  <c r="K32" i="3"/>
  <c r="N17" i="3"/>
  <c r="K19" i="3"/>
  <c r="K24" i="3" s="1"/>
  <c r="J24" i="3"/>
  <c r="K36" i="3"/>
  <c r="G34" i="3"/>
  <c r="J24" i="1" l="1"/>
  <c r="K23" i="4"/>
  <c r="K24" i="1"/>
  <c r="K22" i="4"/>
  <c r="J38" i="3"/>
  <c r="J39" i="3" s="1"/>
  <c r="J41" i="3" s="1"/>
  <c r="K17" i="1"/>
  <c r="K36" i="1"/>
  <c r="K24" i="4"/>
  <c r="K36" i="4"/>
  <c r="W32" i="15"/>
  <c r="F27" i="7"/>
  <c r="V17" i="15"/>
  <c r="U17" i="15"/>
  <c r="F23" i="7" s="1"/>
  <c r="U31" i="15"/>
  <c r="F25" i="7" s="1"/>
  <c r="F28" i="7"/>
  <c r="V24" i="15"/>
  <c r="U10" i="15"/>
  <c r="U24" i="15"/>
  <c r="F24" i="7" s="1"/>
  <c r="F33" i="16"/>
  <c r="F38" i="16" s="1"/>
  <c r="F33" i="17"/>
  <c r="F38" i="17" s="1"/>
  <c r="J17" i="1"/>
  <c r="J38" i="1" s="1"/>
  <c r="J39" i="1" s="1"/>
  <c r="J42" i="1" s="1"/>
  <c r="K38" i="3"/>
  <c r="K39" i="3" s="1"/>
  <c r="K17" i="2"/>
  <c r="K38" i="2" s="1"/>
  <c r="J17" i="2"/>
  <c r="J38" i="2" s="1"/>
  <c r="J39" i="2" s="1"/>
  <c r="M24" i="1"/>
  <c r="M36" i="1"/>
  <c r="M24" i="4"/>
  <c r="N17" i="4"/>
  <c r="J36" i="4"/>
  <c r="J38" i="4" s="1"/>
  <c r="J39" i="4" s="1"/>
  <c r="M36" i="2"/>
  <c r="M24" i="2"/>
  <c r="J42" i="3"/>
  <c r="J44" i="3" s="1"/>
  <c r="M36" i="3"/>
  <c r="N36" i="3"/>
  <c r="M24" i="3"/>
  <c r="K38" i="1" l="1"/>
  <c r="K38" i="4"/>
  <c r="K42" i="4" s="1"/>
  <c r="V32" i="15"/>
  <c r="U32" i="15"/>
  <c r="F22" i="7"/>
  <c r="F33" i="7" s="1"/>
  <c r="F38" i="7" s="1"/>
  <c r="K39" i="2"/>
  <c r="K42" i="2"/>
  <c r="K42" i="3"/>
  <c r="K44" i="3" s="1"/>
  <c r="J41" i="1"/>
  <c r="J44" i="1"/>
  <c r="M38" i="1"/>
  <c r="M39" i="1" s="1"/>
  <c r="K42" i="1"/>
  <c r="K39" i="1"/>
  <c r="J41" i="4"/>
  <c r="J42" i="4"/>
  <c r="J44" i="4" s="1"/>
  <c r="N24" i="4"/>
  <c r="M36" i="4"/>
  <c r="M38" i="4" s="1"/>
  <c r="M39" i="4" s="1"/>
  <c r="N36" i="4"/>
  <c r="M38" i="2"/>
  <c r="M39" i="2" s="1"/>
  <c r="J41" i="2"/>
  <c r="J42" i="2"/>
  <c r="J44" i="2" s="1"/>
  <c r="N24" i="3"/>
  <c r="M38" i="3"/>
  <c r="M39" i="3" s="1"/>
  <c r="K39" i="4" l="1"/>
  <c r="K44" i="4" s="1"/>
  <c r="K44" i="2"/>
  <c r="K44" i="1"/>
  <c r="M41" i="1"/>
  <c r="M42" i="1" s="1"/>
  <c r="M44" i="1" s="1"/>
  <c r="M41" i="4"/>
  <c r="M42" i="4" s="1"/>
  <c r="M44" i="4" s="1"/>
  <c r="N38" i="4"/>
  <c r="N39" i="4" s="1"/>
  <c r="M41" i="2"/>
  <c r="M42" i="2" s="1"/>
  <c r="M44" i="2" s="1"/>
  <c r="M41" i="3"/>
  <c r="M42" i="3" s="1"/>
  <c r="M44" i="3" s="1"/>
  <c r="N38" i="3"/>
  <c r="N39" i="3" s="1"/>
  <c r="N41" i="4" l="1"/>
  <c r="N42" i="4" s="1"/>
  <c r="N44" i="4" s="1"/>
  <c r="N41" i="3"/>
  <c r="N42" i="3" s="1"/>
  <c r="N44" i="3" s="1"/>
</calcChain>
</file>

<file path=xl/sharedStrings.xml><?xml version="1.0" encoding="utf-8"?>
<sst xmlns="http://schemas.openxmlformats.org/spreadsheetml/2006/main" count="1806" uniqueCount="324">
  <si>
    <t>Costing Sheet</t>
  </si>
  <si>
    <t xml:space="preserve">Color : Solid </t>
  </si>
  <si>
    <t xml:space="preserve">Date :  </t>
  </si>
  <si>
    <t>COST PRICE</t>
  </si>
  <si>
    <t xml:space="preserve">Customer  : </t>
  </si>
  <si>
    <t xml:space="preserve">    BILL OF LABOR </t>
  </si>
  <si>
    <t>SMV/pc</t>
  </si>
  <si>
    <t>Cost/min</t>
  </si>
  <si>
    <t>2T-5T</t>
  </si>
  <si>
    <t>COST /doz</t>
  </si>
  <si>
    <t xml:space="preserve">Remarks </t>
  </si>
  <si>
    <t>6-7/8</t>
  </si>
  <si>
    <t>10-14/16</t>
  </si>
  <si>
    <t>CM (CUT-SEW-PACK)</t>
  </si>
  <si>
    <t>SCREENPRINT</t>
  </si>
  <si>
    <t>Testing cost</t>
  </si>
  <si>
    <t>Heat tranfer cost</t>
  </si>
  <si>
    <t xml:space="preserve">Total Bill of Labor </t>
  </si>
  <si>
    <t xml:space="preserve">BILL OF MATERIALS  </t>
  </si>
  <si>
    <t>Materials/description :</t>
  </si>
  <si>
    <t>Component</t>
  </si>
  <si>
    <t>Supplier</t>
  </si>
  <si>
    <t>Net usage/pc in mtrs</t>
  </si>
  <si>
    <t>Wastage allowance</t>
  </si>
  <si>
    <t xml:space="preserve">Final Usage  /pc in mtrs </t>
  </si>
  <si>
    <t xml:space="preserve">Final Usage  /pc in yds </t>
  </si>
  <si>
    <t>Unit</t>
  </si>
  <si>
    <t xml:space="preserve">Unit Price </t>
  </si>
  <si>
    <t xml:space="preserve">COST /pc </t>
  </si>
  <si>
    <t>remarks /%</t>
  </si>
  <si>
    <t>Main fabric</t>
  </si>
  <si>
    <t xml:space="preserve">Fabric at front and back </t>
  </si>
  <si>
    <t>100% Cotton S/Jersey</t>
  </si>
  <si>
    <t>Textufil</t>
  </si>
  <si>
    <t>yd</t>
  </si>
  <si>
    <t xml:space="preserve">Rib (neck) </t>
  </si>
  <si>
    <t>100% Cotton RIB</t>
  </si>
  <si>
    <t>Total fabric costing:</t>
  </si>
  <si>
    <t>Trims:</t>
  </si>
  <si>
    <t xml:space="preserve">Tape on Shoulder </t>
  </si>
  <si>
    <t>TBA</t>
  </si>
  <si>
    <t>SEWN-IN LABEL</t>
  </si>
  <si>
    <t xml:space="preserve">Care label </t>
  </si>
  <si>
    <t>Heat Seal Label</t>
  </si>
  <si>
    <t>Sewing Thread</t>
  </si>
  <si>
    <t>Total trims costing:</t>
  </si>
  <si>
    <t>Packaging:</t>
  </si>
  <si>
    <t>Tracking label</t>
  </si>
  <si>
    <t xml:space="preserve">Heat transfer label (LOGO) </t>
  </si>
  <si>
    <t xml:space="preserve">Price Ticket </t>
  </si>
  <si>
    <t>Hanger</t>
  </si>
  <si>
    <t>Size cap</t>
  </si>
  <si>
    <t>Polybag</t>
  </si>
  <si>
    <t>Master poly</t>
  </si>
  <si>
    <t>Micro pak</t>
  </si>
  <si>
    <t>GTIN / UPC / CARTON Label Sticker / Gum tape</t>
  </si>
  <si>
    <t xml:space="preserve">Carton </t>
  </si>
  <si>
    <t>Total packaging costing:</t>
  </si>
  <si>
    <r>
      <t xml:space="preserve">Total  Bill of Materials </t>
    </r>
    <r>
      <rPr>
        <b/>
        <sz val="10"/>
        <rFont val="Verdana"/>
        <family val="2"/>
      </rPr>
      <t xml:space="preserve">(FOB) </t>
    </r>
  </si>
  <si>
    <t>TOTAL COST (FOB)</t>
  </si>
  <si>
    <t>Per pc</t>
  </si>
  <si>
    <t>per doz</t>
  </si>
  <si>
    <r>
      <t xml:space="preserve">Fob cost(ST) </t>
    </r>
    <r>
      <rPr>
        <b/>
        <sz val="12"/>
        <color rgb="FFFF0000"/>
        <rFont val="Verdana"/>
        <family val="2"/>
      </rPr>
      <t xml:space="preserve">with packaging </t>
    </r>
  </si>
  <si>
    <t>STYLE #</t>
  </si>
  <si>
    <t>ARTWORK</t>
  </si>
  <si>
    <t>TODDLER (2T-4T)</t>
  </si>
  <si>
    <t>BOYS (5-6-7/8)</t>
  </si>
  <si>
    <t>YTH(10/12-14/16)</t>
  </si>
  <si>
    <t>4884MX</t>
  </si>
  <si>
    <t>4885MX</t>
  </si>
  <si>
    <t>4886MX</t>
  </si>
  <si>
    <t>4887MX</t>
  </si>
  <si>
    <t>ROAR IT'S MY B-DAY</t>
  </si>
  <si>
    <t>APPLIQUE</t>
  </si>
  <si>
    <t>FOIL &amp; 3D</t>
  </si>
  <si>
    <t>NONE</t>
  </si>
  <si>
    <t>PUFF</t>
  </si>
  <si>
    <t>***</t>
  </si>
  <si>
    <t>LEVEL UP ITS MY B-DAY</t>
  </si>
  <si>
    <t>CAUTION B-DAY ZONE</t>
  </si>
  <si>
    <t>GIVE ME SPACE ITS MY B-DAY</t>
  </si>
  <si>
    <t>2.18*</t>
  </si>
  <si>
    <t>2.49*</t>
  </si>
  <si>
    <t>2.74*</t>
  </si>
  <si>
    <t>Size Scale</t>
  </si>
  <si>
    <t>Price</t>
  </si>
  <si>
    <t>25T4884MX</t>
  </si>
  <si>
    <t>IY2T</t>
  </si>
  <si>
    <t>2T</t>
  </si>
  <si>
    <t>IY3T</t>
  </si>
  <si>
    <t>3T</t>
  </si>
  <si>
    <t>IY4T</t>
  </si>
  <si>
    <t>4T</t>
  </si>
  <si>
    <t>35T4884MX</t>
  </si>
  <si>
    <t>IY5</t>
  </si>
  <si>
    <t>IY6</t>
  </si>
  <si>
    <t>IY78</t>
  </si>
  <si>
    <t>25T4885MX</t>
  </si>
  <si>
    <t>35T4885MX</t>
  </si>
  <si>
    <t>45T4885MX</t>
  </si>
  <si>
    <t>IY102</t>
  </si>
  <si>
    <t>IY146</t>
  </si>
  <si>
    <t>25T4886MX</t>
  </si>
  <si>
    <t>35T4886MX</t>
  </si>
  <si>
    <t>25T4887MX</t>
  </si>
  <si>
    <t>35T4887MX</t>
  </si>
  <si>
    <t>45T4887MX</t>
  </si>
  <si>
    <t>PREPARED BY: JOAN OLIVAR</t>
  </si>
  <si>
    <t>DATE:</t>
  </si>
  <si>
    <t>ENRIQUE CASTILLO</t>
  </si>
  <si>
    <t>PREPARED BY: ECASTILLO</t>
  </si>
  <si>
    <t>PURCHASE ORDER</t>
  </si>
  <si>
    <t>P.O. NUMBER</t>
  </si>
  <si>
    <t>DATE</t>
  </si>
  <si>
    <t>VENDOR</t>
  </si>
  <si>
    <t>CUSTOMER</t>
  </si>
  <si>
    <t>NAME</t>
  </si>
  <si>
    <t>COMPANY NAME</t>
  </si>
  <si>
    <t>ADDRESS</t>
  </si>
  <si>
    <t>PHONE</t>
  </si>
  <si>
    <t>EMAIL ADDRESS</t>
  </si>
  <si>
    <t>SHIPPING TERMS</t>
  </si>
  <si>
    <t>SHIPPING METHOD</t>
  </si>
  <si>
    <t>DELIVERY DATE</t>
  </si>
  <si>
    <t>Code</t>
  </si>
  <si>
    <t>Product Description</t>
  </si>
  <si>
    <t>Quantity</t>
  </si>
  <si>
    <t>Unit Price</t>
  </si>
  <si>
    <t>Amount</t>
  </si>
  <si>
    <t>Note:</t>
  </si>
  <si>
    <t>Subtotal ($)</t>
  </si>
  <si>
    <t>Discount (%)</t>
  </si>
  <si>
    <t>Sales Tax (%)</t>
  </si>
  <si>
    <t>Other Cost ($)</t>
  </si>
  <si>
    <t>Shipping &amp; Handling ($)</t>
  </si>
  <si>
    <t>Total Amount ($)</t>
  </si>
  <si>
    <t>PREPARED BY:</t>
  </si>
  <si>
    <t>APPROVED:</t>
  </si>
  <si>
    <t>JOAN OLIVAR</t>
  </si>
  <si>
    <t>SALES &amp; ACCOUNT MANAGER</t>
  </si>
  <si>
    <t>GENERAL MANAGER</t>
  </si>
  <si>
    <t>REVISED BY:</t>
  </si>
  <si>
    <t>IRIS VANEGAS</t>
  </si>
  <si>
    <t>GENERAL ACCOUNTANT</t>
  </si>
  <si>
    <t>Style</t>
  </si>
  <si>
    <t>Pack</t>
  </si>
  <si>
    <t>Pcs / Carton</t>
  </si>
  <si>
    <t>Pcs / poly</t>
  </si>
  <si>
    <t>Poly Breakdown</t>
  </si>
  <si>
    <t>Carton Breakdown</t>
  </si>
  <si>
    <t>Status</t>
  </si>
  <si>
    <t>Delivery Date</t>
  </si>
  <si>
    <t>Acc Price</t>
  </si>
  <si>
    <t>Total Unit Price</t>
  </si>
  <si>
    <t>Total Price</t>
  </si>
  <si>
    <t>Customer PO#</t>
  </si>
  <si>
    <t>Board #</t>
  </si>
  <si>
    <t>1</t>
  </si>
  <si>
    <t>24</t>
  </si>
  <si>
    <t>Confirmed</t>
  </si>
  <si>
    <t>D-13219</t>
  </si>
  <si>
    <t>S25100</t>
  </si>
  <si>
    <t>5</t>
  </si>
  <si>
    <t>6</t>
  </si>
  <si>
    <t>7-8</t>
  </si>
  <si>
    <t>D-13220</t>
  </si>
  <si>
    <t>10-12</t>
  </si>
  <si>
    <t>14-16</t>
  </si>
  <si>
    <t>D-13221</t>
  </si>
  <si>
    <t>D-13222</t>
  </si>
  <si>
    <t>ART</t>
  </si>
  <si>
    <t>PO Quantity</t>
  </si>
  <si>
    <t>Cut Quantity</t>
  </si>
  <si>
    <t>Color</t>
  </si>
  <si>
    <t>Yld/Body</t>
  </si>
  <si>
    <t>FREIGHT</t>
  </si>
  <si>
    <t>CIF</t>
  </si>
  <si>
    <t>MARGIN (20%) FOB</t>
  </si>
  <si>
    <t>Style #4884MX</t>
  </si>
  <si>
    <t>Style #4885MX</t>
  </si>
  <si>
    <t>KID SIZE: SHIRT 2-14/16</t>
  </si>
  <si>
    <t>KID SIZE: SHIRT 4-7/8</t>
  </si>
  <si>
    <t>KID SIZE: SHIRT 4-14/16</t>
  </si>
  <si>
    <t>Screenprint</t>
  </si>
  <si>
    <t>Yld/Rib &amp; Tape</t>
  </si>
  <si>
    <t>Box</t>
  </si>
  <si>
    <t>Tape</t>
  </si>
  <si>
    <t>Box Sticker</t>
  </si>
  <si>
    <t>Barcode Sticker</t>
  </si>
  <si>
    <t>Total D-13219</t>
  </si>
  <si>
    <t>Total D-13220</t>
  </si>
  <si>
    <t>Total D-13221</t>
  </si>
  <si>
    <t>Total D-13222</t>
  </si>
  <si>
    <t>Total general</t>
  </si>
  <si>
    <t>Master Poly</t>
  </si>
  <si>
    <t>Indv Poly</t>
  </si>
  <si>
    <t>BOD-P2247C</t>
  </si>
  <si>
    <t>BOD-P2707C</t>
  </si>
  <si>
    <t>BOD-P2006C</t>
  </si>
  <si>
    <t>BOD-P432C</t>
  </si>
  <si>
    <t>RIB1X1-P2247C</t>
  </si>
  <si>
    <t>RIB1X1-P2707C</t>
  </si>
  <si>
    <t>RIB1X1-P2006C</t>
  </si>
  <si>
    <t>RIB1X1-P432C</t>
  </si>
  <si>
    <t>100% COTTON,220GSM, CAFTA,SEMICOMB,SOFTHAND</t>
  </si>
  <si>
    <t>Lbs/Body</t>
  </si>
  <si>
    <t>Lbs/Rib</t>
  </si>
  <si>
    <t>Quantity/LBS</t>
  </si>
  <si>
    <t>SP-FL-3D</t>
  </si>
  <si>
    <t>SP-BS</t>
  </si>
  <si>
    <t>SP-PU</t>
  </si>
  <si>
    <t>CONOS DE HILO -CAFTA</t>
  </si>
  <si>
    <t xml:space="preserve">KID SIZE: SHIRT 2-7/8 </t>
  </si>
  <si>
    <t>Quantity/PC</t>
  </si>
  <si>
    <t>Net usage/pc in YDS</t>
  </si>
  <si>
    <t>Final Usage  /pc in YDS</t>
  </si>
  <si>
    <t>ADONAY ARTEAGA</t>
  </si>
  <si>
    <t>TEXTUFIL S.A. DE C.V.</t>
  </si>
  <si>
    <t>AV. PABLO TESAK, SOYAPANGO, SAN SALVADOR             EL SALVADOR</t>
  </si>
  <si>
    <t>earteaga@textufil.com</t>
  </si>
  <si>
    <t>P2006C/YELLOW</t>
  </si>
  <si>
    <t>PURCHASING DEPT.</t>
  </si>
  <si>
    <t>MERCHANDISING DEPT.</t>
  </si>
  <si>
    <t>TEX-01-2024</t>
  </si>
  <si>
    <t xml:space="preserve">             ________________________________</t>
  </si>
  <si>
    <t xml:space="preserve">                     _____________________________</t>
  </si>
  <si>
    <t>ALEJANDRA HERNANDEZ</t>
  </si>
  <si>
    <t>IND. JOVIDA S.A. DE C.V.</t>
  </si>
  <si>
    <t>ZONA FRANCA INDL. SAN BARTOLO,EDIF 19-20 POL.J, ILOPANGO, SAN SALVADOR</t>
  </si>
  <si>
    <t>2213-8000</t>
  </si>
  <si>
    <t>customers2@jovidasal.com</t>
  </si>
  <si>
    <t>PURCHASING DEPT</t>
  </si>
  <si>
    <t>SALES &amp; MERCH DEPT</t>
  </si>
  <si>
    <t>P2247C/SEA GREEN</t>
  </si>
  <si>
    <t>P2707C/BLUE GRAY</t>
  </si>
  <si>
    <t>432C/GRAY</t>
  </si>
  <si>
    <t>HEAT SEAL</t>
  </si>
  <si>
    <t>1.5"X1.5"</t>
  </si>
  <si>
    <t>2"X2"</t>
  </si>
  <si>
    <t>C/L SATIN INV</t>
  </si>
  <si>
    <t>SEWN-IN LABEL-SATIN</t>
  </si>
  <si>
    <t>100% COTTON,180GSM, CAFTA,SEMICOMB,SOFTHAND</t>
  </si>
  <si>
    <t>TX27-JOV#6258</t>
  </si>
  <si>
    <t>TX27-JOV#6485</t>
  </si>
  <si>
    <t>TX27-A&amp;E-W45872</t>
  </si>
  <si>
    <t>TX27-JOV#6694</t>
  </si>
  <si>
    <t>MAGDALENA DE ESCOBAR/PAOLA MEZQUITA</t>
  </si>
  <si>
    <t>PARA ESTILOS #4884MX-4887MX</t>
  </si>
  <si>
    <t>Hangtags- no hangtags are needed for iY packs</t>
  </si>
  <si>
    <t xml:space="preserve">Label- </t>
  </si>
  <si>
    <t>You get the information on the tracker</t>
  </si>
  <si>
    <t>For the carton marking use below for reference and Please paste the UPC sticker in the top right-hand corner: one sticker on the short side and one on the long side of the carton.</t>
  </si>
  <si>
    <t>POLYBAGS</t>
  </si>
  <si>
    <t>QUALITY:</t>
  </si>
  <si>
    <t xml:space="preserve">● </t>
  </si>
  <si>
    <t>POLYBAG MATERIAL MUST BE LOW DENSITY POLY ETHYLENE (LDPE).</t>
  </si>
  <si>
    <t>MINIMUM 2MIL THICKNESS.</t>
  </si>
  <si>
    <t>BAG MUST BE FREE OF BUTYLATED HYDROXY TOULENE (BHT).</t>
  </si>
  <si>
    <t>SUFFOCATION WARNING:</t>
  </si>
  <si>
    <t>WARNING: Keep this bag away from babies and children.  Do not use in</t>
  </si>
  <si>
    <t>cribs, beds, carriages, or playpens.  The thin film may cling to nose and</t>
  </si>
  <si>
    <t>mouth and prevent breathing.  This bag is not a toy.</t>
  </si>
  <si>
    <t>AVERTISSEMENT: Ce sac n'est pas un jouet.  Un sac en plastique peut</t>
  </si>
  <si>
    <t>etre dangereux.  Pour eviter tout danger de suffocation, tenir ce sac</t>
  </si>
  <si>
    <t>a l'ecart des bebes et des enfants.</t>
  </si>
  <si>
    <t>PRECAUCION: Mantenga esta bolsa alejada de ninos y bebes.  No la</t>
  </si>
  <si>
    <t>use cerca de cunas, camas, coches o corrales de juego.  El plastico tan</t>
  </si>
  <si>
    <t>delgado puede tapar nariz y boca impidiendo la respiracion.  Esta bolsa</t>
  </si>
  <si>
    <t>no un juguete.</t>
  </si>
  <si>
    <t>Please note that Eshita is your point person for the label and Ayantika is your point person for carton marking</t>
  </si>
  <si>
    <t>QTY</t>
  </si>
  <si>
    <t>MEAS/CM</t>
  </si>
  <si>
    <t>24X20</t>
  </si>
  <si>
    <t>27X23</t>
  </si>
  <si>
    <t>26x42x15</t>
  </si>
  <si>
    <t>28x46x15</t>
  </si>
  <si>
    <t>1.75x2.75</t>
  </si>
  <si>
    <t>4x6</t>
  </si>
  <si>
    <t>MEAS/IN</t>
  </si>
  <si>
    <t>HEAT SEAL COLOR</t>
  </si>
  <si>
    <t>imagi/WHITE</t>
  </si>
  <si>
    <t>HEAT SEAL QTY</t>
  </si>
  <si>
    <t>SP</t>
  </si>
  <si>
    <t>Myriam Arteaga</t>
  </si>
  <si>
    <t>Brands &amp; Trims</t>
  </si>
  <si>
    <t>3a Calle 1-76 Zona 3 Boca del Monte                                           Villa Canales, Guatemala CA</t>
  </si>
  <si>
    <t>503 77970833</t>
  </si>
  <si>
    <t>marteaga@actexlabels.com</t>
  </si>
  <si>
    <t>CLBTX</t>
  </si>
  <si>
    <t>MLBTX</t>
  </si>
  <si>
    <t>Please refer to the artwork and details on the attached excel files.</t>
  </si>
  <si>
    <t>MAGDALENA ESCOBAR/PAOLA MEZQUITA</t>
  </si>
  <si>
    <t>CARE LABEL -DOBLE SATIN S#120909</t>
  </si>
  <si>
    <t>MAIN LABEL IMAGI KIDS -SATIN SENCILLO S#120895</t>
  </si>
  <si>
    <t>HEAT TRANSFERS SERIE#120896 BIG KIDS</t>
  </si>
  <si>
    <t>HEAT TRANSFERS SERIE#120897 KIDS/TOD</t>
  </si>
  <si>
    <t>HEAT TRANSFERS SERIE#120977 BIG KIDS</t>
  </si>
  <si>
    <t>HEAT TRANSFERS SERIE#120979 KIDS/TOD</t>
  </si>
  <si>
    <t>HTBTXBKIDS-BK</t>
  </si>
  <si>
    <t>HTBTXKIDS-BK</t>
  </si>
  <si>
    <t>HTBTXBKIDS-WH</t>
  </si>
  <si>
    <t>HTBTXKIDS-WH</t>
  </si>
  <si>
    <t>INDUSTRIAS SERIGRAFICAS SALVADOREÑAS, S.A. DE C.V.</t>
  </si>
  <si>
    <t>FERNANDO CASTAÑEDA</t>
  </si>
  <si>
    <t>Polig. E, Lofif. Los Tulipanes, Lote 1,2 y 3                          Ahuachapan</t>
  </si>
  <si>
    <t>Telef. 2413-4724</t>
  </si>
  <si>
    <t>fcastaneda@insesa.com.sv</t>
  </si>
  <si>
    <t>PAOLA MEZQUITA</t>
  </si>
  <si>
    <t>CAUTION BIRTHDAY ZONE W/ PUFF</t>
  </si>
  <si>
    <t>ROAR ITS MY BIRTHDAY W/ SILVER FOIL</t>
  </si>
  <si>
    <t>PURCHASING  /ADMIN MGR.</t>
  </si>
  <si>
    <t xml:space="preserve">STYLE#25T4886MX , 35T4886MX </t>
  </si>
  <si>
    <t>Style #4886MX</t>
  </si>
  <si>
    <t>Style #4887MX</t>
  </si>
  <si>
    <t>16.5X10X4</t>
  </si>
  <si>
    <t>18X11X4</t>
  </si>
  <si>
    <t>Quantity/YDS</t>
  </si>
  <si>
    <t>REPLENISHMENT-DIFFERENCE IN ACTUAL YIELD VS FABRIC TICKET</t>
  </si>
  <si>
    <t>REPLENISHMENT</t>
  </si>
  <si>
    <t>TEX-01-2024-REPLENISHMENT</t>
  </si>
  <si>
    <t xml:space="preserve">PRICE BASE </t>
  </si>
  <si>
    <t>WITH NOVELTY PRINT AND ESP. CLEAR EFFECT</t>
  </si>
  <si>
    <t>FINAL PRICE</t>
  </si>
  <si>
    <t>S#4887MX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</si>
</sst>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43" formatCode="_-* #,##0.00_-;\-* #,##0.00_-;_-* &quot;-&quot;??_-;_-@_-"/>
    <numFmt numFmtId="164" formatCode="_-&quot;XDR&quot;* #,##0.00_-;\-&quot;XDR&quot;* #,##0.00_-;_-&quot;XDR&quot;* &quot;-&quot;??_-;_-@_-"/>
    <numFmt numFmtId="165" formatCode="_-[$$-409]* #,##0.00_ ;_-[$$-409]* \-#,##0.00\ ;_-[$$-409]* &quot;-&quot;??_ ;_-@_ "/>
    <numFmt numFmtId="166" formatCode="_(&quot;$&quot;* #,##0.000_);_(&quot;$&quot;* \(#,##0.000\);_(&quot;$&quot;* &quot;-&quot;??_);_(@_)"/>
    <numFmt numFmtId="167" formatCode="_(&quot;$&quot;* #,##0.00_);_(&quot;$&quot;* \(#,##0.00\);_(&quot;$&quot;* &quot;-&quot;??_);_(@_)"/>
    <numFmt numFmtId="168" formatCode="_(&quot;$&quot;* #,##0.0000_);_(&quot;$&quot;* \(#,##0.0000\);_(&quot;$&quot;* &quot;-&quot;??_);_(@_)"/>
    <numFmt numFmtId="169" formatCode="0.0000"/>
    <numFmt numFmtId="170" formatCode="0.000"/>
    <numFmt numFmtId="171" formatCode="0.0_);[Red]\(0.0\)"/>
    <numFmt numFmtId="172" formatCode="0.00000_);[Red]\(0.00000\)"/>
    <numFmt numFmtId="173" formatCode="0.00_);[Red]\(0.00\)"/>
    <numFmt numFmtId="174" formatCode="0.0%"/>
    <numFmt numFmtId="175" formatCode="_-* #,##0.0000_-;\-* #,##0.0000_-;_-* &quot;-&quot;??_-;_-@_-"/>
    <numFmt numFmtId="176" formatCode="&quot;$&quot;#,##0.00;[Red]&quot;$&quot;#,##0.00"/>
    <numFmt numFmtId="177" formatCode="[$-409]dd/mmm/yy;@"/>
    <numFmt numFmtId="178" formatCode="_-[$$-440A]* #,##0.00_-;\-[$$-440A]* #,##0.00_-;_-[$$-440A]* &quot;-&quot;??_-;_-@_-"/>
    <numFmt numFmtId="179" formatCode="[$$-409]#,##0.00_ ;\-[$$-409]#,##0.00\ "/>
    <numFmt numFmtId="180" formatCode="###,##0"/>
    <numFmt numFmtId="181" formatCode="\$\ #,##0.00"/>
    <numFmt numFmtId="182" formatCode="mm/dd/yyyy"/>
    <numFmt numFmtId="183" formatCode="###,##0.00"/>
    <numFmt numFmtId="184" formatCode="\$\ ###,##0.00"/>
    <numFmt numFmtId="185" formatCode="_-[$$-409]* #,##0.0000_ ;_-[$$-409]* \-#,##0.0000\ ;_-[$$-409]* &quot;-&quot;??_ ;_-@_ 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name val="Verdana"/>
      <family val="2"/>
    </font>
    <font>
      <sz val="10"/>
      <name val="Arial"/>
      <family val="2"/>
    </font>
    <font>
      <b/>
      <sz val="12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b/>
      <sz val="10"/>
      <color indexed="12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b/>
      <sz val="12"/>
      <name val="Calibri"/>
      <family val="2"/>
      <scheme val="minor"/>
    </font>
    <font>
      <b/>
      <sz val="12"/>
      <color indexed="10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name val="Calibri"/>
      <family val="2"/>
    </font>
    <font>
      <b/>
      <sz val="12"/>
      <color indexed="12"/>
      <name val="Calibri"/>
      <family val="2"/>
      <scheme val="minor"/>
    </font>
    <font>
      <sz val="12"/>
      <color indexed="10"/>
      <name val="Calibri"/>
      <family val="2"/>
      <scheme val="minor"/>
    </font>
    <font>
      <sz val="10"/>
      <name val="Arial Unicode MS"/>
      <charset val="134"/>
    </font>
    <font>
      <sz val="10"/>
      <color indexed="10"/>
      <name val="Verdana"/>
      <family val="2"/>
    </font>
    <font>
      <b/>
      <sz val="12"/>
      <color rgb="FFFF0000"/>
      <name val="Verdana"/>
      <family val="2"/>
    </font>
    <font>
      <b/>
      <sz val="12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sz val="8"/>
      <color theme="1"/>
      <name val="Arial Narrow"/>
      <family val="2"/>
    </font>
    <font>
      <sz val="8"/>
      <color theme="0"/>
      <name val="Arial Narrow"/>
      <family val="2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u/>
      <sz val="11"/>
      <color theme="10"/>
      <name val="Calibri"/>
      <family val="2"/>
      <scheme val="minor"/>
    </font>
    <font>
      <b/>
      <sz val="20"/>
      <name val="Arial"/>
      <family val="2"/>
    </font>
    <font>
      <sz val="11"/>
      <color theme="1"/>
      <name val="Verdana"/>
      <family val="2"/>
    </font>
    <font>
      <b/>
      <sz val="12"/>
      <color indexed="10"/>
      <name val="Verdana"/>
      <family val="2"/>
    </font>
    <font>
      <b/>
      <sz val="12"/>
      <color indexed="8"/>
      <name val="Verdana"/>
      <family val="2"/>
    </font>
    <font>
      <b/>
      <sz val="12"/>
      <color indexed="12"/>
      <name val="Verdana"/>
      <family val="2"/>
    </font>
    <font>
      <sz val="12"/>
      <color indexed="10"/>
      <name val="Verdana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Aptos"/>
      <family val="2"/>
    </font>
    <font>
      <sz val="10"/>
      <color theme="1"/>
      <name val="Times New Roman"/>
      <family val="1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u val="double"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gray0625">
        <fgColor indexed="49"/>
        <bgColor indexed="41"/>
      </patternFill>
    </fill>
    <fill>
      <patternFill patternType="solid">
        <fgColor indexed="4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2F4A4"/>
        <bgColor indexed="64"/>
      </patternFill>
    </fill>
    <fill>
      <patternFill patternType="gray0625">
        <fgColor indexed="42"/>
      </patternFill>
    </fill>
    <fill>
      <patternFill patternType="solid">
        <fgColor indexed="13"/>
        <bgColor indexed="64"/>
      </patternFill>
    </fill>
    <fill>
      <patternFill patternType="gray0625">
        <fgColor indexed="41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AAE571"/>
        <bgColor indexed="64"/>
      </patternFill>
    </fill>
    <fill>
      <patternFill patternType="solid">
        <fgColor rgb="FF538DD5"/>
      </patternFill>
    </fill>
  </fills>
  <borders count="5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37" fillId="0" borderId="0"/>
  </cellStyleXfs>
  <cellXfs count="519">
    <xf numFmtId="0" fontId="0" fillId="0" borderId="0" xfId="0"/>
    <xf numFmtId="0" fontId="0" fillId="0" borderId="0" xfId="0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6" fontId="5" fillId="2" borderId="9" xfId="0" applyNumberFormat="1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66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5" fillId="4" borderId="3" xfId="0" applyFont="1" applyFill="1" applyBorder="1" applyAlignment="1">
      <alignment horizontal="center" vertical="center"/>
    </xf>
    <xf numFmtId="10" fontId="5" fillId="4" borderId="14" xfId="0" applyNumberFormat="1" applyFont="1" applyFill="1" applyBorder="1" applyAlignment="1">
      <alignment horizontal="left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left" vertical="center"/>
    </xf>
    <xf numFmtId="166" fontId="6" fillId="5" borderId="15" xfId="0" applyNumberFormat="1" applyFont="1" applyFill="1" applyBorder="1" applyAlignment="1">
      <alignment horizontal="left" vertical="center" wrapText="1"/>
    </xf>
    <xf numFmtId="0" fontId="6" fillId="5" borderId="15" xfId="0" applyFont="1" applyFill="1" applyBorder="1" applyAlignment="1">
      <alignment horizontal="left" vertical="center" wrapText="1"/>
    </xf>
    <xf numFmtId="0" fontId="6" fillId="5" borderId="16" xfId="0" applyFont="1" applyFill="1" applyBorder="1" applyAlignment="1">
      <alignment horizontal="left" vertical="center" wrapText="1"/>
    </xf>
    <xf numFmtId="0" fontId="6" fillId="5" borderId="17" xfId="0" applyFont="1" applyFill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 wrapText="1"/>
    </xf>
    <xf numFmtId="10" fontId="7" fillId="0" borderId="18" xfId="0" applyNumberFormat="1" applyFont="1" applyBorder="1" applyAlignment="1">
      <alignment horizontal="left" vertical="center" wrapText="1"/>
    </xf>
    <xf numFmtId="0" fontId="6" fillId="7" borderId="18" xfId="0" applyFont="1" applyFill="1" applyBorder="1" applyAlignment="1">
      <alignment horizontal="center" vertical="center" wrapText="1"/>
    </xf>
    <xf numFmtId="0" fontId="6" fillId="7" borderId="18" xfId="0" applyFont="1" applyFill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 wrapText="1"/>
    </xf>
    <xf numFmtId="166" fontId="10" fillId="0" borderId="18" xfId="1" applyNumberFormat="1" applyFont="1" applyFill="1" applyBorder="1" applyAlignment="1">
      <alignment horizontal="left" vertical="center" wrapText="1"/>
    </xf>
    <xf numFmtId="168" fontId="6" fillId="0" borderId="18" xfId="1" applyNumberFormat="1" applyFont="1" applyFill="1" applyBorder="1" applyAlignment="1">
      <alignment horizontal="left" vertical="center" wrapText="1"/>
    </xf>
    <xf numFmtId="168" fontId="6" fillId="8" borderId="19" xfId="1" applyNumberFormat="1" applyFont="1" applyFill="1" applyBorder="1" applyAlignment="1">
      <alignment horizontal="left" vertical="center" wrapText="1"/>
    </xf>
    <xf numFmtId="168" fontId="11" fillId="0" borderId="20" xfId="1" applyNumberFormat="1" applyFont="1" applyFill="1" applyBorder="1" applyAlignment="1">
      <alignment horizontal="left" vertical="center" wrapText="1"/>
    </xf>
    <xf numFmtId="0" fontId="9" fillId="9" borderId="9" xfId="0" applyFont="1" applyFill="1" applyBorder="1" applyAlignment="1">
      <alignment horizontal="left" vertical="center" wrapText="1"/>
    </xf>
    <xf numFmtId="0" fontId="7" fillId="9" borderId="9" xfId="0" applyFont="1" applyFill="1" applyBorder="1" applyAlignment="1">
      <alignment horizontal="left" vertical="center" wrapText="1"/>
    </xf>
    <xf numFmtId="0" fontId="7" fillId="9" borderId="9" xfId="0" applyFont="1" applyFill="1" applyBorder="1" applyAlignment="1">
      <alignment horizontal="center" vertical="center" wrapText="1"/>
    </xf>
    <xf numFmtId="10" fontId="7" fillId="9" borderId="9" xfId="0" applyNumberFormat="1" applyFont="1" applyFill="1" applyBorder="1" applyAlignment="1">
      <alignment horizontal="left" vertical="center" wrapText="1"/>
    </xf>
    <xf numFmtId="0" fontId="6" fillId="9" borderId="9" xfId="0" applyFont="1" applyFill="1" applyBorder="1" applyAlignment="1">
      <alignment horizontal="left" vertical="center" wrapText="1"/>
    </xf>
    <xf numFmtId="166" fontId="10" fillId="9" borderId="9" xfId="1" applyNumberFormat="1" applyFont="1" applyFill="1" applyBorder="1" applyAlignment="1">
      <alignment horizontal="left" vertical="center" wrapText="1"/>
    </xf>
    <xf numFmtId="168" fontId="9" fillId="9" borderId="18" xfId="1" applyNumberFormat="1" applyFont="1" applyFill="1" applyBorder="1" applyAlignment="1">
      <alignment horizontal="left" vertical="center" wrapText="1"/>
    </xf>
    <xf numFmtId="168" fontId="9" fillId="9" borderId="19" xfId="1" applyNumberFormat="1" applyFont="1" applyFill="1" applyBorder="1" applyAlignment="1">
      <alignment horizontal="left" vertical="center" wrapText="1"/>
    </xf>
    <xf numFmtId="168" fontId="12" fillId="9" borderId="20" xfId="1" applyNumberFormat="1" applyFont="1" applyFill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166" fontId="10" fillId="0" borderId="9" xfId="1" applyNumberFormat="1" applyFont="1" applyFill="1" applyBorder="1" applyAlignment="1">
      <alignment horizontal="left" vertical="center" wrapText="1"/>
    </xf>
    <xf numFmtId="168" fontId="9" fillId="0" borderId="18" xfId="1" applyNumberFormat="1" applyFont="1" applyFill="1" applyBorder="1" applyAlignment="1">
      <alignment horizontal="left" vertical="center" wrapText="1"/>
    </xf>
    <xf numFmtId="168" fontId="9" fillId="8" borderId="19" xfId="1" applyNumberFormat="1" applyFont="1" applyFill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10" fontId="7" fillId="0" borderId="9" xfId="0" applyNumberFormat="1" applyFont="1" applyBorder="1" applyAlignment="1">
      <alignment horizontal="left" vertical="center" wrapText="1"/>
    </xf>
    <xf numFmtId="0" fontId="5" fillId="10" borderId="7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center" vertical="center" wrapText="1"/>
    </xf>
    <xf numFmtId="10" fontId="5" fillId="10" borderId="1" xfId="0" applyNumberFormat="1" applyFont="1" applyFill="1" applyBorder="1" applyAlignment="1">
      <alignment horizontal="left" vertical="center" wrapText="1"/>
    </xf>
    <xf numFmtId="169" fontId="9" fillId="10" borderId="21" xfId="1" applyNumberFormat="1" applyFont="1" applyFill="1" applyBorder="1" applyAlignment="1">
      <alignment horizontal="left" vertical="center" wrapText="1"/>
    </xf>
    <xf numFmtId="166" fontId="9" fillId="10" borderId="21" xfId="1" applyNumberFormat="1" applyFont="1" applyFill="1" applyBorder="1" applyAlignment="1">
      <alignment horizontal="left" vertical="center" wrapText="1"/>
    </xf>
    <xf numFmtId="168" fontId="6" fillId="10" borderId="21" xfId="1" applyNumberFormat="1" applyFont="1" applyFill="1" applyBorder="1" applyAlignment="1">
      <alignment horizontal="left" vertical="center" wrapText="1"/>
    </xf>
    <xf numFmtId="9" fontId="6" fillId="10" borderId="22" xfId="2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0" fontId="5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166" fontId="6" fillId="0" borderId="0" xfId="0" applyNumberFormat="1" applyFont="1" applyAlignment="1">
      <alignment horizontal="left" vertical="center" wrapText="1"/>
    </xf>
    <xf numFmtId="166" fontId="6" fillId="0" borderId="0" xfId="1" applyNumberFormat="1" applyFont="1" applyBorder="1" applyAlignment="1">
      <alignment horizontal="left" vertical="center" wrapText="1"/>
    </xf>
    <xf numFmtId="164" fontId="6" fillId="0" borderId="0" xfId="1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166" fontId="14" fillId="0" borderId="3" xfId="0" applyNumberFormat="1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3" fillId="5" borderId="23" xfId="0" applyFont="1" applyFill="1" applyBorder="1" applyAlignment="1">
      <alignment horizontal="left" vertical="center" wrapText="1"/>
    </xf>
    <xf numFmtId="0" fontId="13" fillId="5" borderId="24" xfId="0" applyFont="1" applyFill="1" applyBorder="1" applyAlignment="1">
      <alignment horizontal="left" vertical="center" wrapText="1"/>
    </xf>
    <xf numFmtId="0" fontId="13" fillId="5" borderId="24" xfId="0" applyFont="1" applyFill="1" applyBorder="1" applyAlignment="1">
      <alignment horizontal="center" vertical="center" wrapText="1"/>
    </xf>
    <xf numFmtId="10" fontId="13" fillId="5" borderId="24" xfId="0" applyNumberFormat="1" applyFont="1" applyFill="1" applyBorder="1" applyAlignment="1">
      <alignment horizontal="left" vertical="center" wrapText="1"/>
    </xf>
    <xf numFmtId="0" fontId="13" fillId="5" borderId="18" xfId="0" applyFont="1" applyFill="1" applyBorder="1" applyAlignment="1">
      <alignment horizontal="left" vertical="center" wrapText="1"/>
    </xf>
    <xf numFmtId="166" fontId="13" fillId="5" borderId="18" xfId="0" applyNumberFormat="1" applyFont="1" applyFill="1" applyBorder="1" applyAlignment="1">
      <alignment horizontal="left" vertical="center" wrapText="1"/>
    </xf>
    <xf numFmtId="0" fontId="13" fillId="5" borderId="19" xfId="0" applyFont="1" applyFill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 wrapText="1"/>
    </xf>
    <xf numFmtId="0" fontId="13" fillId="0" borderId="26" xfId="0" applyFont="1" applyBorder="1" applyAlignment="1">
      <alignment horizontal="left" vertical="center" wrapText="1"/>
    </xf>
    <xf numFmtId="0" fontId="13" fillId="0" borderId="26" xfId="0" applyFont="1" applyBorder="1" applyAlignment="1">
      <alignment horizontal="center" vertical="center" wrapText="1"/>
    </xf>
    <xf numFmtId="10" fontId="13" fillId="0" borderId="26" xfId="0" applyNumberFormat="1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 wrapText="1"/>
    </xf>
    <xf numFmtId="166" fontId="13" fillId="12" borderId="27" xfId="0" applyNumberFormat="1" applyFont="1" applyFill="1" applyBorder="1" applyAlignment="1">
      <alignment horizontal="left" vertical="center" wrapText="1"/>
    </xf>
    <xf numFmtId="0" fontId="13" fillId="12" borderId="27" xfId="0" applyFont="1" applyFill="1" applyBorder="1" applyAlignment="1">
      <alignment horizontal="left" vertical="center" wrapText="1"/>
    </xf>
    <xf numFmtId="0" fontId="13" fillId="12" borderId="28" xfId="0" applyFont="1" applyFill="1" applyBorder="1" applyAlignment="1">
      <alignment horizontal="left" vertical="center" wrapText="1"/>
    </xf>
    <xf numFmtId="0" fontId="15" fillId="7" borderId="9" xfId="3" applyFont="1" applyFill="1" applyBorder="1" applyAlignment="1">
      <alignment horizontal="left" vertical="center" wrapText="1"/>
    </xf>
    <xf numFmtId="0" fontId="15" fillId="0" borderId="9" xfId="0" applyFont="1" applyBorder="1" applyAlignment="1">
      <alignment vertical="center" wrapText="1"/>
    </xf>
    <xf numFmtId="2" fontId="16" fillId="7" borderId="9" xfId="3" applyNumberFormat="1" applyFont="1" applyFill="1" applyBorder="1" applyAlignment="1">
      <alignment horizontal="center" vertical="center" wrapText="1"/>
    </xf>
    <xf numFmtId="10" fontId="15" fillId="7" borderId="9" xfId="0" applyNumberFormat="1" applyFont="1" applyFill="1" applyBorder="1" applyAlignment="1">
      <alignment horizontal="left" vertical="center"/>
    </xf>
    <xf numFmtId="2" fontId="15" fillId="7" borderId="9" xfId="0" applyNumberFormat="1" applyFont="1" applyFill="1" applyBorder="1" applyAlignment="1">
      <alignment horizontal="left" vertical="center"/>
    </xf>
    <xf numFmtId="169" fontId="15" fillId="7" borderId="9" xfId="0" applyNumberFormat="1" applyFont="1" applyFill="1" applyBorder="1" applyAlignment="1">
      <alignment horizontal="left" vertical="center"/>
    </xf>
    <xf numFmtId="0" fontId="15" fillId="7" borderId="9" xfId="0" applyFont="1" applyFill="1" applyBorder="1" applyAlignment="1">
      <alignment horizontal="left" vertical="center" wrapText="1"/>
    </xf>
    <xf numFmtId="0" fontId="13" fillId="13" borderId="9" xfId="0" applyFont="1" applyFill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/>
    </xf>
    <xf numFmtId="170" fontId="13" fillId="0" borderId="9" xfId="0" applyNumberFormat="1" applyFont="1" applyBorder="1" applyAlignment="1">
      <alignment horizontal="center" vertical="center" wrapText="1"/>
    </xf>
    <xf numFmtId="10" fontId="15" fillId="0" borderId="9" xfId="0" applyNumberFormat="1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 wrapText="1"/>
    </xf>
    <xf numFmtId="166" fontId="18" fillId="0" borderId="9" xfId="1" applyNumberFormat="1" applyFont="1" applyFill="1" applyBorder="1" applyAlignment="1">
      <alignment horizontal="left" vertical="center" wrapText="1"/>
    </xf>
    <xf numFmtId="168" fontId="15" fillId="0" borderId="9" xfId="1" applyNumberFormat="1" applyFont="1" applyFill="1" applyBorder="1" applyAlignment="1">
      <alignment horizontal="left" vertical="center" wrapText="1"/>
    </xf>
    <xf numFmtId="166" fontId="15" fillId="0" borderId="9" xfId="1" applyNumberFormat="1" applyFont="1" applyFill="1" applyBorder="1" applyAlignment="1">
      <alignment horizontal="left" vertical="center" wrapText="1"/>
    </xf>
    <xf numFmtId="0" fontId="15" fillId="7" borderId="9" xfId="3" applyFont="1" applyFill="1" applyBorder="1" applyAlignment="1">
      <alignment vertical="center" wrapText="1"/>
    </xf>
    <xf numFmtId="0" fontId="15" fillId="7" borderId="9" xfId="0" applyFont="1" applyFill="1" applyBorder="1" applyAlignment="1">
      <alignment vertical="center"/>
    </xf>
    <xf numFmtId="2" fontId="15" fillId="7" borderId="9" xfId="3" applyNumberFormat="1" applyFont="1" applyFill="1" applyBorder="1" applyAlignment="1">
      <alignment horizontal="left" vertical="center" wrapText="1"/>
    </xf>
    <xf numFmtId="170" fontId="15" fillId="7" borderId="9" xfId="0" applyNumberFormat="1" applyFont="1" applyFill="1" applyBorder="1" applyAlignment="1">
      <alignment horizontal="left" vertical="center"/>
    </xf>
    <xf numFmtId="166" fontId="15" fillId="7" borderId="9" xfId="1" applyNumberFormat="1" applyFont="1" applyFill="1" applyBorder="1" applyAlignment="1">
      <alignment horizontal="left" vertical="center" wrapText="1"/>
    </xf>
    <xf numFmtId="168" fontId="15" fillId="7" borderId="9" xfId="1" applyNumberFormat="1" applyFont="1" applyFill="1" applyBorder="1" applyAlignment="1">
      <alignment horizontal="left" vertical="center" wrapText="1"/>
    </xf>
    <xf numFmtId="0" fontId="15" fillId="7" borderId="9" xfId="0" applyFont="1" applyFill="1" applyBorder="1" applyAlignment="1">
      <alignment horizontal="left" vertical="center"/>
    </xf>
    <xf numFmtId="171" fontId="15" fillId="7" borderId="9" xfId="0" applyNumberFormat="1" applyFont="1" applyFill="1" applyBorder="1" applyAlignment="1">
      <alignment horizontal="left" vertical="center" wrapText="1"/>
    </xf>
    <xf numFmtId="172" fontId="15" fillId="7" borderId="9" xfId="0" applyNumberFormat="1" applyFont="1" applyFill="1" applyBorder="1" applyAlignment="1">
      <alignment horizontal="left" vertical="center" wrapText="1"/>
    </xf>
    <xf numFmtId="166" fontId="15" fillId="7" borderId="9" xfId="1" applyNumberFormat="1" applyFont="1" applyFill="1" applyBorder="1" applyAlignment="1">
      <alignment vertical="center" wrapText="1"/>
    </xf>
    <xf numFmtId="0" fontId="15" fillId="0" borderId="9" xfId="0" applyFont="1" applyBorder="1" applyAlignment="1">
      <alignment horizontal="left" vertical="center"/>
    </xf>
    <xf numFmtId="171" fontId="15" fillId="0" borderId="9" xfId="0" applyNumberFormat="1" applyFont="1" applyBorder="1" applyAlignment="1">
      <alignment horizontal="left" vertical="center" wrapText="1"/>
    </xf>
    <xf numFmtId="2" fontId="15" fillId="0" borderId="9" xfId="0" applyNumberFormat="1" applyFont="1" applyBorder="1" applyAlignment="1">
      <alignment horizontal="left" vertical="center"/>
    </xf>
    <xf numFmtId="172" fontId="15" fillId="0" borderId="9" xfId="0" applyNumberFormat="1" applyFont="1" applyBorder="1" applyAlignment="1">
      <alignment horizontal="left" vertical="center" wrapText="1"/>
    </xf>
    <xf numFmtId="166" fontId="15" fillId="0" borderId="9" xfId="1" applyNumberFormat="1" applyFont="1" applyFill="1" applyBorder="1" applyAlignment="1">
      <alignment vertical="center" wrapText="1"/>
    </xf>
    <xf numFmtId="0" fontId="15" fillId="0" borderId="9" xfId="0" applyFont="1" applyBorder="1" applyAlignment="1">
      <alignment horizontal="center" vertical="center" wrapText="1"/>
    </xf>
    <xf numFmtId="172" fontId="15" fillId="0" borderId="9" xfId="0" applyNumberFormat="1" applyFont="1" applyBorder="1" applyAlignment="1">
      <alignment horizontal="center" vertical="center" wrapText="1"/>
    </xf>
    <xf numFmtId="10" fontId="15" fillId="0" borderId="9" xfId="0" applyNumberFormat="1" applyFont="1" applyBorder="1" applyAlignment="1">
      <alignment horizontal="left" vertical="center" wrapText="1"/>
    </xf>
    <xf numFmtId="166" fontId="15" fillId="0" borderId="9" xfId="1" applyNumberFormat="1" applyFont="1" applyBorder="1" applyAlignment="1">
      <alignment horizontal="left" vertical="center" wrapText="1"/>
    </xf>
    <xf numFmtId="170" fontId="15" fillId="0" borderId="9" xfId="0" applyNumberFormat="1" applyFont="1" applyBorder="1" applyAlignment="1">
      <alignment horizontal="left" vertical="center"/>
    </xf>
    <xf numFmtId="0" fontId="13" fillId="13" borderId="9" xfId="0" applyFont="1" applyFill="1" applyBorder="1" applyAlignment="1">
      <alignment horizontal="left" vertical="center"/>
    </xf>
    <xf numFmtId="173" fontId="13" fillId="0" borderId="9" xfId="0" applyNumberFormat="1" applyFont="1" applyBorder="1" applyAlignment="1">
      <alignment horizontal="center" vertical="center" wrapText="1"/>
    </xf>
    <xf numFmtId="10" fontId="13" fillId="0" borderId="9" xfId="0" applyNumberFormat="1" applyFont="1" applyBorder="1" applyAlignment="1">
      <alignment horizontal="left" vertical="center" wrapText="1"/>
    </xf>
    <xf numFmtId="172" fontId="19" fillId="0" borderId="9" xfId="0" applyNumberFormat="1" applyFont="1" applyBorder="1" applyAlignment="1">
      <alignment horizontal="left" vertical="center" wrapText="1"/>
    </xf>
    <xf numFmtId="166" fontId="13" fillId="11" borderId="9" xfId="1" applyNumberFormat="1" applyFont="1" applyFill="1" applyBorder="1" applyAlignment="1">
      <alignment horizontal="left" vertical="center" wrapText="1"/>
    </xf>
    <xf numFmtId="0" fontId="20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10" fontId="6" fillId="0" borderId="0" xfId="0" applyNumberFormat="1" applyFont="1" applyAlignment="1">
      <alignment horizontal="left" vertical="center" wrapText="1"/>
    </xf>
    <xf numFmtId="172" fontId="21" fillId="0" borderId="0" xfId="0" applyNumberFormat="1" applyFont="1" applyAlignment="1">
      <alignment horizontal="left" vertical="center" wrapText="1"/>
    </xf>
    <xf numFmtId="166" fontId="21" fillId="0" borderId="1" xfId="1" applyNumberFormat="1" applyFont="1" applyBorder="1" applyAlignment="1">
      <alignment horizontal="left" vertical="center" wrapText="1"/>
    </xf>
    <xf numFmtId="168" fontId="6" fillId="0" borderId="28" xfId="1" applyNumberFormat="1" applyFont="1" applyBorder="1" applyAlignment="1">
      <alignment horizontal="left" vertical="center" wrapText="1"/>
    </xf>
    <xf numFmtId="0" fontId="5" fillId="10" borderId="2" xfId="0" applyFont="1" applyFill="1" applyBorder="1" applyAlignment="1">
      <alignment horizontal="left" vertical="center" wrapText="1"/>
    </xf>
    <xf numFmtId="0" fontId="5" fillId="10" borderId="3" xfId="0" applyFont="1" applyFill="1" applyBorder="1" applyAlignment="1">
      <alignment horizontal="left" vertical="center" wrapText="1"/>
    </xf>
    <xf numFmtId="169" fontId="9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left" vertical="center" wrapText="1"/>
    </xf>
    <xf numFmtId="166" fontId="9" fillId="0" borderId="0" xfId="0" applyNumberFormat="1" applyFont="1" applyAlignment="1">
      <alignment horizontal="left" vertical="center" wrapText="1"/>
    </xf>
    <xf numFmtId="167" fontId="5" fillId="2" borderId="9" xfId="0" applyNumberFormat="1" applyFont="1" applyFill="1" applyBorder="1" applyAlignment="1">
      <alignment vertical="center" wrapText="1"/>
    </xf>
    <xf numFmtId="165" fontId="4" fillId="0" borderId="0" xfId="0" applyNumberFormat="1" applyFont="1" applyAlignment="1">
      <alignment horizontal="left" vertical="center"/>
    </xf>
    <xf numFmtId="0" fontId="7" fillId="14" borderId="0" xfId="0" applyFont="1" applyFill="1" applyAlignment="1">
      <alignment horizontal="center" vertical="center" wrapText="1"/>
    </xf>
    <xf numFmtId="10" fontId="7" fillId="14" borderId="0" xfId="0" applyNumberFormat="1" applyFont="1" applyFill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43" fontId="7" fillId="0" borderId="0" xfId="0" applyNumberFormat="1" applyFon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0" fontId="7" fillId="14" borderId="1" xfId="0" applyFont="1" applyFill="1" applyBorder="1" applyAlignment="1">
      <alignment horizontal="center" vertical="center" wrapText="1"/>
    </xf>
    <xf numFmtId="10" fontId="7" fillId="14" borderId="1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43" fontId="9" fillId="0" borderId="0" xfId="0" applyNumberFormat="1" applyFont="1" applyAlignment="1">
      <alignment horizontal="left" vertical="center" wrapText="1"/>
    </xf>
    <xf numFmtId="10" fontId="0" fillId="0" borderId="0" xfId="0" applyNumberFormat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178" fontId="13" fillId="7" borderId="9" xfId="1" applyNumberFormat="1" applyFont="1" applyFill="1" applyBorder="1" applyAlignment="1">
      <alignment horizontal="left" vertical="center" wrapText="1"/>
    </xf>
    <xf numFmtId="178" fontId="15" fillId="7" borderId="9" xfId="1" applyNumberFormat="1" applyFont="1" applyFill="1" applyBorder="1" applyAlignment="1">
      <alignment horizontal="right" vertical="center" wrapText="1"/>
    </xf>
    <xf numFmtId="178" fontId="15" fillId="7" borderId="9" xfId="1" applyNumberFormat="1" applyFont="1" applyFill="1" applyBorder="1" applyAlignment="1">
      <alignment horizontal="left" vertical="center" wrapText="1"/>
    </xf>
    <xf numFmtId="178" fontId="13" fillId="11" borderId="9" xfId="1" applyNumberFormat="1" applyFont="1" applyFill="1" applyBorder="1" applyAlignment="1">
      <alignment horizontal="right" vertical="center" wrapText="1"/>
    </xf>
    <xf numFmtId="178" fontId="15" fillId="7" borderId="9" xfId="1" applyNumberFormat="1" applyFont="1" applyFill="1" applyBorder="1" applyAlignment="1">
      <alignment horizontal="right" vertical="center"/>
    </xf>
    <xf numFmtId="178" fontId="0" fillId="0" borderId="0" xfId="0" applyNumberFormat="1" applyAlignment="1">
      <alignment horizontal="left" vertical="center"/>
    </xf>
    <xf numFmtId="178" fontId="15" fillId="9" borderId="9" xfId="1" applyNumberFormat="1" applyFont="1" applyFill="1" applyBorder="1" applyAlignment="1">
      <alignment vertical="center" wrapText="1"/>
    </xf>
    <xf numFmtId="178" fontId="15" fillId="0" borderId="9" xfId="1" applyNumberFormat="1" applyFont="1" applyFill="1" applyBorder="1" applyAlignment="1">
      <alignment horizontal="left" vertical="center" wrapText="1"/>
    </xf>
    <xf numFmtId="178" fontId="19" fillId="0" borderId="9" xfId="1" applyNumberFormat="1" applyFont="1" applyBorder="1" applyAlignment="1">
      <alignment horizontal="left" vertical="center" wrapText="1"/>
    </xf>
    <xf numFmtId="178" fontId="6" fillId="10" borderId="17" xfId="1" applyNumberFormat="1" applyFont="1" applyFill="1" applyBorder="1" applyAlignment="1">
      <alignment horizontal="left" vertical="center" wrapText="1"/>
    </xf>
    <xf numFmtId="178" fontId="6" fillId="10" borderId="3" xfId="1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179" fontId="0" fillId="0" borderId="9" xfId="0" applyNumberForma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 wrapText="1"/>
    </xf>
    <xf numFmtId="16" fontId="0" fillId="0" borderId="0" xfId="0" applyNumberFormat="1" applyAlignment="1">
      <alignment horizontal="left" vertical="center"/>
    </xf>
    <xf numFmtId="177" fontId="9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25" fillId="0" borderId="0" xfId="0" applyFont="1" applyAlignment="1">
      <alignment vertical="top" wrapText="1"/>
    </xf>
    <xf numFmtId="0" fontId="26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8" fillId="0" borderId="32" xfId="0" applyFont="1" applyBorder="1" applyAlignment="1">
      <alignment horizontal="center" vertical="center"/>
    </xf>
    <xf numFmtId="14" fontId="28" fillId="0" borderId="32" xfId="0" applyNumberFormat="1" applyFont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30" fillId="0" borderId="0" xfId="4"/>
    <xf numFmtId="0" fontId="28" fillId="0" borderId="36" xfId="0" applyFont="1" applyBorder="1"/>
    <xf numFmtId="0" fontId="28" fillId="0" borderId="37" xfId="0" applyFont="1" applyBorder="1"/>
    <xf numFmtId="0" fontId="28" fillId="0" borderId="38" xfId="0" applyFont="1" applyBorder="1"/>
    <xf numFmtId="14" fontId="28" fillId="0" borderId="38" xfId="0" applyNumberFormat="1" applyFont="1" applyBorder="1"/>
    <xf numFmtId="0" fontId="28" fillId="0" borderId="32" xfId="0" applyFont="1" applyBorder="1" applyAlignment="1">
      <alignment horizontal="center" vertical="center" wrapText="1"/>
    </xf>
    <xf numFmtId="165" fontId="28" fillId="0" borderId="32" xfId="0" applyNumberFormat="1" applyFont="1" applyBorder="1" applyAlignment="1">
      <alignment vertical="center"/>
    </xf>
    <xf numFmtId="2" fontId="28" fillId="0" borderId="32" xfId="0" applyNumberFormat="1" applyFont="1" applyBorder="1" applyAlignment="1">
      <alignment vertical="center"/>
    </xf>
    <xf numFmtId="4" fontId="28" fillId="0" borderId="32" xfId="0" applyNumberFormat="1" applyFont="1" applyBorder="1" applyAlignment="1">
      <alignment vertical="center"/>
    </xf>
    <xf numFmtId="4" fontId="24" fillId="0" borderId="32" xfId="0" applyNumberFormat="1" applyFont="1" applyBorder="1"/>
    <xf numFmtId="0" fontId="28" fillId="0" borderId="39" xfId="0" applyFont="1" applyBorder="1" applyAlignment="1">
      <alignment horizontal="left"/>
    </xf>
    <xf numFmtId="0" fontId="28" fillId="0" borderId="40" xfId="0" applyFont="1" applyBorder="1" applyAlignment="1">
      <alignment horizontal="center"/>
    </xf>
    <xf numFmtId="4" fontId="28" fillId="0" borderId="32" xfId="0" applyNumberFormat="1" applyFont="1" applyBorder="1"/>
    <xf numFmtId="0" fontId="0" fillId="0" borderId="31" xfId="0" applyBorder="1"/>
    <xf numFmtId="0" fontId="2" fillId="0" borderId="0" xfId="0" applyFont="1" applyAlignment="1">
      <alignment horizontal="center"/>
    </xf>
    <xf numFmtId="0" fontId="27" fillId="15" borderId="0" xfId="0" applyFont="1" applyFill="1" applyAlignment="1">
      <alignment vertical="center"/>
    </xf>
    <xf numFmtId="0" fontId="29" fillId="15" borderId="0" xfId="0" applyFont="1" applyFill="1" applyAlignment="1">
      <alignment horizontal="left" vertical="center"/>
    </xf>
    <xf numFmtId="0" fontId="29" fillId="15" borderId="0" xfId="0" applyFont="1" applyFill="1" applyAlignment="1">
      <alignment vertical="center"/>
    </xf>
    <xf numFmtId="0" fontId="28" fillId="15" borderId="0" xfId="0" applyFont="1" applyFill="1" applyAlignment="1">
      <alignment vertical="center"/>
    </xf>
    <xf numFmtId="0" fontId="26" fillId="16" borderId="0" xfId="0" applyFont="1" applyFill="1" applyAlignment="1">
      <alignment horizontal="left" vertical="center"/>
    </xf>
    <xf numFmtId="0" fontId="26" fillId="16" borderId="0" xfId="0" applyFont="1" applyFill="1" applyAlignment="1">
      <alignment vertical="center"/>
    </xf>
    <xf numFmtId="0" fontId="28" fillId="16" borderId="0" xfId="0" applyFont="1" applyFill="1" applyAlignment="1">
      <alignment vertical="center"/>
    </xf>
    <xf numFmtId="0" fontId="26" fillId="16" borderId="0" xfId="0" applyFont="1" applyFill="1"/>
    <xf numFmtId="0" fontId="28" fillId="16" borderId="0" xfId="0" applyFont="1" applyFill="1"/>
    <xf numFmtId="0" fontId="26" fillId="16" borderId="0" xfId="0" applyFont="1" applyFill="1" applyAlignment="1">
      <alignment horizontal="left"/>
    </xf>
    <xf numFmtId="0" fontId="28" fillId="16" borderId="0" xfId="0" applyFont="1" applyFill="1" applyAlignment="1">
      <alignment horizontal="left"/>
    </xf>
    <xf numFmtId="0" fontId="27" fillId="15" borderId="33" xfId="0" applyFont="1" applyFill="1" applyBorder="1"/>
    <xf numFmtId="0" fontId="27" fillId="15" borderId="34" xfId="0" applyFont="1" applyFill="1" applyBorder="1"/>
    <xf numFmtId="0" fontId="27" fillId="15" borderId="35" xfId="0" applyFont="1" applyFill="1" applyBorder="1"/>
    <xf numFmtId="0" fontId="29" fillId="15" borderId="32" xfId="0" applyFont="1" applyFill="1" applyBorder="1" applyAlignment="1">
      <alignment horizontal="center" vertical="center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11"/>
    </xf>
    <xf numFmtId="168" fontId="6" fillId="0" borderId="46" xfId="1" applyNumberFormat="1" applyFont="1" applyFill="1" applyBorder="1" applyAlignment="1">
      <alignment horizontal="left" vertical="center" wrapText="1"/>
    </xf>
    <xf numFmtId="168" fontId="9" fillId="9" borderId="46" xfId="1" applyNumberFormat="1" applyFont="1" applyFill="1" applyBorder="1" applyAlignment="1">
      <alignment horizontal="left" vertical="center" wrapText="1"/>
    </xf>
    <xf numFmtId="168" fontId="9" fillId="0" borderId="46" xfId="1" applyNumberFormat="1" applyFont="1" applyFill="1" applyBorder="1" applyAlignment="1">
      <alignment horizontal="left" vertical="center" wrapText="1"/>
    </xf>
    <xf numFmtId="174" fontId="6" fillId="0" borderId="50" xfId="2" applyNumberFormat="1" applyFont="1" applyBorder="1" applyAlignment="1">
      <alignment horizontal="left" vertical="center" wrapText="1"/>
    </xf>
    <xf numFmtId="178" fontId="6" fillId="10" borderId="50" xfId="2" applyNumberFormat="1" applyFont="1" applyFill="1" applyBorder="1" applyAlignment="1">
      <alignment horizontal="left" vertical="center" wrapText="1"/>
    </xf>
    <xf numFmtId="178" fontId="6" fillId="10" borderId="16" xfId="2" applyNumberFormat="1" applyFont="1" applyFill="1" applyBorder="1" applyAlignment="1">
      <alignment horizontal="left" vertical="center" wrapText="1"/>
    </xf>
    <xf numFmtId="0" fontId="9" fillId="0" borderId="28" xfId="0" applyFont="1" applyBorder="1" applyAlignment="1">
      <alignment horizontal="left" vertical="center" wrapText="1"/>
    </xf>
    <xf numFmtId="178" fontId="6" fillId="10" borderId="29" xfId="1" applyNumberFormat="1" applyFont="1" applyFill="1" applyBorder="1" applyAlignment="1">
      <alignment horizontal="left" vertical="center" wrapText="1"/>
    </xf>
    <xf numFmtId="167" fontId="5" fillId="2" borderId="15" xfId="0" applyNumberFormat="1" applyFont="1" applyFill="1" applyBorder="1" applyAlignment="1">
      <alignment vertical="center" wrapText="1"/>
    </xf>
    <xf numFmtId="176" fontId="7" fillId="0" borderId="16" xfId="2" applyNumberFormat="1" applyFont="1" applyFill="1" applyBorder="1" applyAlignment="1">
      <alignment horizontal="left" vertical="center" wrapText="1"/>
    </xf>
    <xf numFmtId="167" fontId="5" fillId="2" borderId="29" xfId="0" applyNumberFormat="1" applyFont="1" applyFill="1" applyBorder="1" applyAlignment="1">
      <alignment vertical="center" wrapText="1"/>
    </xf>
    <xf numFmtId="0" fontId="32" fillId="0" borderId="0" xfId="0" applyFont="1" applyAlignment="1">
      <alignment horizontal="left" vertical="center"/>
    </xf>
    <xf numFmtId="0" fontId="32" fillId="0" borderId="44" xfId="0" applyFont="1" applyBorder="1" applyAlignment="1">
      <alignment horizontal="left" vertical="center"/>
    </xf>
    <xf numFmtId="0" fontId="32" fillId="0" borderId="0" xfId="0" applyFont="1" applyAlignment="1">
      <alignment horizontal="left" vertical="center" wrapText="1"/>
    </xf>
    <xf numFmtId="0" fontId="9" fillId="0" borderId="45" xfId="0" applyFont="1" applyBorder="1" applyAlignment="1">
      <alignment horizontal="center" vertical="center"/>
    </xf>
    <xf numFmtId="0" fontId="32" fillId="0" borderId="1" xfId="0" applyFont="1" applyBorder="1" applyAlignment="1">
      <alignment horizontal="left" vertical="center" wrapText="1"/>
    </xf>
    <xf numFmtId="0" fontId="32" fillId="0" borderId="45" xfId="0" applyFont="1" applyBorder="1" applyAlignment="1">
      <alignment horizontal="left" vertical="center"/>
    </xf>
    <xf numFmtId="16" fontId="6" fillId="6" borderId="29" xfId="0" quotePrefix="1" applyNumberFormat="1" applyFont="1" applyFill="1" applyBorder="1" applyAlignment="1">
      <alignment horizontal="center" vertical="center"/>
    </xf>
    <xf numFmtId="168" fontId="6" fillId="11" borderId="47" xfId="0" applyNumberFormat="1" applyFont="1" applyFill="1" applyBorder="1" applyAlignment="1">
      <alignment horizontal="left" vertical="center"/>
    </xf>
    <xf numFmtId="166" fontId="33" fillId="0" borderId="3" xfId="0" applyNumberFormat="1" applyFont="1" applyBorder="1" applyAlignment="1">
      <alignment horizontal="left" vertical="center" wrapText="1"/>
    </xf>
    <xf numFmtId="0" fontId="33" fillId="0" borderId="3" xfId="0" applyFont="1" applyBorder="1" applyAlignment="1">
      <alignment horizontal="left" vertical="center" wrapText="1"/>
    </xf>
    <xf numFmtId="0" fontId="5" fillId="5" borderId="23" xfId="0" applyFont="1" applyFill="1" applyBorder="1" applyAlignment="1">
      <alignment horizontal="left" vertical="center" wrapText="1"/>
    </xf>
    <xf numFmtId="0" fontId="5" fillId="5" borderId="24" xfId="0" applyFont="1" applyFill="1" applyBorder="1" applyAlignment="1">
      <alignment horizontal="left" vertical="center" wrapText="1"/>
    </xf>
    <xf numFmtId="0" fontId="5" fillId="5" borderId="24" xfId="0" applyFont="1" applyFill="1" applyBorder="1" applyAlignment="1">
      <alignment horizontal="center" vertical="center" wrapText="1"/>
    </xf>
    <xf numFmtId="10" fontId="5" fillId="5" borderId="24" xfId="0" applyNumberFormat="1" applyFont="1" applyFill="1" applyBorder="1" applyAlignment="1">
      <alignment horizontal="left" vertical="center" wrapText="1"/>
    </xf>
    <xf numFmtId="0" fontId="5" fillId="5" borderId="18" xfId="0" applyFont="1" applyFill="1" applyBorder="1" applyAlignment="1">
      <alignment horizontal="left" vertical="center" wrapText="1"/>
    </xf>
    <xf numFmtId="166" fontId="5" fillId="5" borderId="18" xfId="0" applyNumberFormat="1" applyFont="1" applyFill="1" applyBorder="1" applyAlignment="1">
      <alignment horizontal="left" vertical="center" wrapText="1"/>
    </xf>
    <xf numFmtId="0" fontId="5" fillId="5" borderId="19" xfId="0" applyFont="1" applyFill="1" applyBorder="1" applyAlignment="1">
      <alignment horizontal="left" vertical="center" wrapText="1"/>
    </xf>
    <xf numFmtId="0" fontId="5" fillId="5" borderId="48" xfId="0" applyFont="1" applyFill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center" vertical="center" wrapText="1"/>
    </xf>
    <xf numFmtId="10" fontId="5" fillId="0" borderId="26" xfId="0" applyNumberFormat="1" applyFont="1" applyBorder="1" applyAlignment="1">
      <alignment horizontal="left" vertical="center" wrapText="1"/>
    </xf>
    <xf numFmtId="0" fontId="7" fillId="0" borderId="27" xfId="0" applyFont="1" applyBorder="1" applyAlignment="1">
      <alignment horizontal="left" vertical="center" wrapText="1"/>
    </xf>
    <xf numFmtId="166" fontId="5" fillId="12" borderId="27" xfId="0" applyNumberFormat="1" applyFont="1" applyFill="1" applyBorder="1" applyAlignment="1">
      <alignment horizontal="left" vertical="center" wrapText="1"/>
    </xf>
    <xf numFmtId="0" fontId="5" fillId="12" borderId="27" xfId="0" applyFont="1" applyFill="1" applyBorder="1" applyAlignment="1">
      <alignment horizontal="left" vertical="center" wrapText="1"/>
    </xf>
    <xf numFmtId="0" fontId="5" fillId="12" borderId="28" xfId="0" applyFont="1" applyFill="1" applyBorder="1" applyAlignment="1">
      <alignment horizontal="left" vertical="center" wrapText="1"/>
    </xf>
    <xf numFmtId="0" fontId="5" fillId="12" borderId="49" xfId="0" applyFont="1" applyFill="1" applyBorder="1" applyAlignment="1">
      <alignment horizontal="left" vertical="center" wrapText="1"/>
    </xf>
    <xf numFmtId="0" fontId="7" fillId="7" borderId="9" xfId="3" applyFont="1" applyFill="1" applyBorder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2" fontId="34" fillId="7" borderId="9" xfId="3" applyNumberFormat="1" applyFont="1" applyFill="1" applyBorder="1" applyAlignment="1">
      <alignment horizontal="center" vertical="center" wrapText="1"/>
    </xf>
    <xf numFmtId="10" fontId="7" fillId="7" borderId="9" xfId="0" applyNumberFormat="1" applyFont="1" applyFill="1" applyBorder="1" applyAlignment="1">
      <alignment horizontal="left" vertical="center"/>
    </xf>
    <xf numFmtId="2" fontId="7" fillId="7" borderId="9" xfId="0" applyNumberFormat="1" applyFont="1" applyFill="1" applyBorder="1" applyAlignment="1">
      <alignment horizontal="left" vertical="center"/>
    </xf>
    <xf numFmtId="169" fontId="7" fillId="7" borderId="9" xfId="0" applyNumberFormat="1" applyFont="1" applyFill="1" applyBorder="1" applyAlignment="1">
      <alignment horizontal="left" vertical="center"/>
    </xf>
    <xf numFmtId="0" fontId="7" fillId="7" borderId="9" xfId="0" applyFont="1" applyFill="1" applyBorder="1" applyAlignment="1">
      <alignment horizontal="left" vertical="center" wrapText="1"/>
    </xf>
    <xf numFmtId="178" fontId="5" fillId="7" borderId="9" xfId="1" applyNumberFormat="1" applyFont="1" applyFill="1" applyBorder="1" applyAlignment="1">
      <alignment horizontal="left" vertical="center" wrapText="1"/>
    </xf>
    <xf numFmtId="178" fontId="7" fillId="7" borderId="9" xfId="1" applyNumberFormat="1" applyFont="1" applyFill="1" applyBorder="1" applyAlignment="1">
      <alignment horizontal="right" vertical="center" wrapText="1"/>
    </xf>
    <xf numFmtId="178" fontId="7" fillId="7" borderId="9" xfId="1" applyNumberFormat="1" applyFont="1" applyFill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165" fontId="7" fillId="0" borderId="45" xfId="0" applyNumberFormat="1" applyFont="1" applyBorder="1" applyAlignment="1">
      <alignment horizontal="left" vertical="center"/>
    </xf>
    <xf numFmtId="0" fontId="5" fillId="13" borderId="9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/>
    </xf>
    <xf numFmtId="170" fontId="5" fillId="0" borderId="9" xfId="0" applyNumberFormat="1" applyFont="1" applyBorder="1" applyAlignment="1">
      <alignment horizontal="center" vertical="center" wrapText="1"/>
    </xf>
    <xf numFmtId="10" fontId="7" fillId="0" borderId="9" xfId="0" applyNumberFormat="1" applyFont="1" applyBorder="1" applyAlignment="1">
      <alignment horizontal="left" vertical="center"/>
    </xf>
    <xf numFmtId="166" fontId="35" fillId="0" borderId="9" xfId="1" applyNumberFormat="1" applyFont="1" applyFill="1" applyBorder="1" applyAlignment="1">
      <alignment horizontal="left" vertical="center" wrapText="1"/>
    </xf>
    <xf numFmtId="178" fontId="5" fillId="11" borderId="9" xfId="1" applyNumberFormat="1" applyFont="1" applyFill="1" applyBorder="1" applyAlignment="1">
      <alignment horizontal="right" vertical="center" wrapText="1"/>
    </xf>
    <xf numFmtId="178" fontId="5" fillId="11" borderId="50" xfId="2" applyNumberFormat="1" applyFont="1" applyFill="1" applyBorder="1" applyAlignment="1">
      <alignment horizontal="left" vertical="center" wrapText="1"/>
    </xf>
    <xf numFmtId="178" fontId="5" fillId="11" borderId="51" xfId="1" applyNumberFormat="1" applyFont="1" applyFill="1" applyBorder="1" applyAlignment="1">
      <alignment horizontal="right" vertical="center" wrapText="1"/>
    </xf>
    <xf numFmtId="168" fontId="7" fillId="0" borderId="9" xfId="1" applyNumberFormat="1" applyFont="1" applyFill="1" applyBorder="1" applyAlignment="1">
      <alignment horizontal="left" vertical="center" wrapText="1"/>
    </xf>
    <xf numFmtId="166" fontId="7" fillId="0" borderId="9" xfId="1" applyNumberFormat="1" applyFont="1" applyFill="1" applyBorder="1" applyAlignment="1">
      <alignment horizontal="left" vertical="center" wrapText="1"/>
    </xf>
    <xf numFmtId="0" fontId="7" fillId="12" borderId="10" xfId="0" applyFont="1" applyFill="1" applyBorder="1" applyAlignment="1">
      <alignment horizontal="left" vertical="center" wrapText="1"/>
    </xf>
    <xf numFmtId="0" fontId="7" fillId="7" borderId="9" xfId="3" applyFont="1" applyFill="1" applyBorder="1" applyAlignment="1">
      <alignment vertical="center" wrapText="1"/>
    </xf>
    <xf numFmtId="0" fontId="7" fillId="7" borderId="9" xfId="0" applyFont="1" applyFill="1" applyBorder="1" applyAlignment="1">
      <alignment vertical="center"/>
    </xf>
    <xf numFmtId="2" fontId="7" fillId="7" borderId="9" xfId="3" applyNumberFormat="1" applyFont="1" applyFill="1" applyBorder="1" applyAlignment="1">
      <alignment horizontal="left" vertical="center" wrapText="1"/>
    </xf>
    <xf numFmtId="170" fontId="7" fillId="7" borderId="9" xfId="0" applyNumberFormat="1" applyFont="1" applyFill="1" applyBorder="1" applyAlignment="1">
      <alignment horizontal="left" vertical="center"/>
    </xf>
    <xf numFmtId="178" fontId="7" fillId="7" borderId="9" xfId="1" applyNumberFormat="1" applyFont="1" applyFill="1" applyBorder="1" applyAlignment="1">
      <alignment horizontal="right" vertical="center"/>
    </xf>
    <xf numFmtId="178" fontId="5" fillId="7" borderId="10" xfId="2" applyNumberFormat="1" applyFont="1" applyFill="1" applyBorder="1" applyAlignment="1">
      <alignment horizontal="left" vertical="center" wrapText="1"/>
    </xf>
    <xf numFmtId="178" fontId="32" fillId="0" borderId="45" xfId="0" applyNumberFormat="1" applyFont="1" applyBorder="1" applyAlignment="1">
      <alignment horizontal="left" vertical="center"/>
    </xf>
    <xf numFmtId="178" fontId="32" fillId="0" borderId="0" xfId="0" applyNumberFormat="1" applyFont="1" applyAlignment="1">
      <alignment horizontal="left" vertical="center"/>
    </xf>
    <xf numFmtId="0" fontId="7" fillId="7" borderId="9" xfId="0" applyFont="1" applyFill="1" applyBorder="1" applyAlignment="1">
      <alignment horizontal="left" vertical="center"/>
    </xf>
    <xf numFmtId="171" fontId="7" fillId="7" borderId="9" xfId="0" applyNumberFormat="1" applyFont="1" applyFill="1" applyBorder="1" applyAlignment="1">
      <alignment horizontal="left" vertical="center" wrapText="1"/>
    </xf>
    <xf numFmtId="172" fontId="7" fillId="7" borderId="9" xfId="0" applyNumberFormat="1" applyFont="1" applyFill="1" applyBorder="1" applyAlignment="1">
      <alignment horizontal="left" vertical="center" wrapText="1"/>
    </xf>
    <xf numFmtId="168" fontId="7" fillId="7" borderId="9" xfId="1" applyNumberFormat="1" applyFont="1" applyFill="1" applyBorder="1" applyAlignment="1">
      <alignment horizontal="left" vertical="center" wrapText="1"/>
    </xf>
    <xf numFmtId="166" fontId="7" fillId="7" borderId="9" xfId="1" applyNumberFormat="1" applyFont="1" applyFill="1" applyBorder="1" applyAlignment="1">
      <alignment vertical="center" wrapText="1"/>
    </xf>
    <xf numFmtId="166" fontId="7" fillId="7" borderId="9" xfId="1" applyNumberFormat="1" applyFont="1" applyFill="1" applyBorder="1" applyAlignment="1">
      <alignment horizontal="left" vertical="center" wrapText="1"/>
    </xf>
    <xf numFmtId="168" fontId="7" fillId="0" borderId="10" xfId="1" applyNumberFormat="1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171" fontId="7" fillId="0" borderId="9" xfId="0" applyNumberFormat="1" applyFont="1" applyBorder="1" applyAlignment="1">
      <alignment horizontal="left" vertical="center" wrapText="1"/>
    </xf>
    <xf numFmtId="2" fontId="7" fillId="0" borderId="9" xfId="0" applyNumberFormat="1" applyFont="1" applyBorder="1" applyAlignment="1">
      <alignment horizontal="left" vertical="center"/>
    </xf>
    <xf numFmtId="172" fontId="7" fillId="0" borderId="9" xfId="0" applyNumberFormat="1" applyFont="1" applyBorder="1" applyAlignment="1">
      <alignment horizontal="left" vertical="center" wrapText="1"/>
    </xf>
    <xf numFmtId="178" fontId="7" fillId="11" borderId="10" xfId="1" applyNumberFormat="1" applyFont="1" applyFill="1" applyBorder="1" applyAlignment="1">
      <alignment horizontal="left" vertical="center"/>
    </xf>
    <xf numFmtId="172" fontId="7" fillId="0" borderId="9" xfId="0" applyNumberFormat="1" applyFont="1" applyBorder="1" applyAlignment="1">
      <alignment horizontal="center" vertical="center" wrapText="1"/>
    </xf>
    <xf numFmtId="166" fontId="7" fillId="0" borderId="9" xfId="1" applyNumberFormat="1" applyFont="1" applyBorder="1" applyAlignment="1">
      <alignment horizontal="left" vertical="center" wrapText="1"/>
    </xf>
    <xf numFmtId="170" fontId="7" fillId="0" borderId="9" xfId="0" applyNumberFormat="1" applyFont="1" applyBorder="1" applyAlignment="1">
      <alignment horizontal="left" vertical="center"/>
    </xf>
    <xf numFmtId="178" fontId="7" fillId="0" borderId="9" xfId="1" applyNumberFormat="1" applyFont="1" applyFill="1" applyBorder="1" applyAlignment="1">
      <alignment horizontal="left" vertical="center" wrapText="1"/>
    </xf>
    <xf numFmtId="0" fontId="5" fillId="13" borderId="9" xfId="0" applyFont="1" applyFill="1" applyBorder="1" applyAlignment="1">
      <alignment horizontal="left" vertical="center"/>
    </xf>
    <xf numFmtId="173" fontId="5" fillId="0" borderId="9" xfId="0" applyNumberFormat="1" applyFont="1" applyBorder="1" applyAlignment="1">
      <alignment horizontal="center" vertical="center" wrapText="1"/>
    </xf>
    <xf numFmtId="10" fontId="5" fillId="0" borderId="9" xfId="0" applyNumberFormat="1" applyFont="1" applyBorder="1" applyAlignment="1">
      <alignment horizontal="left" vertical="center" wrapText="1"/>
    </xf>
    <xf numFmtId="172" fontId="36" fillId="0" borderId="9" xfId="0" applyNumberFormat="1" applyFont="1" applyBorder="1" applyAlignment="1">
      <alignment horizontal="left" vertical="center" wrapText="1"/>
    </xf>
    <xf numFmtId="178" fontId="36" fillId="0" borderId="9" xfId="1" applyNumberFormat="1" applyFont="1" applyBorder="1" applyAlignment="1">
      <alignment horizontal="left" vertical="center" wrapText="1"/>
    </xf>
    <xf numFmtId="166" fontId="5" fillId="11" borderId="9" xfId="1" applyNumberFormat="1" applyFont="1" applyFill="1" applyBorder="1" applyAlignment="1">
      <alignment horizontal="left" vertical="center" wrapText="1"/>
    </xf>
    <xf numFmtId="166" fontId="5" fillId="11" borderId="10" xfId="1" applyNumberFormat="1" applyFont="1" applyFill="1" applyBorder="1" applyAlignment="1">
      <alignment horizontal="left" vertical="center" wrapText="1"/>
    </xf>
    <xf numFmtId="166" fontId="5" fillId="11" borderId="51" xfId="1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75" fontId="32" fillId="0" borderId="45" xfId="0" applyNumberFormat="1" applyFont="1" applyBorder="1" applyAlignment="1">
      <alignment horizontal="left" vertical="center"/>
    </xf>
    <xf numFmtId="165" fontId="9" fillId="0" borderId="0" xfId="0" applyNumberFormat="1" applyFont="1" applyAlignment="1">
      <alignment horizontal="left" vertical="center"/>
    </xf>
    <xf numFmtId="2" fontId="32" fillId="0" borderId="0" xfId="0" applyNumberFormat="1" applyFont="1" applyAlignment="1">
      <alignment horizontal="left" vertical="center"/>
    </xf>
    <xf numFmtId="167" fontId="32" fillId="0" borderId="0" xfId="0" applyNumberFormat="1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10" fontId="32" fillId="0" borderId="0" xfId="0" applyNumberFormat="1" applyFont="1" applyAlignment="1">
      <alignment horizontal="left" vertical="center"/>
    </xf>
    <xf numFmtId="166" fontId="32" fillId="0" borderId="0" xfId="0" applyNumberFormat="1" applyFont="1" applyAlignment="1">
      <alignment horizontal="left" vertical="center"/>
    </xf>
    <xf numFmtId="16" fontId="32" fillId="0" borderId="0" xfId="0" applyNumberFormat="1" applyFont="1" applyAlignment="1">
      <alignment horizontal="left" vertical="center"/>
    </xf>
    <xf numFmtId="0" fontId="38" fillId="17" borderId="9" xfId="5" applyFont="1" applyFill="1" applyBorder="1" applyAlignment="1">
      <alignment horizontal="center" vertical="center" wrapText="1"/>
    </xf>
    <xf numFmtId="180" fontId="38" fillId="17" borderId="9" xfId="5" applyNumberFormat="1" applyFont="1" applyFill="1" applyBorder="1" applyAlignment="1">
      <alignment horizontal="center" vertical="center" wrapText="1"/>
    </xf>
    <xf numFmtId="4" fontId="38" fillId="17" borderId="9" xfId="5" applyNumberFormat="1" applyFont="1" applyFill="1" applyBorder="1" applyAlignment="1">
      <alignment horizontal="center" vertical="center" wrapText="1"/>
    </xf>
    <xf numFmtId="181" fontId="38" fillId="17" borderId="9" xfId="5" applyNumberFormat="1" applyFont="1" applyFill="1" applyBorder="1" applyAlignment="1">
      <alignment horizontal="center" vertical="center" wrapText="1"/>
    </xf>
    <xf numFmtId="0" fontId="37" fillId="0" borderId="9" xfId="5" applyBorder="1" applyAlignment="1">
      <alignment horizontal="center" vertical="center"/>
    </xf>
    <xf numFmtId="180" fontId="37" fillId="0" borderId="9" xfId="5" applyNumberFormat="1" applyBorder="1" applyAlignment="1">
      <alignment horizontal="center" vertical="center"/>
    </xf>
    <xf numFmtId="182" fontId="37" fillId="0" borderId="9" xfId="5" applyNumberFormat="1" applyBorder="1" applyAlignment="1">
      <alignment horizontal="center" vertical="center"/>
    </xf>
    <xf numFmtId="183" fontId="37" fillId="0" borderId="9" xfId="5" applyNumberFormat="1" applyBorder="1" applyAlignment="1">
      <alignment horizontal="center" vertical="center"/>
    </xf>
    <xf numFmtId="183" fontId="37" fillId="0" borderId="9" xfId="5" applyNumberFormat="1" applyBorder="1" applyAlignment="1">
      <alignment horizontal="center" vertical="center" wrapText="1"/>
    </xf>
    <xf numFmtId="0" fontId="37" fillId="0" borderId="9" xfId="5" applyBorder="1" applyAlignment="1">
      <alignment horizontal="center" vertical="center" wrapText="1"/>
    </xf>
    <xf numFmtId="184" fontId="37" fillId="0" borderId="9" xfId="5" applyNumberFormat="1" applyBorder="1" applyAlignment="1">
      <alignment horizontal="center" vertical="center"/>
    </xf>
    <xf numFmtId="0" fontId="38" fillId="17" borderId="9" xfId="5" applyFont="1" applyFill="1" applyBorder="1" applyAlignment="1">
      <alignment horizontal="left" vertical="center" wrapText="1"/>
    </xf>
    <xf numFmtId="0" fontId="37" fillId="0" borderId="9" xfId="5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180" fontId="0" fillId="0" borderId="9" xfId="0" applyNumberFormat="1" applyBorder="1" applyAlignment="1">
      <alignment horizontal="center" vertical="center"/>
    </xf>
    <xf numFmtId="182" fontId="0" fillId="0" borderId="9" xfId="0" applyNumberFormat="1" applyBorder="1" applyAlignment="1">
      <alignment horizontal="center" vertical="center"/>
    </xf>
    <xf numFmtId="183" fontId="0" fillId="0" borderId="9" xfId="0" applyNumberFormat="1" applyBorder="1" applyAlignment="1">
      <alignment horizontal="center" vertical="center"/>
    </xf>
    <xf numFmtId="183" fontId="0" fillId="0" borderId="9" xfId="0" applyNumberFormat="1" applyBorder="1" applyAlignment="1">
      <alignment horizontal="center" vertical="center" wrapText="1"/>
    </xf>
    <xf numFmtId="184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178" fontId="6" fillId="2" borderId="3" xfId="1" applyNumberFormat="1" applyFont="1" applyFill="1" applyBorder="1" applyAlignment="1">
      <alignment horizontal="left" vertical="center" wrapText="1"/>
    </xf>
    <xf numFmtId="178" fontId="6" fillId="2" borderId="29" xfId="1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8" fontId="11" fillId="0" borderId="19" xfId="1" applyNumberFormat="1" applyFont="1" applyFill="1" applyBorder="1" applyAlignment="1">
      <alignment horizontal="left" vertical="center" wrapText="1"/>
    </xf>
    <xf numFmtId="168" fontId="12" fillId="9" borderId="19" xfId="1" applyNumberFormat="1" applyFont="1" applyFill="1" applyBorder="1" applyAlignment="1">
      <alignment horizontal="left" vertical="center" wrapText="1"/>
    </xf>
    <xf numFmtId="9" fontId="6" fillId="10" borderId="50" xfId="2" applyFont="1" applyFill="1" applyBorder="1" applyAlignment="1">
      <alignment horizontal="left" vertical="center" wrapText="1"/>
    </xf>
    <xf numFmtId="0" fontId="13" fillId="5" borderId="48" xfId="0" applyFont="1" applyFill="1" applyBorder="1" applyAlignment="1">
      <alignment horizontal="left" vertical="center" wrapText="1"/>
    </xf>
    <xf numFmtId="0" fontId="13" fillId="12" borderId="49" xfId="0" applyFont="1" applyFill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178" fontId="13" fillId="11" borderId="50" xfId="2" applyNumberFormat="1" applyFont="1" applyFill="1" applyBorder="1" applyAlignment="1">
      <alignment horizontal="left" vertical="center" wrapText="1"/>
    </xf>
    <xf numFmtId="0" fontId="15" fillId="12" borderId="10" xfId="0" applyFont="1" applyFill="1" applyBorder="1" applyAlignment="1">
      <alignment horizontal="left" vertical="center" wrapText="1"/>
    </xf>
    <xf numFmtId="178" fontId="13" fillId="7" borderId="10" xfId="2" applyNumberFormat="1" applyFont="1" applyFill="1" applyBorder="1" applyAlignment="1">
      <alignment horizontal="left" vertical="center" wrapText="1"/>
    </xf>
    <xf numFmtId="168" fontId="15" fillId="0" borderId="10" xfId="1" applyNumberFormat="1" applyFont="1" applyFill="1" applyBorder="1" applyAlignment="1">
      <alignment horizontal="left" vertical="center"/>
    </xf>
    <xf numFmtId="178" fontId="15" fillId="11" borderId="10" xfId="1" applyNumberFormat="1" applyFont="1" applyFill="1" applyBorder="1" applyAlignment="1">
      <alignment horizontal="left" vertical="center"/>
    </xf>
    <xf numFmtId="166" fontId="13" fillId="11" borderId="10" xfId="1" applyNumberFormat="1" applyFont="1" applyFill="1" applyBorder="1" applyAlignment="1">
      <alignment horizontal="left" vertical="center" wrapText="1"/>
    </xf>
    <xf numFmtId="176" fontId="7" fillId="0" borderId="53" xfId="2" applyNumberFormat="1" applyFont="1" applyFill="1" applyBorder="1" applyAlignment="1">
      <alignment horizontal="left" vertical="center" wrapText="1"/>
    </xf>
    <xf numFmtId="0" fontId="0" fillId="0" borderId="54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6" fontId="8" fillId="6" borderId="13" xfId="0" quotePrefix="1" applyNumberFormat="1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168" fontId="6" fillId="0" borderId="23" xfId="1" applyNumberFormat="1" applyFont="1" applyFill="1" applyBorder="1" applyAlignment="1">
      <alignment horizontal="left" vertical="center" wrapText="1"/>
    </xf>
    <xf numFmtId="168" fontId="6" fillId="0" borderId="20" xfId="1" applyNumberFormat="1" applyFont="1" applyFill="1" applyBorder="1" applyAlignment="1">
      <alignment horizontal="left" vertical="center" wrapText="1"/>
    </xf>
    <xf numFmtId="168" fontId="9" fillId="9" borderId="23" xfId="1" applyNumberFormat="1" applyFont="1" applyFill="1" applyBorder="1" applyAlignment="1">
      <alignment horizontal="left" vertical="center" wrapText="1"/>
    </xf>
    <xf numFmtId="168" fontId="9" fillId="9" borderId="20" xfId="1" applyNumberFormat="1" applyFont="1" applyFill="1" applyBorder="1" applyAlignment="1">
      <alignment horizontal="left" vertical="center" wrapText="1"/>
    </xf>
    <xf numFmtId="168" fontId="9" fillId="0" borderId="23" xfId="1" applyNumberFormat="1" applyFont="1" applyFill="1" applyBorder="1" applyAlignment="1">
      <alignment horizontal="left" vertical="center" wrapText="1"/>
    </xf>
    <xf numFmtId="168" fontId="9" fillId="0" borderId="20" xfId="1" applyNumberFormat="1" applyFont="1" applyFill="1" applyBorder="1" applyAlignment="1">
      <alignment horizontal="left" vertical="center" wrapText="1"/>
    </xf>
    <xf numFmtId="168" fontId="8" fillId="11" borderId="13" xfId="0" applyNumberFormat="1" applyFont="1" applyFill="1" applyBorder="1" applyAlignment="1">
      <alignment horizontal="left" vertical="center"/>
    </xf>
    <xf numFmtId="168" fontId="8" fillId="11" borderId="12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5" fontId="17" fillId="0" borderId="12" xfId="0" applyNumberFormat="1" applyFont="1" applyBorder="1" applyAlignment="1">
      <alignment horizontal="left" vertical="center"/>
    </xf>
    <xf numFmtId="178" fontId="13" fillId="11" borderId="55" xfId="1" applyNumberFormat="1" applyFont="1" applyFill="1" applyBorder="1" applyAlignment="1">
      <alignment horizontal="right" vertical="center" wrapText="1"/>
    </xf>
    <xf numFmtId="178" fontId="13" fillId="11" borderId="30" xfId="1" applyNumberFormat="1" applyFont="1" applyFill="1" applyBorder="1" applyAlignment="1">
      <alignment horizontal="right" vertical="center" wrapText="1"/>
    </xf>
    <xf numFmtId="178" fontId="0" fillId="0" borderId="13" xfId="0" applyNumberFormat="1" applyBorder="1" applyAlignment="1">
      <alignment horizontal="left" vertical="center"/>
    </xf>
    <xf numFmtId="178" fontId="0" fillId="0" borderId="12" xfId="0" applyNumberFormat="1" applyBorder="1" applyAlignment="1">
      <alignment horizontal="left" vertical="center"/>
    </xf>
    <xf numFmtId="166" fontId="13" fillId="11" borderId="55" xfId="1" applyNumberFormat="1" applyFont="1" applyFill="1" applyBorder="1" applyAlignment="1">
      <alignment horizontal="left" vertical="center" wrapText="1"/>
    </xf>
    <xf numFmtId="166" fontId="13" fillId="11" borderId="30" xfId="1" applyNumberFormat="1" applyFont="1" applyFill="1" applyBorder="1" applyAlignment="1">
      <alignment horizontal="left" vertical="center" wrapText="1"/>
    </xf>
    <xf numFmtId="178" fontId="6" fillId="10" borderId="2" xfId="1" applyNumberFormat="1" applyFont="1" applyFill="1" applyBorder="1" applyAlignment="1">
      <alignment horizontal="left" vertical="center" wrapText="1"/>
    </xf>
    <xf numFmtId="178" fontId="6" fillId="10" borderId="4" xfId="1" applyNumberFormat="1" applyFont="1" applyFill="1" applyBorder="1" applyAlignment="1">
      <alignment horizontal="left" vertical="center" wrapText="1"/>
    </xf>
    <xf numFmtId="175" fontId="0" fillId="0" borderId="13" xfId="0" applyNumberFormat="1" applyBorder="1" applyAlignment="1">
      <alignment horizontal="left" vertical="center"/>
    </xf>
    <xf numFmtId="167" fontId="5" fillId="2" borderId="56" xfId="0" applyNumberFormat="1" applyFont="1" applyFill="1" applyBorder="1" applyAlignment="1">
      <alignment vertical="center" wrapText="1"/>
    </xf>
    <xf numFmtId="167" fontId="5" fillId="2" borderId="57" xfId="0" applyNumberFormat="1" applyFont="1" applyFill="1" applyBorder="1" applyAlignment="1">
      <alignment vertical="center" wrapText="1"/>
    </xf>
    <xf numFmtId="0" fontId="0" fillId="0" borderId="44" xfId="0" applyBorder="1" applyAlignment="1">
      <alignment horizontal="left" vertical="center"/>
    </xf>
    <xf numFmtId="0" fontId="4" fillId="0" borderId="45" xfId="0" applyFont="1" applyBorder="1" applyAlignment="1">
      <alignment horizontal="center" vertical="center"/>
    </xf>
    <xf numFmtId="0" fontId="0" fillId="0" borderId="45" xfId="0" applyBorder="1" applyAlignment="1">
      <alignment horizontal="left" vertical="center"/>
    </xf>
    <xf numFmtId="16" fontId="8" fillId="6" borderId="45" xfId="0" quotePrefix="1" applyNumberFormat="1" applyFont="1" applyFill="1" applyBorder="1" applyAlignment="1">
      <alignment horizontal="center" vertical="center"/>
    </xf>
    <xf numFmtId="168" fontId="8" fillId="11" borderId="45" xfId="0" applyNumberFormat="1" applyFont="1" applyFill="1" applyBorder="1" applyAlignment="1">
      <alignment horizontal="left" vertical="center"/>
    </xf>
    <xf numFmtId="165" fontId="17" fillId="0" borderId="45" xfId="0" applyNumberFormat="1" applyFont="1" applyBorder="1" applyAlignment="1">
      <alignment horizontal="left" vertical="center"/>
    </xf>
    <xf numFmtId="178" fontId="13" fillId="11" borderId="51" xfId="1" applyNumberFormat="1" applyFont="1" applyFill="1" applyBorder="1" applyAlignment="1">
      <alignment horizontal="right" vertical="center" wrapText="1"/>
    </xf>
    <xf numFmtId="178" fontId="0" fillId="0" borderId="45" xfId="0" applyNumberFormat="1" applyBorder="1" applyAlignment="1">
      <alignment horizontal="left" vertical="center"/>
    </xf>
    <xf numFmtId="166" fontId="13" fillId="11" borderId="51" xfId="1" applyNumberFormat="1" applyFont="1" applyFill="1" applyBorder="1" applyAlignment="1">
      <alignment horizontal="left" vertical="center" wrapText="1"/>
    </xf>
    <xf numFmtId="175" fontId="0" fillId="0" borderId="45" xfId="0" applyNumberFormat="1" applyBorder="1" applyAlignment="1">
      <alignment horizontal="left" vertical="center"/>
    </xf>
    <xf numFmtId="167" fontId="5" fillId="2" borderId="58" xfId="0" applyNumberFormat="1" applyFont="1" applyFill="1" applyBorder="1" applyAlignment="1">
      <alignment vertical="center" wrapText="1"/>
    </xf>
    <xf numFmtId="167" fontId="5" fillId="2" borderId="55" xfId="0" applyNumberFormat="1" applyFont="1" applyFill="1" applyBorder="1" applyAlignment="1">
      <alignment vertical="center" wrapText="1"/>
    </xf>
    <xf numFmtId="167" fontId="5" fillId="2" borderId="30" xfId="0" applyNumberFormat="1" applyFont="1" applyFill="1" applyBorder="1" applyAlignment="1">
      <alignment vertical="center" wrapText="1"/>
    </xf>
    <xf numFmtId="2" fontId="0" fillId="0" borderId="13" xfId="0" applyNumberFormat="1" applyBorder="1" applyAlignment="1">
      <alignment horizontal="left" vertical="center"/>
    </xf>
    <xf numFmtId="2" fontId="0" fillId="0" borderId="12" xfId="0" applyNumberFormat="1" applyBorder="1" applyAlignment="1">
      <alignment horizontal="left" vertical="center"/>
    </xf>
    <xf numFmtId="167" fontId="0" fillId="0" borderId="13" xfId="0" applyNumberFormat="1" applyBorder="1" applyAlignment="1">
      <alignment horizontal="left" vertical="center"/>
    </xf>
    <xf numFmtId="167" fontId="0" fillId="0" borderId="12" xfId="0" applyNumberForma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82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 wrapText="1"/>
    </xf>
    <xf numFmtId="184" fontId="0" fillId="0" borderId="0" xfId="0" applyNumberFormat="1" applyAlignment="1">
      <alignment horizontal="center" vertical="center"/>
    </xf>
    <xf numFmtId="180" fontId="37" fillId="0" borderId="0" xfId="5" applyNumberFormat="1" applyAlignment="1">
      <alignment horizontal="center" vertical="center"/>
    </xf>
    <xf numFmtId="0" fontId="37" fillId="0" borderId="0" xfId="5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8" fillId="0" borderId="32" xfId="0" applyNumberFormat="1" applyFont="1" applyBorder="1" applyAlignment="1">
      <alignment horizontal="center" vertical="center"/>
    </xf>
    <xf numFmtId="4" fontId="0" fillId="0" borderId="0" xfId="0" applyNumberFormat="1"/>
    <xf numFmtId="180" fontId="38" fillId="0" borderId="9" xfId="5" applyNumberFormat="1" applyFont="1" applyBorder="1" applyAlignment="1">
      <alignment horizontal="center" vertical="center"/>
    </xf>
    <xf numFmtId="165" fontId="0" fillId="0" borderId="0" xfId="0" applyNumberFormat="1" applyAlignment="1">
      <alignment horizontal="left" vertical="center"/>
    </xf>
    <xf numFmtId="17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5" fillId="0" borderId="39" xfId="0" applyFont="1" applyBorder="1" applyAlignment="1">
      <alignment horizontal="left" vertical="center" wrapText="1"/>
    </xf>
    <xf numFmtId="0" fontId="25" fillId="0" borderId="40" xfId="0" applyFont="1" applyBorder="1" applyAlignment="1">
      <alignment horizontal="left" vertical="center" wrapText="1"/>
    </xf>
    <xf numFmtId="1" fontId="0" fillId="0" borderId="0" xfId="0" applyNumberFormat="1"/>
    <xf numFmtId="1" fontId="38" fillId="17" borderId="9" xfId="5" applyNumberFormat="1" applyFont="1" applyFill="1" applyBorder="1" applyAlignment="1">
      <alignment horizontal="center" vertical="center" wrapText="1"/>
    </xf>
    <xf numFmtId="1" fontId="37" fillId="0" borderId="9" xfId="5" applyNumberFormat="1" applyBorder="1" applyAlignment="1">
      <alignment horizontal="center" vertical="center"/>
    </xf>
    <xf numFmtId="1" fontId="37" fillId="0" borderId="0" xfId="5" applyNumberFormat="1" applyAlignment="1">
      <alignment horizontal="center" vertical="center"/>
    </xf>
    <xf numFmtId="0" fontId="40" fillId="0" borderId="0" xfId="0" applyFont="1" applyAlignment="1">
      <alignment vertical="center"/>
    </xf>
    <xf numFmtId="0" fontId="41" fillId="0" borderId="0" xfId="0" applyFont="1"/>
    <xf numFmtId="0" fontId="43" fillId="0" borderId="13" xfId="0" applyFont="1" applyBorder="1" applyAlignment="1">
      <alignment vertical="center"/>
    </xf>
    <xf numFmtId="0" fontId="43" fillId="0" borderId="0" xfId="0" applyFont="1" applyAlignment="1">
      <alignment vertical="center"/>
    </xf>
    <xf numFmtId="0" fontId="43" fillId="0" borderId="0" xfId="0" applyFont="1" applyAlignment="1">
      <alignment horizontal="right" vertical="center"/>
    </xf>
    <xf numFmtId="0" fontId="39" fillId="0" borderId="0" xfId="0" applyFont="1" applyAlignment="1">
      <alignment vertical="center"/>
    </xf>
    <xf numFmtId="0" fontId="40" fillId="0" borderId="0" xfId="0" applyFont="1"/>
    <xf numFmtId="0" fontId="42" fillId="0" borderId="13" xfId="0" applyFont="1" applyBorder="1" applyAlignment="1">
      <alignment horizontal="left" vertical="center"/>
    </xf>
    <xf numFmtId="0" fontId="38" fillId="17" borderId="10" xfId="5" applyFont="1" applyFill="1" applyBorder="1" applyAlignment="1">
      <alignment horizontal="center" vertical="center" wrapText="1"/>
    </xf>
    <xf numFmtId="0" fontId="25" fillId="0" borderId="39" xfId="0" applyFont="1" applyBorder="1" applyAlignment="1">
      <alignment vertical="center" wrapText="1"/>
    </xf>
    <xf numFmtId="0" fontId="25" fillId="0" borderId="40" xfId="0" applyFont="1" applyBorder="1" applyAlignment="1">
      <alignment vertical="center" wrapText="1"/>
    </xf>
    <xf numFmtId="16" fontId="0" fillId="0" borderId="0" xfId="0" applyNumberFormat="1"/>
    <xf numFmtId="0" fontId="0" fillId="0" borderId="0" xfId="0" applyAlignment="1">
      <alignment horizontal="right"/>
    </xf>
    <xf numFmtId="0" fontId="25" fillId="0" borderId="33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16" fontId="28" fillId="0" borderId="32" xfId="0" applyNumberFormat="1" applyFont="1" applyBorder="1" applyAlignment="1">
      <alignment horizontal="center" vertical="center"/>
    </xf>
    <xf numFmtId="185" fontId="28" fillId="0" borderId="32" xfId="0" applyNumberFormat="1" applyFont="1" applyBorder="1" applyAlignment="1">
      <alignment vertical="center"/>
    </xf>
    <xf numFmtId="0" fontId="37" fillId="2" borderId="9" xfId="5" applyFill="1" applyBorder="1" applyAlignment="1">
      <alignment horizontal="center" vertical="center"/>
    </xf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1" fontId="0" fillId="2" borderId="9" xfId="0" applyNumberFormat="1" applyFill="1" applyBorder="1"/>
    <xf numFmtId="169" fontId="9" fillId="0" borderId="13" xfId="0" applyNumberFormat="1" applyFont="1" applyBorder="1" applyAlignment="1">
      <alignment horizontal="left" vertical="center" wrapText="1"/>
    </xf>
    <xf numFmtId="169" fontId="9" fillId="0" borderId="0" xfId="0" applyNumberFormat="1" applyFont="1" applyAlignment="1">
      <alignment horizontal="left" vertical="center" wrapText="1"/>
    </xf>
    <xf numFmtId="0" fontId="5" fillId="0" borderId="52" xfId="0" applyFont="1" applyBorder="1" applyAlignment="1">
      <alignment horizontal="right" vertical="center" wrapText="1"/>
    </xf>
    <xf numFmtId="0" fontId="5" fillId="0" borderId="15" xfId="0" applyFont="1" applyBorder="1" applyAlignment="1">
      <alignment horizontal="right" vertical="center" wrapText="1"/>
    </xf>
    <xf numFmtId="0" fontId="7" fillId="14" borderId="13" xfId="0" applyFont="1" applyFill="1" applyBorder="1" applyAlignment="1">
      <alignment horizontal="left" vertical="center" wrapText="1"/>
    </xf>
    <xf numFmtId="0" fontId="7" fillId="14" borderId="0" xfId="0" applyFont="1" applyFill="1" applyAlignment="1">
      <alignment horizontal="left" vertical="center" wrapText="1"/>
    </xf>
    <xf numFmtId="0" fontId="7" fillId="14" borderId="7" xfId="0" applyFont="1" applyFill="1" applyBorder="1" applyAlignment="1">
      <alignment horizontal="left" vertical="center" wrapText="1"/>
    </xf>
    <xf numFmtId="0" fontId="7" fillId="14" borderId="1" xfId="0" applyFont="1" applyFill="1" applyBorder="1" applyAlignment="1">
      <alignment horizontal="left" vertical="center" wrapText="1"/>
    </xf>
    <xf numFmtId="0" fontId="7" fillId="14" borderId="12" xfId="0" applyFont="1" applyFill="1" applyBorder="1" applyAlignment="1">
      <alignment horizontal="left" vertical="center" wrapText="1"/>
    </xf>
    <xf numFmtId="0" fontId="7" fillId="14" borderId="8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5" fontId="6" fillId="2" borderId="10" xfId="0" applyNumberFormat="1" applyFont="1" applyFill="1" applyBorder="1" applyAlignment="1">
      <alignment horizontal="center" vertical="center" wrapText="1"/>
    </xf>
    <xf numFmtId="15" fontId="6" fillId="2" borderId="11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 wrapText="1"/>
    </xf>
    <xf numFmtId="0" fontId="5" fillId="10" borderId="3" xfId="0" applyFont="1" applyFill="1" applyBorder="1" applyAlignment="1">
      <alignment horizontal="left" vertical="center" wrapText="1"/>
    </xf>
    <xf numFmtId="0" fontId="5" fillId="10" borderId="14" xfId="0" applyFont="1" applyFill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0" borderId="2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right" vertical="center" wrapText="1"/>
    </xf>
    <xf numFmtId="0" fontId="38" fillId="17" borderId="10" xfId="5" applyFont="1" applyFill="1" applyBorder="1" applyAlignment="1">
      <alignment horizontal="center" vertical="center" wrapText="1"/>
    </xf>
    <xf numFmtId="0" fontId="38" fillId="17" borderId="11" xfId="5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28" fillId="0" borderId="36" xfId="0" applyFont="1" applyBorder="1" applyAlignment="1">
      <alignment horizontal="left"/>
    </xf>
    <xf numFmtId="0" fontId="28" fillId="0" borderId="38" xfId="0" applyFont="1" applyBorder="1" applyAlignment="1">
      <alignment horizontal="left"/>
    </xf>
    <xf numFmtId="0" fontId="23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/>
    </xf>
    <xf numFmtId="0" fontId="31" fillId="0" borderId="0" xfId="0" applyFont="1" applyAlignment="1">
      <alignment horizontal="right"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left" vertical="top" wrapText="1"/>
    </xf>
    <xf numFmtId="0" fontId="28" fillId="0" borderId="0" xfId="0" applyFont="1" applyAlignment="1">
      <alignment vertical="top" wrapText="1"/>
    </xf>
    <xf numFmtId="0" fontId="28" fillId="0" borderId="0" xfId="0" applyFont="1" applyAlignment="1">
      <alignment vertical="top"/>
    </xf>
    <xf numFmtId="0" fontId="28" fillId="7" borderId="0" xfId="0" applyFont="1" applyFill="1" applyAlignment="1">
      <alignment vertical="center"/>
    </xf>
    <xf numFmtId="0" fontId="30" fillId="0" borderId="0" xfId="4" applyFill="1" applyAlignment="1">
      <alignment vertical="center"/>
    </xf>
    <xf numFmtId="0" fontId="0" fillId="0" borderId="0" xfId="0" applyAlignment="1">
      <alignment vertical="center"/>
    </xf>
    <xf numFmtId="0" fontId="29" fillId="15" borderId="39" xfId="0" applyFont="1" applyFill="1" applyBorder="1" applyAlignment="1">
      <alignment horizontal="center" vertical="center"/>
    </xf>
    <xf numFmtId="0" fontId="29" fillId="15" borderId="40" xfId="0" applyFont="1" applyFill="1" applyBorder="1" applyAlignment="1">
      <alignment horizontal="center" vertical="center"/>
    </xf>
    <xf numFmtId="0" fontId="25" fillId="0" borderId="39" xfId="0" applyFont="1" applyBorder="1" applyAlignment="1">
      <alignment horizontal="left" vertical="center" wrapText="1"/>
    </xf>
    <xf numFmtId="0" fontId="25" fillId="0" borderId="40" xfId="0" applyFont="1" applyBorder="1" applyAlignment="1">
      <alignment horizontal="left" vertical="center" wrapText="1"/>
    </xf>
    <xf numFmtId="165" fontId="28" fillId="0" borderId="33" xfId="0" applyNumberFormat="1" applyFont="1" applyBorder="1" applyAlignment="1">
      <alignment horizontal="center" vertical="center" wrapText="1"/>
    </xf>
    <xf numFmtId="165" fontId="28" fillId="0" borderId="35" xfId="0" applyNumberFormat="1" applyFont="1" applyBorder="1" applyAlignment="1">
      <alignment horizontal="center" vertical="center" wrapText="1"/>
    </xf>
    <xf numFmtId="165" fontId="28" fillId="0" borderId="36" xfId="0" applyNumberFormat="1" applyFont="1" applyBorder="1" applyAlignment="1">
      <alignment horizontal="center" vertical="center" wrapText="1"/>
    </xf>
    <xf numFmtId="165" fontId="28" fillId="0" borderId="38" xfId="0" applyNumberFormat="1" applyFont="1" applyBorder="1" applyAlignment="1">
      <alignment horizontal="center" vertical="center" wrapText="1"/>
    </xf>
    <xf numFmtId="0" fontId="29" fillId="15" borderId="34" xfId="0" applyFont="1" applyFill="1" applyBorder="1" applyAlignment="1">
      <alignment horizontal="left"/>
    </xf>
    <xf numFmtId="0" fontId="29" fillId="15" borderId="35" xfId="0" applyFont="1" applyFill="1" applyBorder="1" applyAlignment="1">
      <alignment horizontal="left"/>
    </xf>
    <xf numFmtId="0" fontId="24" fillId="0" borderId="39" xfId="0" applyFont="1" applyBorder="1" applyAlignment="1">
      <alignment horizontal="left"/>
    </xf>
    <xf numFmtId="0" fontId="24" fillId="0" borderId="40" xfId="0" applyFont="1" applyBorder="1" applyAlignment="1">
      <alignment horizontal="left"/>
    </xf>
    <xf numFmtId="0" fontId="28" fillId="0" borderId="0" xfId="0" applyFont="1" applyAlignment="1">
      <alignment horizontal="left" vertical="top"/>
    </xf>
    <xf numFmtId="0" fontId="28" fillId="0" borderId="42" xfId="0" applyFont="1" applyBorder="1" applyAlignment="1">
      <alignment horizontal="left" vertical="top"/>
    </xf>
    <xf numFmtId="0" fontId="28" fillId="0" borderId="39" xfId="0" applyFont="1" applyBorder="1" applyAlignment="1">
      <alignment horizontal="left"/>
    </xf>
    <xf numFmtId="0" fontId="28" fillId="0" borderId="40" xfId="0" applyFont="1" applyBorder="1" applyAlignment="1">
      <alignment horizontal="left"/>
    </xf>
    <xf numFmtId="0" fontId="28" fillId="0" borderId="39" xfId="0" applyFont="1" applyBorder="1" applyAlignment="1">
      <alignment horizontal="center" vertical="center"/>
    </xf>
    <xf numFmtId="0" fontId="28" fillId="0" borderId="40" xfId="0" applyFont="1" applyBorder="1" applyAlignment="1">
      <alignment horizontal="center" vertical="center"/>
    </xf>
    <xf numFmtId="0" fontId="28" fillId="16" borderId="39" xfId="0" applyFont="1" applyFill="1" applyBorder="1" applyAlignment="1">
      <alignment horizontal="left"/>
    </xf>
    <xf numFmtId="0" fontId="28" fillId="16" borderId="41" xfId="0" applyFont="1" applyFill="1" applyBorder="1" applyAlignment="1">
      <alignment horizontal="left"/>
    </xf>
    <xf numFmtId="0" fontId="28" fillId="16" borderId="40" xfId="0" applyFont="1" applyFill="1" applyBorder="1" applyAlignment="1">
      <alignment horizontal="left"/>
    </xf>
    <xf numFmtId="0" fontId="28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5" fillId="0" borderId="0" xfId="0" applyFont="1" applyAlignment="1">
      <alignment horizontal="left" vertical="center" wrapText="1"/>
    </xf>
    <xf numFmtId="0" fontId="0" fillId="0" borderId="43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43" xfId="0" applyBorder="1" applyAlignment="1"/>
    <xf numFmtId="0" fontId="0" fillId="0" borderId="0" xfId="0" applyBorder="1" applyAlignment="1"/>
    <xf numFmtId="0" fontId="0" fillId="0" borderId="9" xfId="0" applyBorder="1" applyAlignment="1">
      <alignment horizontal="center" wrapText="1"/>
    </xf>
    <xf numFmtId="179" fontId="44" fillId="0" borderId="9" xfId="0" applyNumberFormat="1" applyFont="1" applyBorder="1" applyAlignment="1">
      <alignment horizontal="center"/>
    </xf>
    <xf numFmtId="0" fontId="44" fillId="0" borderId="9" xfId="0" applyFont="1" applyBorder="1" applyAlignment="1">
      <alignment horizontal="center"/>
    </xf>
  </cellXfs>
  <cellStyles count="6">
    <cellStyle name="Hipervínculo" xfId="4" builtinId="8"/>
    <cellStyle name="Moneda" xfId="1" builtinId="4"/>
    <cellStyle name="Normal" xfId="0" builtinId="0"/>
    <cellStyle name="Normal 2" xfId="5" xr:uid="{145A4F7D-C503-4966-91DE-41B030BECDCE}"/>
    <cellStyle name="Normal 8" xfId="3" xr:uid="{3BF9862D-6FD0-440F-8D26-F210C80B15C8}"/>
    <cellStyle name="Porcentaje" xfId="2" builtinId="5"/>
  </cellStyles>
  <dxfs count="0"/>
  <tableStyles count="1" defaultTableStyle="TableStyleMedium2" defaultPivotStyle="PivotStyleLight16">
    <tableStyle name="Estilo de tabla dinámica 1" table="0" count="0" xr9:uid="{3D264F58-F95A-471E-9A96-78898EB40A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cid:image004.png@01DB7650.9AC4EDA0" TargetMode="External"/><Relationship Id="rId1" Type="http://schemas.openxmlformats.org/officeDocument/2006/relationships/image" Target="../media/image2.png"/><Relationship Id="rId6" Type="http://schemas.openxmlformats.org/officeDocument/2006/relationships/image" Target="cid:image002.png@01DB7651.DF253DF0" TargetMode="External"/><Relationship Id="rId5" Type="http://schemas.openxmlformats.org/officeDocument/2006/relationships/image" Target="../media/image4.png"/><Relationship Id="rId4" Type="http://schemas.openxmlformats.org/officeDocument/2006/relationships/image" Target="cid:image005.png@01DB7650.9AC4EDA0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44</xdr:row>
      <xdr:rowOff>57150</xdr:rowOff>
    </xdr:from>
    <xdr:to>
      <xdr:col>12</xdr:col>
      <xdr:colOff>0</xdr:colOff>
      <xdr:row>48</xdr:row>
      <xdr:rowOff>76200</xdr:rowOff>
    </xdr:to>
    <xdr:pic>
      <xdr:nvPicPr>
        <xdr:cNvPr id="2" name="Picture 1" descr="7011 front">
          <a:extLst>
            <a:ext uri="{FF2B5EF4-FFF2-40B4-BE49-F238E27FC236}">
              <a16:creationId xmlns:a16="http://schemas.microsoft.com/office/drawing/2014/main" id="{11CB4B3A-C11D-473E-BFED-CDCD02A78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4175" y="144875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44</xdr:row>
      <xdr:rowOff>57150</xdr:rowOff>
    </xdr:from>
    <xdr:to>
      <xdr:col>12</xdr:col>
      <xdr:colOff>0</xdr:colOff>
      <xdr:row>48</xdr:row>
      <xdr:rowOff>76200</xdr:rowOff>
    </xdr:to>
    <xdr:pic>
      <xdr:nvPicPr>
        <xdr:cNvPr id="3" name="Picture 1" descr="7011 front">
          <a:extLst>
            <a:ext uri="{FF2B5EF4-FFF2-40B4-BE49-F238E27FC236}">
              <a16:creationId xmlns:a16="http://schemas.microsoft.com/office/drawing/2014/main" id="{63A34D47-2D54-4144-8534-6785E6549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4175" y="144875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44</xdr:row>
      <xdr:rowOff>57150</xdr:rowOff>
    </xdr:from>
    <xdr:to>
      <xdr:col>12</xdr:col>
      <xdr:colOff>0</xdr:colOff>
      <xdr:row>49</xdr:row>
      <xdr:rowOff>76200</xdr:rowOff>
    </xdr:to>
    <xdr:pic>
      <xdr:nvPicPr>
        <xdr:cNvPr id="4" name="Picture 1" descr="7011 front">
          <a:extLst>
            <a:ext uri="{FF2B5EF4-FFF2-40B4-BE49-F238E27FC236}">
              <a16:creationId xmlns:a16="http://schemas.microsoft.com/office/drawing/2014/main" id="{97AA1467-911A-4D47-B39D-FE03C406D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4175" y="14487525"/>
          <a:ext cx="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44</xdr:row>
      <xdr:rowOff>57150</xdr:rowOff>
    </xdr:from>
    <xdr:to>
      <xdr:col>12</xdr:col>
      <xdr:colOff>0</xdr:colOff>
      <xdr:row>48</xdr:row>
      <xdr:rowOff>76200</xdr:rowOff>
    </xdr:to>
    <xdr:pic>
      <xdr:nvPicPr>
        <xdr:cNvPr id="5" name="Picture 1" descr="7011 front">
          <a:extLst>
            <a:ext uri="{FF2B5EF4-FFF2-40B4-BE49-F238E27FC236}">
              <a16:creationId xmlns:a16="http://schemas.microsoft.com/office/drawing/2014/main" id="{31AF1B53-3537-4035-B9C3-CE6279676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4175" y="144875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44</xdr:row>
      <xdr:rowOff>57150</xdr:rowOff>
    </xdr:from>
    <xdr:to>
      <xdr:col>12</xdr:col>
      <xdr:colOff>0</xdr:colOff>
      <xdr:row>48</xdr:row>
      <xdr:rowOff>76200</xdr:rowOff>
    </xdr:to>
    <xdr:pic>
      <xdr:nvPicPr>
        <xdr:cNvPr id="6" name="Picture 1" descr="7011 front">
          <a:extLst>
            <a:ext uri="{FF2B5EF4-FFF2-40B4-BE49-F238E27FC236}">
              <a16:creationId xmlns:a16="http://schemas.microsoft.com/office/drawing/2014/main" id="{32271912-2F86-4C48-9B20-48631AF922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4175" y="144875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44</xdr:row>
      <xdr:rowOff>57150</xdr:rowOff>
    </xdr:from>
    <xdr:to>
      <xdr:col>12</xdr:col>
      <xdr:colOff>0</xdr:colOff>
      <xdr:row>49</xdr:row>
      <xdr:rowOff>76200</xdr:rowOff>
    </xdr:to>
    <xdr:pic>
      <xdr:nvPicPr>
        <xdr:cNvPr id="7" name="Picture 1" descr="7011 front">
          <a:extLst>
            <a:ext uri="{FF2B5EF4-FFF2-40B4-BE49-F238E27FC236}">
              <a16:creationId xmlns:a16="http://schemas.microsoft.com/office/drawing/2014/main" id="{72C2AAC7-0C4C-4179-B713-47B27B0FD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4175" y="14487525"/>
          <a:ext cx="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3</xdr:row>
      <xdr:rowOff>381000</xdr:rowOff>
    </xdr:from>
    <xdr:to>
      <xdr:col>1</xdr:col>
      <xdr:colOff>1857374</xdr:colOff>
      <xdr:row>3</xdr:row>
      <xdr:rowOff>1123950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56273F8-CE9F-4BE2-A8AB-975C314AB74D}"/>
            </a:ext>
          </a:extLst>
        </xdr:cNvPr>
        <xdr:cNvSpPr txBox="1"/>
      </xdr:nvSpPr>
      <xdr:spPr>
        <a:xfrm>
          <a:off x="190499" y="929640"/>
          <a:ext cx="2977515" cy="742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Carretera a Sta.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  Ana, KM 36½, Block D-3, American Industrial Park, Ciudad Arce,</a:t>
          </a:r>
        </a:p>
        <a:p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La Libertad Centro, La Libertad, El Salvador</a:t>
          </a:r>
        </a:p>
        <a:p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TEL. 2537-7651</a:t>
          </a:r>
          <a:endParaRPr lang="en-US" sz="1100" baseline="0">
            <a:latin typeface="+mn-lt"/>
            <a:cs typeface="+mn-cs"/>
          </a:endParaRPr>
        </a:p>
      </xdr:txBody>
    </xdr:sp>
    <xdr:clientData/>
  </xdr:twoCellAnchor>
  <xdr:twoCellAnchor>
    <xdr:from>
      <xdr:col>0</xdr:col>
      <xdr:colOff>1038225</xdr:colOff>
      <xdr:row>1</xdr:row>
      <xdr:rowOff>104774</xdr:rowOff>
    </xdr:from>
    <xdr:to>
      <xdr:col>1</xdr:col>
      <xdr:colOff>1752600</xdr:colOff>
      <xdr:row>3</xdr:row>
      <xdr:rowOff>333375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BBFA54D-0EC3-411B-895E-F0533566103B}"/>
            </a:ext>
          </a:extLst>
        </xdr:cNvPr>
        <xdr:cNvSpPr txBox="1"/>
      </xdr:nvSpPr>
      <xdr:spPr>
        <a:xfrm>
          <a:off x="1038225" y="287654"/>
          <a:ext cx="2025015" cy="5943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u="none">
              <a:latin typeface="Book Antiqua" panose="02040602050305030304" pitchFamily="18" charset="0"/>
            </a:rPr>
            <a:t>MINLEX EL SALVADOR S.A. DE C.V.</a:t>
          </a:r>
        </a:p>
      </xdr:txBody>
    </xdr:sp>
    <xdr:clientData/>
  </xdr:twoCellAnchor>
  <xdr:twoCellAnchor editAs="oneCell">
    <xdr:from>
      <xdr:col>0</xdr:col>
      <xdr:colOff>66675</xdr:colOff>
      <xdr:row>0</xdr:row>
      <xdr:rowOff>47625</xdr:rowOff>
    </xdr:from>
    <xdr:to>
      <xdr:col>0</xdr:col>
      <xdr:colOff>1002994</xdr:colOff>
      <xdr:row>3</xdr:row>
      <xdr:rowOff>352425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65F91A4-C16D-497F-BC6A-90543EF95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47625"/>
          <a:ext cx="936319" cy="85344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3</xdr:row>
      <xdr:rowOff>381000</xdr:rowOff>
    </xdr:from>
    <xdr:to>
      <xdr:col>1</xdr:col>
      <xdr:colOff>1857374</xdr:colOff>
      <xdr:row>3</xdr:row>
      <xdr:rowOff>1123950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726734B-563A-43B0-9C40-34EF50740B96}"/>
            </a:ext>
          </a:extLst>
        </xdr:cNvPr>
        <xdr:cNvSpPr txBox="1"/>
      </xdr:nvSpPr>
      <xdr:spPr>
        <a:xfrm>
          <a:off x="190499" y="952500"/>
          <a:ext cx="2943225" cy="742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Carretera a Sta.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  Ana, KM 36½, Block D-3, American Industrial Park, Ciudad Arce,</a:t>
          </a:r>
        </a:p>
        <a:p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La Libertad Centro, La Libertad, El Salvador</a:t>
          </a:r>
        </a:p>
        <a:p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TEL. 2537-7651</a:t>
          </a:r>
          <a:endParaRPr lang="en-US" sz="1100" baseline="0">
            <a:latin typeface="+mn-lt"/>
            <a:cs typeface="+mn-cs"/>
          </a:endParaRPr>
        </a:p>
      </xdr:txBody>
    </xdr:sp>
    <xdr:clientData/>
  </xdr:twoCellAnchor>
  <xdr:twoCellAnchor>
    <xdr:from>
      <xdr:col>0</xdr:col>
      <xdr:colOff>1038225</xdr:colOff>
      <xdr:row>1</xdr:row>
      <xdr:rowOff>104774</xdr:rowOff>
    </xdr:from>
    <xdr:to>
      <xdr:col>1</xdr:col>
      <xdr:colOff>1752600</xdr:colOff>
      <xdr:row>3</xdr:row>
      <xdr:rowOff>333375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BC66DE2-AF13-47B3-8A48-94A8C2D21274}"/>
            </a:ext>
          </a:extLst>
        </xdr:cNvPr>
        <xdr:cNvSpPr txBox="1"/>
      </xdr:nvSpPr>
      <xdr:spPr>
        <a:xfrm>
          <a:off x="1038225" y="295274"/>
          <a:ext cx="1990725" cy="6096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u="none">
              <a:latin typeface="Book Antiqua" panose="02040602050305030304" pitchFamily="18" charset="0"/>
            </a:rPr>
            <a:t>MINLEX EL SALVADOR S.A. DE C.V.</a:t>
          </a:r>
        </a:p>
      </xdr:txBody>
    </xdr:sp>
    <xdr:clientData/>
  </xdr:twoCellAnchor>
  <xdr:twoCellAnchor editAs="oneCell">
    <xdr:from>
      <xdr:col>0</xdr:col>
      <xdr:colOff>66675</xdr:colOff>
      <xdr:row>0</xdr:row>
      <xdr:rowOff>47625</xdr:rowOff>
    </xdr:from>
    <xdr:to>
      <xdr:col>0</xdr:col>
      <xdr:colOff>1002994</xdr:colOff>
      <xdr:row>3</xdr:row>
      <xdr:rowOff>352425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6596CA7-DB36-4F34-8DAC-88DF2C033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47625"/>
          <a:ext cx="936319" cy="8763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3</xdr:row>
      <xdr:rowOff>381000</xdr:rowOff>
    </xdr:from>
    <xdr:to>
      <xdr:col>1</xdr:col>
      <xdr:colOff>1857374</xdr:colOff>
      <xdr:row>3</xdr:row>
      <xdr:rowOff>1123950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C7E81EB-B9DB-4760-9CCA-752DABCB3A4A}"/>
            </a:ext>
          </a:extLst>
        </xdr:cNvPr>
        <xdr:cNvSpPr txBox="1"/>
      </xdr:nvSpPr>
      <xdr:spPr>
        <a:xfrm>
          <a:off x="190499" y="952500"/>
          <a:ext cx="2943225" cy="742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Carretera a Sta.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  Ana, KM 36½, Block D-3, American Industrial Park, Ciudad Arce,</a:t>
          </a:r>
        </a:p>
        <a:p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La Libertad Centro, La Libertad, El Salvador</a:t>
          </a:r>
        </a:p>
        <a:p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TEL. 2537-7651</a:t>
          </a:r>
          <a:endParaRPr lang="en-US" sz="1100" baseline="0">
            <a:latin typeface="+mn-lt"/>
            <a:cs typeface="+mn-cs"/>
          </a:endParaRPr>
        </a:p>
      </xdr:txBody>
    </xdr:sp>
    <xdr:clientData/>
  </xdr:twoCellAnchor>
  <xdr:twoCellAnchor>
    <xdr:from>
      <xdr:col>0</xdr:col>
      <xdr:colOff>1038225</xdr:colOff>
      <xdr:row>1</xdr:row>
      <xdr:rowOff>104774</xdr:rowOff>
    </xdr:from>
    <xdr:to>
      <xdr:col>1</xdr:col>
      <xdr:colOff>1752600</xdr:colOff>
      <xdr:row>3</xdr:row>
      <xdr:rowOff>333375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43D1D30-0291-4DBD-BA38-B676257073E4}"/>
            </a:ext>
          </a:extLst>
        </xdr:cNvPr>
        <xdr:cNvSpPr txBox="1"/>
      </xdr:nvSpPr>
      <xdr:spPr>
        <a:xfrm>
          <a:off x="1038225" y="295274"/>
          <a:ext cx="1990725" cy="6096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u="none">
              <a:latin typeface="Book Antiqua" panose="02040602050305030304" pitchFamily="18" charset="0"/>
            </a:rPr>
            <a:t>MINLEX EL SALVADOR S.A. DE C.V.</a:t>
          </a:r>
        </a:p>
      </xdr:txBody>
    </xdr:sp>
    <xdr:clientData/>
  </xdr:twoCellAnchor>
  <xdr:twoCellAnchor editAs="oneCell">
    <xdr:from>
      <xdr:col>0</xdr:col>
      <xdr:colOff>66675</xdr:colOff>
      <xdr:row>0</xdr:row>
      <xdr:rowOff>47625</xdr:rowOff>
    </xdr:from>
    <xdr:to>
      <xdr:col>0</xdr:col>
      <xdr:colOff>1002994</xdr:colOff>
      <xdr:row>3</xdr:row>
      <xdr:rowOff>352425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68D7A51-FB82-4153-9651-BB107D547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47625"/>
          <a:ext cx="936319" cy="8763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3</xdr:row>
      <xdr:rowOff>381000</xdr:rowOff>
    </xdr:from>
    <xdr:to>
      <xdr:col>1</xdr:col>
      <xdr:colOff>1857374</xdr:colOff>
      <xdr:row>3</xdr:row>
      <xdr:rowOff>1123950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A04EB9A-D197-498D-8D23-64DFA9920952}"/>
            </a:ext>
          </a:extLst>
        </xdr:cNvPr>
        <xdr:cNvSpPr txBox="1"/>
      </xdr:nvSpPr>
      <xdr:spPr>
        <a:xfrm>
          <a:off x="190499" y="952500"/>
          <a:ext cx="2943225" cy="742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Carretera a Sta.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  Ana, KM 36½, Block D-3, American Industrial Park, Ciudad Arce,</a:t>
          </a:r>
        </a:p>
        <a:p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La Libertad Centro, La Libertad, El Salvador</a:t>
          </a:r>
        </a:p>
        <a:p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TEL. 2537-7651</a:t>
          </a:r>
          <a:endParaRPr lang="en-US" sz="1100" baseline="0">
            <a:latin typeface="+mn-lt"/>
            <a:cs typeface="+mn-cs"/>
          </a:endParaRPr>
        </a:p>
      </xdr:txBody>
    </xdr:sp>
    <xdr:clientData/>
  </xdr:twoCellAnchor>
  <xdr:twoCellAnchor>
    <xdr:from>
      <xdr:col>0</xdr:col>
      <xdr:colOff>1038225</xdr:colOff>
      <xdr:row>1</xdr:row>
      <xdr:rowOff>104774</xdr:rowOff>
    </xdr:from>
    <xdr:to>
      <xdr:col>1</xdr:col>
      <xdr:colOff>1752600</xdr:colOff>
      <xdr:row>3</xdr:row>
      <xdr:rowOff>333375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70BBDC7-1B7B-472B-A088-CA354A78AE3D}"/>
            </a:ext>
          </a:extLst>
        </xdr:cNvPr>
        <xdr:cNvSpPr txBox="1"/>
      </xdr:nvSpPr>
      <xdr:spPr>
        <a:xfrm>
          <a:off x="1038225" y="295274"/>
          <a:ext cx="1990725" cy="6096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u="none">
              <a:latin typeface="Book Antiqua" panose="02040602050305030304" pitchFamily="18" charset="0"/>
            </a:rPr>
            <a:t>MINLEX EL SALVADOR S.A. DE C.V.</a:t>
          </a:r>
        </a:p>
      </xdr:txBody>
    </xdr:sp>
    <xdr:clientData/>
  </xdr:twoCellAnchor>
  <xdr:twoCellAnchor editAs="oneCell">
    <xdr:from>
      <xdr:col>0</xdr:col>
      <xdr:colOff>66675</xdr:colOff>
      <xdr:row>0</xdr:row>
      <xdr:rowOff>47625</xdr:rowOff>
    </xdr:from>
    <xdr:to>
      <xdr:col>0</xdr:col>
      <xdr:colOff>1002994</xdr:colOff>
      <xdr:row>3</xdr:row>
      <xdr:rowOff>352425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7D0EC78-1BA7-4BE0-B35C-348F0DD5C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47625"/>
          <a:ext cx="936319" cy="8763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3</xdr:row>
      <xdr:rowOff>381000</xdr:rowOff>
    </xdr:from>
    <xdr:to>
      <xdr:col>1</xdr:col>
      <xdr:colOff>1857374</xdr:colOff>
      <xdr:row>3</xdr:row>
      <xdr:rowOff>1123950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6A596D3-630C-4502-90C5-BA2F64F35164}"/>
            </a:ext>
          </a:extLst>
        </xdr:cNvPr>
        <xdr:cNvSpPr txBox="1"/>
      </xdr:nvSpPr>
      <xdr:spPr>
        <a:xfrm>
          <a:off x="190499" y="952500"/>
          <a:ext cx="2943225" cy="742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Carretera a Sta.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  Ana, KM 36½, Block D-3, American Industrial Park, Ciudad Arce,</a:t>
          </a:r>
        </a:p>
        <a:p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La Libertad Centro, La Libertad, El Salvador</a:t>
          </a:r>
        </a:p>
        <a:p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TEL. 2537-7651</a:t>
          </a:r>
          <a:endParaRPr lang="en-US" sz="1100" baseline="0">
            <a:latin typeface="+mn-lt"/>
            <a:cs typeface="+mn-cs"/>
          </a:endParaRPr>
        </a:p>
      </xdr:txBody>
    </xdr:sp>
    <xdr:clientData/>
  </xdr:twoCellAnchor>
  <xdr:twoCellAnchor>
    <xdr:from>
      <xdr:col>0</xdr:col>
      <xdr:colOff>1038225</xdr:colOff>
      <xdr:row>1</xdr:row>
      <xdr:rowOff>104774</xdr:rowOff>
    </xdr:from>
    <xdr:to>
      <xdr:col>1</xdr:col>
      <xdr:colOff>1752600</xdr:colOff>
      <xdr:row>3</xdr:row>
      <xdr:rowOff>333375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BD0F2B4-1E4A-4B5F-B0E6-11384434A38C}"/>
            </a:ext>
          </a:extLst>
        </xdr:cNvPr>
        <xdr:cNvSpPr txBox="1"/>
      </xdr:nvSpPr>
      <xdr:spPr>
        <a:xfrm>
          <a:off x="1038225" y="295274"/>
          <a:ext cx="1990725" cy="6096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u="none">
              <a:latin typeface="Book Antiqua" panose="02040602050305030304" pitchFamily="18" charset="0"/>
            </a:rPr>
            <a:t>MINLEX EL SALVADOR S.A. DE C.V.</a:t>
          </a:r>
        </a:p>
      </xdr:txBody>
    </xdr:sp>
    <xdr:clientData/>
  </xdr:twoCellAnchor>
  <xdr:twoCellAnchor editAs="oneCell">
    <xdr:from>
      <xdr:col>0</xdr:col>
      <xdr:colOff>66675</xdr:colOff>
      <xdr:row>0</xdr:row>
      <xdr:rowOff>47625</xdr:rowOff>
    </xdr:from>
    <xdr:to>
      <xdr:col>0</xdr:col>
      <xdr:colOff>1002994</xdr:colOff>
      <xdr:row>3</xdr:row>
      <xdr:rowOff>352425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DECEC4B-25EE-4D57-851A-CF09B89C21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47625"/>
          <a:ext cx="936319" cy="8763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3</xdr:row>
      <xdr:rowOff>381000</xdr:rowOff>
    </xdr:from>
    <xdr:to>
      <xdr:col>1</xdr:col>
      <xdr:colOff>1857374</xdr:colOff>
      <xdr:row>3</xdr:row>
      <xdr:rowOff>1123950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BE736DA-5AF3-4C8D-B984-D936DA71B495}"/>
            </a:ext>
          </a:extLst>
        </xdr:cNvPr>
        <xdr:cNvSpPr txBox="1"/>
      </xdr:nvSpPr>
      <xdr:spPr>
        <a:xfrm>
          <a:off x="190499" y="952500"/>
          <a:ext cx="2943225" cy="742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Carretera a Sta.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  Ana, KM 36½, Block D-3, American Industrial Park, Ciudad Arce,</a:t>
          </a:r>
        </a:p>
        <a:p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La Libertad Centro, La Libertad, El Salvador</a:t>
          </a:r>
        </a:p>
        <a:p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TEL. 2537-7651</a:t>
          </a:r>
          <a:endParaRPr lang="en-US" sz="1100" baseline="0">
            <a:latin typeface="+mn-lt"/>
            <a:cs typeface="+mn-cs"/>
          </a:endParaRPr>
        </a:p>
      </xdr:txBody>
    </xdr:sp>
    <xdr:clientData/>
  </xdr:twoCellAnchor>
  <xdr:twoCellAnchor>
    <xdr:from>
      <xdr:col>0</xdr:col>
      <xdr:colOff>1038225</xdr:colOff>
      <xdr:row>1</xdr:row>
      <xdr:rowOff>104774</xdr:rowOff>
    </xdr:from>
    <xdr:to>
      <xdr:col>1</xdr:col>
      <xdr:colOff>1752600</xdr:colOff>
      <xdr:row>3</xdr:row>
      <xdr:rowOff>333375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51BA68F-3622-4657-8E7B-499ACE822F0A}"/>
            </a:ext>
          </a:extLst>
        </xdr:cNvPr>
        <xdr:cNvSpPr txBox="1"/>
      </xdr:nvSpPr>
      <xdr:spPr>
        <a:xfrm>
          <a:off x="1038225" y="295274"/>
          <a:ext cx="1990725" cy="6096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u="none">
              <a:latin typeface="Book Antiqua" panose="02040602050305030304" pitchFamily="18" charset="0"/>
            </a:rPr>
            <a:t>MINLEX EL SALVADOR S.A. DE C.V.</a:t>
          </a:r>
        </a:p>
      </xdr:txBody>
    </xdr:sp>
    <xdr:clientData/>
  </xdr:twoCellAnchor>
  <xdr:twoCellAnchor editAs="oneCell">
    <xdr:from>
      <xdr:col>0</xdr:col>
      <xdr:colOff>66675</xdr:colOff>
      <xdr:row>0</xdr:row>
      <xdr:rowOff>47625</xdr:rowOff>
    </xdr:from>
    <xdr:to>
      <xdr:col>0</xdr:col>
      <xdr:colOff>1002994</xdr:colOff>
      <xdr:row>3</xdr:row>
      <xdr:rowOff>352425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F5339DC-C7D3-4C77-A99C-8BDB5206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47625"/>
          <a:ext cx="936319" cy="876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44</xdr:row>
      <xdr:rowOff>57150</xdr:rowOff>
    </xdr:from>
    <xdr:to>
      <xdr:col>12</xdr:col>
      <xdr:colOff>0</xdr:colOff>
      <xdr:row>48</xdr:row>
      <xdr:rowOff>76200</xdr:rowOff>
    </xdr:to>
    <xdr:pic>
      <xdr:nvPicPr>
        <xdr:cNvPr id="2" name="Picture 1" descr="7011 front">
          <a:extLst>
            <a:ext uri="{FF2B5EF4-FFF2-40B4-BE49-F238E27FC236}">
              <a16:creationId xmlns:a16="http://schemas.microsoft.com/office/drawing/2014/main" id="{B682D3D3-BEFC-4235-B7DE-BCCCD7C2D6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4175" y="144875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44</xdr:row>
      <xdr:rowOff>57150</xdr:rowOff>
    </xdr:from>
    <xdr:to>
      <xdr:col>12</xdr:col>
      <xdr:colOff>0</xdr:colOff>
      <xdr:row>48</xdr:row>
      <xdr:rowOff>76200</xdr:rowOff>
    </xdr:to>
    <xdr:pic>
      <xdr:nvPicPr>
        <xdr:cNvPr id="3" name="Picture 1" descr="7011 front">
          <a:extLst>
            <a:ext uri="{FF2B5EF4-FFF2-40B4-BE49-F238E27FC236}">
              <a16:creationId xmlns:a16="http://schemas.microsoft.com/office/drawing/2014/main" id="{7EBAD7B6-22E4-43F6-914E-3977BFAF1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4175" y="144875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44</xdr:row>
      <xdr:rowOff>57150</xdr:rowOff>
    </xdr:from>
    <xdr:to>
      <xdr:col>12</xdr:col>
      <xdr:colOff>0</xdr:colOff>
      <xdr:row>49</xdr:row>
      <xdr:rowOff>76200</xdr:rowOff>
    </xdr:to>
    <xdr:pic>
      <xdr:nvPicPr>
        <xdr:cNvPr id="4" name="Picture 1" descr="7011 front">
          <a:extLst>
            <a:ext uri="{FF2B5EF4-FFF2-40B4-BE49-F238E27FC236}">
              <a16:creationId xmlns:a16="http://schemas.microsoft.com/office/drawing/2014/main" id="{FB3EEB10-C26E-48A6-A956-8F3C66C86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4175" y="14487525"/>
          <a:ext cx="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44</xdr:row>
      <xdr:rowOff>57150</xdr:rowOff>
    </xdr:from>
    <xdr:to>
      <xdr:col>12</xdr:col>
      <xdr:colOff>0</xdr:colOff>
      <xdr:row>48</xdr:row>
      <xdr:rowOff>76200</xdr:rowOff>
    </xdr:to>
    <xdr:pic>
      <xdr:nvPicPr>
        <xdr:cNvPr id="5" name="Picture 1" descr="7011 front">
          <a:extLst>
            <a:ext uri="{FF2B5EF4-FFF2-40B4-BE49-F238E27FC236}">
              <a16:creationId xmlns:a16="http://schemas.microsoft.com/office/drawing/2014/main" id="{2A829D95-E8AF-4A29-804F-2ACF4C276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4175" y="144875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44</xdr:row>
      <xdr:rowOff>57150</xdr:rowOff>
    </xdr:from>
    <xdr:to>
      <xdr:col>12</xdr:col>
      <xdr:colOff>0</xdr:colOff>
      <xdr:row>48</xdr:row>
      <xdr:rowOff>76200</xdr:rowOff>
    </xdr:to>
    <xdr:pic>
      <xdr:nvPicPr>
        <xdr:cNvPr id="6" name="Picture 1" descr="7011 front">
          <a:extLst>
            <a:ext uri="{FF2B5EF4-FFF2-40B4-BE49-F238E27FC236}">
              <a16:creationId xmlns:a16="http://schemas.microsoft.com/office/drawing/2014/main" id="{A8A219A5-5010-415C-B66E-8A0806D24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4175" y="144875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44</xdr:row>
      <xdr:rowOff>57150</xdr:rowOff>
    </xdr:from>
    <xdr:to>
      <xdr:col>12</xdr:col>
      <xdr:colOff>0</xdr:colOff>
      <xdr:row>49</xdr:row>
      <xdr:rowOff>76200</xdr:rowOff>
    </xdr:to>
    <xdr:pic>
      <xdr:nvPicPr>
        <xdr:cNvPr id="7" name="Picture 1" descr="7011 front">
          <a:extLst>
            <a:ext uri="{FF2B5EF4-FFF2-40B4-BE49-F238E27FC236}">
              <a16:creationId xmlns:a16="http://schemas.microsoft.com/office/drawing/2014/main" id="{72F5F8B1-C2E9-4F50-8DD0-179D45FD4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4175" y="14487525"/>
          <a:ext cx="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44</xdr:row>
      <xdr:rowOff>57150</xdr:rowOff>
    </xdr:from>
    <xdr:to>
      <xdr:col>12</xdr:col>
      <xdr:colOff>0</xdr:colOff>
      <xdr:row>48</xdr:row>
      <xdr:rowOff>76200</xdr:rowOff>
    </xdr:to>
    <xdr:pic>
      <xdr:nvPicPr>
        <xdr:cNvPr id="2" name="Picture 1" descr="7011 front">
          <a:extLst>
            <a:ext uri="{FF2B5EF4-FFF2-40B4-BE49-F238E27FC236}">
              <a16:creationId xmlns:a16="http://schemas.microsoft.com/office/drawing/2014/main" id="{5E1A20D5-AB4B-4FCD-BDFC-A4BB4CAA6E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4175" y="144875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44</xdr:row>
      <xdr:rowOff>57150</xdr:rowOff>
    </xdr:from>
    <xdr:to>
      <xdr:col>12</xdr:col>
      <xdr:colOff>0</xdr:colOff>
      <xdr:row>48</xdr:row>
      <xdr:rowOff>76200</xdr:rowOff>
    </xdr:to>
    <xdr:pic>
      <xdr:nvPicPr>
        <xdr:cNvPr id="3" name="Picture 1" descr="7011 front">
          <a:extLst>
            <a:ext uri="{FF2B5EF4-FFF2-40B4-BE49-F238E27FC236}">
              <a16:creationId xmlns:a16="http://schemas.microsoft.com/office/drawing/2014/main" id="{0569C42F-8071-44CF-9FF1-FF19F8B45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4175" y="144875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44</xdr:row>
      <xdr:rowOff>57150</xdr:rowOff>
    </xdr:from>
    <xdr:to>
      <xdr:col>12</xdr:col>
      <xdr:colOff>0</xdr:colOff>
      <xdr:row>49</xdr:row>
      <xdr:rowOff>76200</xdr:rowOff>
    </xdr:to>
    <xdr:pic>
      <xdr:nvPicPr>
        <xdr:cNvPr id="4" name="Picture 1" descr="7011 front">
          <a:extLst>
            <a:ext uri="{FF2B5EF4-FFF2-40B4-BE49-F238E27FC236}">
              <a16:creationId xmlns:a16="http://schemas.microsoft.com/office/drawing/2014/main" id="{8EA6E708-ED4A-4930-89C3-F952E9628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4175" y="14487525"/>
          <a:ext cx="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44</xdr:row>
      <xdr:rowOff>57150</xdr:rowOff>
    </xdr:from>
    <xdr:to>
      <xdr:col>12</xdr:col>
      <xdr:colOff>0</xdr:colOff>
      <xdr:row>48</xdr:row>
      <xdr:rowOff>76200</xdr:rowOff>
    </xdr:to>
    <xdr:pic>
      <xdr:nvPicPr>
        <xdr:cNvPr id="5" name="Picture 1" descr="7011 front">
          <a:extLst>
            <a:ext uri="{FF2B5EF4-FFF2-40B4-BE49-F238E27FC236}">
              <a16:creationId xmlns:a16="http://schemas.microsoft.com/office/drawing/2014/main" id="{551C4979-53A1-4127-8F5A-041A1ECCF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4175" y="144875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44</xdr:row>
      <xdr:rowOff>57150</xdr:rowOff>
    </xdr:from>
    <xdr:to>
      <xdr:col>12</xdr:col>
      <xdr:colOff>0</xdr:colOff>
      <xdr:row>48</xdr:row>
      <xdr:rowOff>76200</xdr:rowOff>
    </xdr:to>
    <xdr:pic>
      <xdr:nvPicPr>
        <xdr:cNvPr id="6" name="Picture 1" descr="7011 front">
          <a:extLst>
            <a:ext uri="{FF2B5EF4-FFF2-40B4-BE49-F238E27FC236}">
              <a16:creationId xmlns:a16="http://schemas.microsoft.com/office/drawing/2014/main" id="{45668D68-9BD2-4A70-AB5B-B159A4ACF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4175" y="144875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44</xdr:row>
      <xdr:rowOff>57150</xdr:rowOff>
    </xdr:from>
    <xdr:to>
      <xdr:col>12</xdr:col>
      <xdr:colOff>0</xdr:colOff>
      <xdr:row>49</xdr:row>
      <xdr:rowOff>76200</xdr:rowOff>
    </xdr:to>
    <xdr:pic>
      <xdr:nvPicPr>
        <xdr:cNvPr id="7" name="Picture 1" descr="7011 front">
          <a:extLst>
            <a:ext uri="{FF2B5EF4-FFF2-40B4-BE49-F238E27FC236}">
              <a16:creationId xmlns:a16="http://schemas.microsoft.com/office/drawing/2014/main" id="{3A9FC0B3-A426-41B9-9726-CD8DAC54B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4175" y="14487525"/>
          <a:ext cx="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44</xdr:row>
      <xdr:rowOff>57150</xdr:rowOff>
    </xdr:from>
    <xdr:to>
      <xdr:col>12</xdr:col>
      <xdr:colOff>0</xdr:colOff>
      <xdr:row>48</xdr:row>
      <xdr:rowOff>76200</xdr:rowOff>
    </xdr:to>
    <xdr:pic>
      <xdr:nvPicPr>
        <xdr:cNvPr id="2" name="Picture 1" descr="7011 front">
          <a:extLst>
            <a:ext uri="{FF2B5EF4-FFF2-40B4-BE49-F238E27FC236}">
              <a16:creationId xmlns:a16="http://schemas.microsoft.com/office/drawing/2014/main" id="{A65077F6-D309-43E5-B400-2F5879AE8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4175" y="144875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44</xdr:row>
      <xdr:rowOff>57150</xdr:rowOff>
    </xdr:from>
    <xdr:to>
      <xdr:col>12</xdr:col>
      <xdr:colOff>0</xdr:colOff>
      <xdr:row>48</xdr:row>
      <xdr:rowOff>76200</xdr:rowOff>
    </xdr:to>
    <xdr:pic>
      <xdr:nvPicPr>
        <xdr:cNvPr id="3" name="Picture 1" descr="7011 front">
          <a:extLst>
            <a:ext uri="{FF2B5EF4-FFF2-40B4-BE49-F238E27FC236}">
              <a16:creationId xmlns:a16="http://schemas.microsoft.com/office/drawing/2014/main" id="{38668C08-1A1B-409E-BFDC-76B0C5A56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4175" y="14487525"/>
          <a:ext cx="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44</xdr:row>
      <xdr:rowOff>57150</xdr:rowOff>
    </xdr:from>
    <xdr:to>
      <xdr:col>12</xdr:col>
      <xdr:colOff>0</xdr:colOff>
      <xdr:row>49</xdr:row>
      <xdr:rowOff>76200</xdr:rowOff>
    </xdr:to>
    <xdr:pic>
      <xdr:nvPicPr>
        <xdr:cNvPr id="4" name="Picture 1" descr="7011 front">
          <a:extLst>
            <a:ext uri="{FF2B5EF4-FFF2-40B4-BE49-F238E27FC236}">
              <a16:creationId xmlns:a16="http://schemas.microsoft.com/office/drawing/2014/main" id="{798284AE-8D1A-482D-95BB-FF877C5BE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54175" y="14487525"/>
          <a:ext cx="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2</xdr:row>
      <xdr:rowOff>120667</xdr:rowOff>
    </xdr:from>
    <xdr:to>
      <xdr:col>4</xdr:col>
      <xdr:colOff>2064327</xdr:colOff>
      <xdr:row>16</xdr:row>
      <xdr:rowOff>45720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E37D1B2-566A-55D0-599B-9171254B7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486427"/>
          <a:ext cx="5531427" cy="24853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</xdr:colOff>
      <xdr:row>19</xdr:row>
      <xdr:rowOff>76200</xdr:rowOff>
    </xdr:from>
    <xdr:to>
      <xdr:col>10</xdr:col>
      <xdr:colOff>655320</xdr:colOff>
      <xdr:row>32</xdr:row>
      <xdr:rowOff>167640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BC98AFE-8CA9-2E0B-AA3D-A57B41A20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4465320"/>
          <a:ext cx="11536679" cy="2468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68581</xdr:colOff>
      <xdr:row>36</xdr:row>
      <xdr:rowOff>15239</xdr:rowOff>
    </xdr:from>
    <xdr:to>
      <xdr:col>5</xdr:col>
      <xdr:colOff>220981</xdr:colOff>
      <xdr:row>47</xdr:row>
      <xdr:rowOff>175260</xdr:rowOff>
    </xdr:to>
    <xdr:pic>
      <xdr:nvPicPr>
        <xdr:cNvPr id="13" name="Picture 1">
          <a:extLst>
            <a:ext uri="{FF2B5EF4-FFF2-40B4-BE49-F238E27FC236}">
              <a16:creationId xmlns:a16="http://schemas.microsoft.com/office/drawing/2014/main" id="{51FCC2DA-39A1-93B9-1608-DDC6DAFA2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1" y="6598919"/>
          <a:ext cx="7071360" cy="2171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2400300</xdr:colOff>
      <xdr:row>3</xdr:row>
      <xdr:rowOff>53340</xdr:rowOff>
    </xdr:from>
    <xdr:to>
      <xdr:col>10</xdr:col>
      <xdr:colOff>624147</xdr:colOff>
      <xdr:row>16</xdr:row>
      <xdr:rowOff>161273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4163CEAA-3D14-4800-A25B-87CD43846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4080" y="601980"/>
          <a:ext cx="5531427" cy="24853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3</xdr:row>
      <xdr:rowOff>381000</xdr:rowOff>
    </xdr:from>
    <xdr:to>
      <xdr:col>1</xdr:col>
      <xdr:colOff>1857374</xdr:colOff>
      <xdr:row>3</xdr:row>
      <xdr:rowOff>1123950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3B4E60B-A643-4F55-B233-95C77F0A0B53}"/>
            </a:ext>
          </a:extLst>
        </xdr:cNvPr>
        <xdr:cNvSpPr txBox="1"/>
      </xdr:nvSpPr>
      <xdr:spPr>
        <a:xfrm>
          <a:off x="190499" y="929640"/>
          <a:ext cx="2977515" cy="742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Carretera a Sta.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  Ana, KM 36½, Block D-3, American Industrial Park, Ciudad Arce,</a:t>
          </a:r>
        </a:p>
        <a:p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La Libertad Centro, La Libertad, El Salvador</a:t>
          </a:r>
        </a:p>
        <a:p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TEL. 2537-7651</a:t>
          </a:r>
          <a:endParaRPr lang="en-US" sz="1100" baseline="0">
            <a:latin typeface="+mn-lt"/>
            <a:cs typeface="+mn-cs"/>
          </a:endParaRPr>
        </a:p>
      </xdr:txBody>
    </xdr:sp>
    <xdr:clientData/>
  </xdr:twoCellAnchor>
  <xdr:twoCellAnchor>
    <xdr:from>
      <xdr:col>0</xdr:col>
      <xdr:colOff>1038225</xdr:colOff>
      <xdr:row>1</xdr:row>
      <xdr:rowOff>104774</xdr:rowOff>
    </xdr:from>
    <xdr:to>
      <xdr:col>1</xdr:col>
      <xdr:colOff>1752600</xdr:colOff>
      <xdr:row>3</xdr:row>
      <xdr:rowOff>333375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488CDC05-4717-44A2-A20B-931746D69FEA}"/>
            </a:ext>
          </a:extLst>
        </xdr:cNvPr>
        <xdr:cNvSpPr txBox="1"/>
      </xdr:nvSpPr>
      <xdr:spPr>
        <a:xfrm>
          <a:off x="1038225" y="287654"/>
          <a:ext cx="2025015" cy="5943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u="none">
              <a:latin typeface="Book Antiqua" panose="02040602050305030304" pitchFamily="18" charset="0"/>
            </a:rPr>
            <a:t>MINLEX EL SALVADOR S.A. DE C.V.</a:t>
          </a:r>
        </a:p>
      </xdr:txBody>
    </xdr:sp>
    <xdr:clientData/>
  </xdr:twoCellAnchor>
  <xdr:twoCellAnchor editAs="oneCell">
    <xdr:from>
      <xdr:col>0</xdr:col>
      <xdr:colOff>66675</xdr:colOff>
      <xdr:row>0</xdr:row>
      <xdr:rowOff>47625</xdr:rowOff>
    </xdr:from>
    <xdr:to>
      <xdr:col>0</xdr:col>
      <xdr:colOff>1002994</xdr:colOff>
      <xdr:row>3</xdr:row>
      <xdr:rowOff>352425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5D9FEB2-5CEB-4D97-9523-44592FBFF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47625"/>
          <a:ext cx="936319" cy="8534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3</xdr:row>
      <xdr:rowOff>381000</xdr:rowOff>
    </xdr:from>
    <xdr:to>
      <xdr:col>1</xdr:col>
      <xdr:colOff>1857374</xdr:colOff>
      <xdr:row>3</xdr:row>
      <xdr:rowOff>1123950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13003F2-7412-4CC7-A688-2566DD182E5F}"/>
            </a:ext>
          </a:extLst>
        </xdr:cNvPr>
        <xdr:cNvSpPr txBox="1"/>
      </xdr:nvSpPr>
      <xdr:spPr>
        <a:xfrm>
          <a:off x="190499" y="952500"/>
          <a:ext cx="2943225" cy="742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Carretera a Sta.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  Ana, KM 36½, Block D-3, American Industrial Park, Ciudad Arce,</a:t>
          </a:r>
        </a:p>
        <a:p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La Libertad Centro, La Libertad, El Salvador</a:t>
          </a:r>
        </a:p>
        <a:p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TEL. 2537-7651</a:t>
          </a:r>
          <a:endParaRPr lang="en-US" sz="1100" baseline="0">
            <a:latin typeface="+mn-lt"/>
            <a:cs typeface="+mn-cs"/>
          </a:endParaRPr>
        </a:p>
      </xdr:txBody>
    </xdr:sp>
    <xdr:clientData/>
  </xdr:twoCellAnchor>
  <xdr:twoCellAnchor>
    <xdr:from>
      <xdr:col>0</xdr:col>
      <xdr:colOff>1038225</xdr:colOff>
      <xdr:row>1</xdr:row>
      <xdr:rowOff>104774</xdr:rowOff>
    </xdr:from>
    <xdr:to>
      <xdr:col>1</xdr:col>
      <xdr:colOff>1752600</xdr:colOff>
      <xdr:row>3</xdr:row>
      <xdr:rowOff>333375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1871865-AA29-42E9-AC06-CE963983DFA7}"/>
            </a:ext>
          </a:extLst>
        </xdr:cNvPr>
        <xdr:cNvSpPr txBox="1"/>
      </xdr:nvSpPr>
      <xdr:spPr>
        <a:xfrm>
          <a:off x="1038225" y="295274"/>
          <a:ext cx="1990725" cy="6096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u="none">
              <a:latin typeface="Book Antiqua" panose="02040602050305030304" pitchFamily="18" charset="0"/>
            </a:rPr>
            <a:t>MINLEX EL SALVADOR S.A. DE C.V.</a:t>
          </a:r>
        </a:p>
      </xdr:txBody>
    </xdr:sp>
    <xdr:clientData/>
  </xdr:twoCellAnchor>
  <xdr:twoCellAnchor editAs="oneCell">
    <xdr:from>
      <xdr:col>0</xdr:col>
      <xdr:colOff>66675</xdr:colOff>
      <xdr:row>0</xdr:row>
      <xdr:rowOff>47625</xdr:rowOff>
    </xdr:from>
    <xdr:to>
      <xdr:col>0</xdr:col>
      <xdr:colOff>1002994</xdr:colOff>
      <xdr:row>3</xdr:row>
      <xdr:rowOff>352425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3EAB4B0-DA1A-A18F-6BEA-84550D521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47625"/>
          <a:ext cx="936319" cy="8763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3</xdr:row>
      <xdr:rowOff>381000</xdr:rowOff>
    </xdr:from>
    <xdr:to>
      <xdr:col>1</xdr:col>
      <xdr:colOff>1857374</xdr:colOff>
      <xdr:row>3</xdr:row>
      <xdr:rowOff>1123950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738AC1A-B8E7-4100-8AAE-CDB09339FDFA}"/>
            </a:ext>
          </a:extLst>
        </xdr:cNvPr>
        <xdr:cNvSpPr txBox="1"/>
      </xdr:nvSpPr>
      <xdr:spPr>
        <a:xfrm>
          <a:off x="190499" y="952500"/>
          <a:ext cx="2943225" cy="742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Carretera a Sta.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  Ana, KM 36½, Block D-3, American Industrial Park, Ciudad Arce,</a:t>
          </a:r>
        </a:p>
        <a:p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La Libertad Centro, La Libertad, El Salvador</a:t>
          </a:r>
        </a:p>
        <a:p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TEL. 2537-7651</a:t>
          </a:r>
          <a:endParaRPr lang="en-US" sz="1100" baseline="0">
            <a:latin typeface="+mn-lt"/>
            <a:cs typeface="+mn-cs"/>
          </a:endParaRPr>
        </a:p>
      </xdr:txBody>
    </xdr:sp>
    <xdr:clientData/>
  </xdr:twoCellAnchor>
  <xdr:twoCellAnchor>
    <xdr:from>
      <xdr:col>0</xdr:col>
      <xdr:colOff>1038225</xdr:colOff>
      <xdr:row>1</xdr:row>
      <xdr:rowOff>104774</xdr:rowOff>
    </xdr:from>
    <xdr:to>
      <xdr:col>1</xdr:col>
      <xdr:colOff>1752600</xdr:colOff>
      <xdr:row>3</xdr:row>
      <xdr:rowOff>333375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4703260C-6D2C-457A-87A2-9C06CB135FDA}"/>
            </a:ext>
          </a:extLst>
        </xdr:cNvPr>
        <xdr:cNvSpPr txBox="1"/>
      </xdr:nvSpPr>
      <xdr:spPr>
        <a:xfrm>
          <a:off x="1038225" y="295274"/>
          <a:ext cx="1990725" cy="6096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u="none">
              <a:latin typeface="Book Antiqua" panose="02040602050305030304" pitchFamily="18" charset="0"/>
            </a:rPr>
            <a:t>MINLEX EL SALVADOR S.A. DE C.V.</a:t>
          </a:r>
        </a:p>
      </xdr:txBody>
    </xdr:sp>
    <xdr:clientData/>
  </xdr:twoCellAnchor>
  <xdr:twoCellAnchor editAs="oneCell">
    <xdr:from>
      <xdr:col>0</xdr:col>
      <xdr:colOff>66675</xdr:colOff>
      <xdr:row>0</xdr:row>
      <xdr:rowOff>47625</xdr:rowOff>
    </xdr:from>
    <xdr:to>
      <xdr:col>0</xdr:col>
      <xdr:colOff>1002994</xdr:colOff>
      <xdr:row>3</xdr:row>
      <xdr:rowOff>352425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D991176-36CF-4A56-951D-E1E4EC5BB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47625"/>
          <a:ext cx="936319" cy="8763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3</xdr:row>
      <xdr:rowOff>381000</xdr:rowOff>
    </xdr:from>
    <xdr:to>
      <xdr:col>1</xdr:col>
      <xdr:colOff>1857374</xdr:colOff>
      <xdr:row>3</xdr:row>
      <xdr:rowOff>1123950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EFD95B3-40F5-4FAA-A94F-50B12EA72F62}"/>
            </a:ext>
          </a:extLst>
        </xdr:cNvPr>
        <xdr:cNvSpPr txBox="1"/>
      </xdr:nvSpPr>
      <xdr:spPr>
        <a:xfrm>
          <a:off x="190499" y="929640"/>
          <a:ext cx="2977515" cy="742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Carretera a Sta.</a:t>
          </a:r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  Ana, KM 36½, Block D-3, American Industrial Park, Ciudad Arce,</a:t>
          </a:r>
        </a:p>
        <a:p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La Libertad Centro, La Libertad, El Salvador</a:t>
          </a:r>
        </a:p>
        <a:p>
          <a:r>
            <a:rPr lang="en-US" sz="1000" baseline="0">
              <a:latin typeface="Arial" panose="020B0604020202020204" pitchFamily="34" charset="0"/>
              <a:cs typeface="Arial" panose="020B0604020202020204" pitchFamily="34" charset="0"/>
            </a:rPr>
            <a:t>TEL. 2537-7651</a:t>
          </a:r>
          <a:endParaRPr lang="en-US" sz="1100" baseline="0">
            <a:latin typeface="+mn-lt"/>
            <a:cs typeface="+mn-cs"/>
          </a:endParaRPr>
        </a:p>
      </xdr:txBody>
    </xdr:sp>
    <xdr:clientData/>
  </xdr:twoCellAnchor>
  <xdr:twoCellAnchor>
    <xdr:from>
      <xdr:col>0</xdr:col>
      <xdr:colOff>1038225</xdr:colOff>
      <xdr:row>1</xdr:row>
      <xdr:rowOff>104774</xdr:rowOff>
    </xdr:from>
    <xdr:to>
      <xdr:col>1</xdr:col>
      <xdr:colOff>1752600</xdr:colOff>
      <xdr:row>3</xdr:row>
      <xdr:rowOff>333375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562A69F6-2FAF-48DE-AF6C-72FAAA26BAB1}"/>
            </a:ext>
          </a:extLst>
        </xdr:cNvPr>
        <xdr:cNvSpPr txBox="1"/>
      </xdr:nvSpPr>
      <xdr:spPr>
        <a:xfrm>
          <a:off x="1038225" y="287654"/>
          <a:ext cx="2025015" cy="5943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 u="none">
              <a:latin typeface="Book Antiqua" panose="02040602050305030304" pitchFamily="18" charset="0"/>
            </a:rPr>
            <a:t>MINLEX EL SALVADOR S.A. DE C.V.</a:t>
          </a:r>
        </a:p>
      </xdr:txBody>
    </xdr:sp>
    <xdr:clientData/>
  </xdr:twoCellAnchor>
  <xdr:twoCellAnchor editAs="oneCell">
    <xdr:from>
      <xdr:col>0</xdr:col>
      <xdr:colOff>66675</xdr:colOff>
      <xdr:row>0</xdr:row>
      <xdr:rowOff>47625</xdr:rowOff>
    </xdr:from>
    <xdr:to>
      <xdr:col>0</xdr:col>
      <xdr:colOff>1002994</xdr:colOff>
      <xdr:row>3</xdr:row>
      <xdr:rowOff>352425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D30C74-21F7-471F-B7A5-2312AD331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47625"/>
          <a:ext cx="936319" cy="853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fcastaneda@insesa.com.sv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fcastaneda@insesa.com.sv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fcastaneda@insesa.com.sv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customers2@jovidasa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marteaga@actexlabels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arteaga@textuf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arteaga@textuf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06946-0FED-4A40-80D1-C0BA291F5EA3}">
  <dimension ref="A1:O53"/>
  <sheetViews>
    <sheetView view="pageBreakPreview" zoomScale="75" zoomScaleNormal="78" zoomScaleSheetLayoutView="75" workbookViewId="0">
      <selection activeCell="J23" sqref="J23"/>
    </sheetView>
  </sheetViews>
  <sheetFormatPr baseColWidth="10" defaultColWidth="9.109375" defaultRowHeight="13.8"/>
  <cols>
    <col min="1" max="1" width="43.6640625" style="219" customWidth="1"/>
    <col min="2" max="2" width="21" style="219" customWidth="1"/>
    <col min="3" max="3" width="10.44140625" style="219" customWidth="1"/>
    <col min="4" max="4" width="12.5546875" style="307" customWidth="1"/>
    <col min="5" max="5" width="10.44140625" style="308" customWidth="1"/>
    <col min="6" max="6" width="16.88671875" style="219" customWidth="1"/>
    <col min="7" max="7" width="14.5546875" style="219" customWidth="1"/>
    <col min="8" max="8" width="6.88671875" style="219" customWidth="1"/>
    <col min="9" max="9" width="14.33203125" style="309" customWidth="1"/>
    <col min="10" max="10" width="15.5546875" style="219" customWidth="1"/>
    <col min="11" max="11" width="14" style="219" customWidth="1"/>
    <col min="12" max="12" width="17.33203125" style="219" hidden="1" customWidth="1"/>
    <col min="13" max="13" width="15.88671875" style="219" customWidth="1"/>
    <col min="14" max="14" width="12.5546875" style="219" hidden="1" customWidth="1"/>
    <col min="15" max="15" width="14.6640625" style="219" hidden="1" customWidth="1"/>
    <col min="16" max="252" width="9.109375" style="219"/>
    <col min="253" max="253" width="45.88671875" style="219" customWidth="1"/>
    <col min="254" max="254" width="26.88671875" style="219" customWidth="1"/>
    <col min="255" max="255" width="16.33203125" style="219" customWidth="1"/>
    <col min="256" max="256" width="12.5546875" style="219" customWidth="1"/>
    <col min="257" max="257" width="10.44140625" style="219" customWidth="1"/>
    <col min="258" max="258" width="20.6640625" style="219" customWidth="1"/>
    <col min="259" max="259" width="14.5546875" style="219" customWidth="1"/>
    <col min="260" max="260" width="6.88671875" style="219" customWidth="1"/>
    <col min="261" max="261" width="14.33203125" style="219" customWidth="1"/>
    <col min="262" max="262" width="15.5546875" style="219" customWidth="1"/>
    <col min="263" max="263" width="14" style="219" customWidth="1"/>
    <col min="264" max="264" width="25.44140625" style="219" customWidth="1"/>
    <col min="265" max="508" width="9.109375" style="219"/>
    <col min="509" max="509" width="45.88671875" style="219" customWidth="1"/>
    <col min="510" max="510" width="26.88671875" style="219" customWidth="1"/>
    <col min="511" max="511" width="16.33203125" style="219" customWidth="1"/>
    <col min="512" max="512" width="12.5546875" style="219" customWidth="1"/>
    <col min="513" max="513" width="10.44140625" style="219" customWidth="1"/>
    <col min="514" max="514" width="20.6640625" style="219" customWidth="1"/>
    <col min="515" max="515" width="14.5546875" style="219" customWidth="1"/>
    <col min="516" max="516" width="6.88671875" style="219" customWidth="1"/>
    <col min="517" max="517" width="14.33203125" style="219" customWidth="1"/>
    <col min="518" max="518" width="15.5546875" style="219" customWidth="1"/>
    <col min="519" max="519" width="14" style="219" customWidth="1"/>
    <col min="520" max="520" width="25.44140625" style="219" customWidth="1"/>
    <col min="521" max="764" width="9.109375" style="219"/>
    <col min="765" max="765" width="45.88671875" style="219" customWidth="1"/>
    <col min="766" max="766" width="26.88671875" style="219" customWidth="1"/>
    <col min="767" max="767" width="16.33203125" style="219" customWidth="1"/>
    <col min="768" max="768" width="12.5546875" style="219" customWidth="1"/>
    <col min="769" max="769" width="10.44140625" style="219" customWidth="1"/>
    <col min="770" max="770" width="20.6640625" style="219" customWidth="1"/>
    <col min="771" max="771" width="14.5546875" style="219" customWidth="1"/>
    <col min="772" max="772" width="6.88671875" style="219" customWidth="1"/>
    <col min="773" max="773" width="14.33203125" style="219" customWidth="1"/>
    <col min="774" max="774" width="15.5546875" style="219" customWidth="1"/>
    <col min="775" max="775" width="14" style="219" customWidth="1"/>
    <col min="776" max="776" width="25.44140625" style="219" customWidth="1"/>
    <col min="777" max="1020" width="9.109375" style="219"/>
    <col min="1021" max="1021" width="45.88671875" style="219" customWidth="1"/>
    <col min="1022" max="1022" width="26.88671875" style="219" customWidth="1"/>
    <col min="1023" max="1023" width="16.33203125" style="219" customWidth="1"/>
    <col min="1024" max="1024" width="12.5546875" style="219" customWidth="1"/>
    <col min="1025" max="1025" width="10.44140625" style="219" customWidth="1"/>
    <col min="1026" max="1026" width="20.6640625" style="219" customWidth="1"/>
    <col min="1027" max="1027" width="14.5546875" style="219" customWidth="1"/>
    <col min="1028" max="1028" width="6.88671875" style="219" customWidth="1"/>
    <col min="1029" max="1029" width="14.33203125" style="219" customWidth="1"/>
    <col min="1030" max="1030" width="15.5546875" style="219" customWidth="1"/>
    <col min="1031" max="1031" width="14" style="219" customWidth="1"/>
    <col min="1032" max="1032" width="25.44140625" style="219" customWidth="1"/>
    <col min="1033" max="1276" width="9.109375" style="219"/>
    <col min="1277" max="1277" width="45.88671875" style="219" customWidth="1"/>
    <col min="1278" max="1278" width="26.88671875" style="219" customWidth="1"/>
    <col min="1279" max="1279" width="16.33203125" style="219" customWidth="1"/>
    <col min="1280" max="1280" width="12.5546875" style="219" customWidth="1"/>
    <col min="1281" max="1281" width="10.44140625" style="219" customWidth="1"/>
    <col min="1282" max="1282" width="20.6640625" style="219" customWidth="1"/>
    <col min="1283" max="1283" width="14.5546875" style="219" customWidth="1"/>
    <col min="1284" max="1284" width="6.88671875" style="219" customWidth="1"/>
    <col min="1285" max="1285" width="14.33203125" style="219" customWidth="1"/>
    <col min="1286" max="1286" width="15.5546875" style="219" customWidth="1"/>
    <col min="1287" max="1287" width="14" style="219" customWidth="1"/>
    <col min="1288" max="1288" width="25.44140625" style="219" customWidth="1"/>
    <col min="1289" max="1532" width="9.109375" style="219"/>
    <col min="1533" max="1533" width="45.88671875" style="219" customWidth="1"/>
    <col min="1534" max="1534" width="26.88671875" style="219" customWidth="1"/>
    <col min="1535" max="1535" width="16.33203125" style="219" customWidth="1"/>
    <col min="1536" max="1536" width="12.5546875" style="219" customWidth="1"/>
    <col min="1537" max="1537" width="10.44140625" style="219" customWidth="1"/>
    <col min="1538" max="1538" width="20.6640625" style="219" customWidth="1"/>
    <col min="1539" max="1539" width="14.5546875" style="219" customWidth="1"/>
    <col min="1540" max="1540" width="6.88671875" style="219" customWidth="1"/>
    <col min="1541" max="1541" width="14.33203125" style="219" customWidth="1"/>
    <col min="1542" max="1542" width="15.5546875" style="219" customWidth="1"/>
    <col min="1543" max="1543" width="14" style="219" customWidth="1"/>
    <col min="1544" max="1544" width="25.44140625" style="219" customWidth="1"/>
    <col min="1545" max="1788" width="9.109375" style="219"/>
    <col min="1789" max="1789" width="45.88671875" style="219" customWidth="1"/>
    <col min="1790" max="1790" width="26.88671875" style="219" customWidth="1"/>
    <col min="1791" max="1791" width="16.33203125" style="219" customWidth="1"/>
    <col min="1792" max="1792" width="12.5546875" style="219" customWidth="1"/>
    <col min="1793" max="1793" width="10.44140625" style="219" customWidth="1"/>
    <col min="1794" max="1794" width="20.6640625" style="219" customWidth="1"/>
    <col min="1795" max="1795" width="14.5546875" style="219" customWidth="1"/>
    <col min="1796" max="1796" width="6.88671875" style="219" customWidth="1"/>
    <col min="1797" max="1797" width="14.33203125" style="219" customWidth="1"/>
    <col min="1798" max="1798" width="15.5546875" style="219" customWidth="1"/>
    <col min="1799" max="1799" width="14" style="219" customWidth="1"/>
    <col min="1800" max="1800" width="25.44140625" style="219" customWidth="1"/>
    <col min="1801" max="2044" width="9.109375" style="219"/>
    <col min="2045" max="2045" width="45.88671875" style="219" customWidth="1"/>
    <col min="2046" max="2046" width="26.88671875" style="219" customWidth="1"/>
    <col min="2047" max="2047" width="16.33203125" style="219" customWidth="1"/>
    <col min="2048" max="2048" width="12.5546875" style="219" customWidth="1"/>
    <col min="2049" max="2049" width="10.44140625" style="219" customWidth="1"/>
    <col min="2050" max="2050" width="20.6640625" style="219" customWidth="1"/>
    <col min="2051" max="2051" width="14.5546875" style="219" customWidth="1"/>
    <col min="2052" max="2052" width="6.88671875" style="219" customWidth="1"/>
    <col min="2053" max="2053" width="14.33203125" style="219" customWidth="1"/>
    <col min="2054" max="2054" width="15.5546875" style="219" customWidth="1"/>
    <col min="2055" max="2055" width="14" style="219" customWidth="1"/>
    <col min="2056" max="2056" width="25.44140625" style="219" customWidth="1"/>
    <col min="2057" max="2300" width="9.109375" style="219"/>
    <col min="2301" max="2301" width="45.88671875" style="219" customWidth="1"/>
    <col min="2302" max="2302" width="26.88671875" style="219" customWidth="1"/>
    <col min="2303" max="2303" width="16.33203125" style="219" customWidth="1"/>
    <col min="2304" max="2304" width="12.5546875" style="219" customWidth="1"/>
    <col min="2305" max="2305" width="10.44140625" style="219" customWidth="1"/>
    <col min="2306" max="2306" width="20.6640625" style="219" customWidth="1"/>
    <col min="2307" max="2307" width="14.5546875" style="219" customWidth="1"/>
    <col min="2308" max="2308" width="6.88671875" style="219" customWidth="1"/>
    <col min="2309" max="2309" width="14.33203125" style="219" customWidth="1"/>
    <col min="2310" max="2310" width="15.5546875" style="219" customWidth="1"/>
    <col min="2311" max="2311" width="14" style="219" customWidth="1"/>
    <col min="2312" max="2312" width="25.44140625" style="219" customWidth="1"/>
    <col min="2313" max="2556" width="9.109375" style="219"/>
    <col min="2557" max="2557" width="45.88671875" style="219" customWidth="1"/>
    <col min="2558" max="2558" width="26.88671875" style="219" customWidth="1"/>
    <col min="2559" max="2559" width="16.33203125" style="219" customWidth="1"/>
    <col min="2560" max="2560" width="12.5546875" style="219" customWidth="1"/>
    <col min="2561" max="2561" width="10.44140625" style="219" customWidth="1"/>
    <col min="2562" max="2562" width="20.6640625" style="219" customWidth="1"/>
    <col min="2563" max="2563" width="14.5546875" style="219" customWidth="1"/>
    <col min="2564" max="2564" width="6.88671875" style="219" customWidth="1"/>
    <col min="2565" max="2565" width="14.33203125" style="219" customWidth="1"/>
    <col min="2566" max="2566" width="15.5546875" style="219" customWidth="1"/>
    <col min="2567" max="2567" width="14" style="219" customWidth="1"/>
    <col min="2568" max="2568" width="25.44140625" style="219" customWidth="1"/>
    <col min="2569" max="2812" width="9.109375" style="219"/>
    <col min="2813" max="2813" width="45.88671875" style="219" customWidth="1"/>
    <col min="2814" max="2814" width="26.88671875" style="219" customWidth="1"/>
    <col min="2815" max="2815" width="16.33203125" style="219" customWidth="1"/>
    <col min="2816" max="2816" width="12.5546875" style="219" customWidth="1"/>
    <col min="2817" max="2817" width="10.44140625" style="219" customWidth="1"/>
    <col min="2818" max="2818" width="20.6640625" style="219" customWidth="1"/>
    <col min="2819" max="2819" width="14.5546875" style="219" customWidth="1"/>
    <col min="2820" max="2820" width="6.88671875" style="219" customWidth="1"/>
    <col min="2821" max="2821" width="14.33203125" style="219" customWidth="1"/>
    <col min="2822" max="2822" width="15.5546875" style="219" customWidth="1"/>
    <col min="2823" max="2823" width="14" style="219" customWidth="1"/>
    <col min="2824" max="2824" width="25.44140625" style="219" customWidth="1"/>
    <col min="2825" max="3068" width="9.109375" style="219"/>
    <col min="3069" max="3069" width="45.88671875" style="219" customWidth="1"/>
    <col min="3070" max="3070" width="26.88671875" style="219" customWidth="1"/>
    <col min="3071" max="3071" width="16.33203125" style="219" customWidth="1"/>
    <col min="3072" max="3072" width="12.5546875" style="219" customWidth="1"/>
    <col min="3073" max="3073" width="10.44140625" style="219" customWidth="1"/>
    <col min="3074" max="3074" width="20.6640625" style="219" customWidth="1"/>
    <col min="3075" max="3075" width="14.5546875" style="219" customWidth="1"/>
    <col min="3076" max="3076" width="6.88671875" style="219" customWidth="1"/>
    <col min="3077" max="3077" width="14.33203125" style="219" customWidth="1"/>
    <col min="3078" max="3078" width="15.5546875" style="219" customWidth="1"/>
    <col min="3079" max="3079" width="14" style="219" customWidth="1"/>
    <col min="3080" max="3080" width="25.44140625" style="219" customWidth="1"/>
    <col min="3081" max="3324" width="9.109375" style="219"/>
    <col min="3325" max="3325" width="45.88671875" style="219" customWidth="1"/>
    <col min="3326" max="3326" width="26.88671875" style="219" customWidth="1"/>
    <col min="3327" max="3327" width="16.33203125" style="219" customWidth="1"/>
    <col min="3328" max="3328" width="12.5546875" style="219" customWidth="1"/>
    <col min="3329" max="3329" width="10.44140625" style="219" customWidth="1"/>
    <col min="3330" max="3330" width="20.6640625" style="219" customWidth="1"/>
    <col min="3331" max="3331" width="14.5546875" style="219" customWidth="1"/>
    <col min="3332" max="3332" width="6.88671875" style="219" customWidth="1"/>
    <col min="3333" max="3333" width="14.33203125" style="219" customWidth="1"/>
    <col min="3334" max="3334" width="15.5546875" style="219" customWidth="1"/>
    <col min="3335" max="3335" width="14" style="219" customWidth="1"/>
    <col min="3336" max="3336" width="25.44140625" style="219" customWidth="1"/>
    <col min="3337" max="3580" width="9.109375" style="219"/>
    <col min="3581" max="3581" width="45.88671875" style="219" customWidth="1"/>
    <col min="3582" max="3582" width="26.88671875" style="219" customWidth="1"/>
    <col min="3583" max="3583" width="16.33203125" style="219" customWidth="1"/>
    <col min="3584" max="3584" width="12.5546875" style="219" customWidth="1"/>
    <col min="3585" max="3585" width="10.44140625" style="219" customWidth="1"/>
    <col min="3586" max="3586" width="20.6640625" style="219" customWidth="1"/>
    <col min="3587" max="3587" width="14.5546875" style="219" customWidth="1"/>
    <col min="3588" max="3588" width="6.88671875" style="219" customWidth="1"/>
    <col min="3589" max="3589" width="14.33203125" style="219" customWidth="1"/>
    <col min="3590" max="3590" width="15.5546875" style="219" customWidth="1"/>
    <col min="3591" max="3591" width="14" style="219" customWidth="1"/>
    <col min="3592" max="3592" width="25.44140625" style="219" customWidth="1"/>
    <col min="3593" max="3836" width="9.109375" style="219"/>
    <col min="3837" max="3837" width="45.88671875" style="219" customWidth="1"/>
    <col min="3838" max="3838" width="26.88671875" style="219" customWidth="1"/>
    <col min="3839" max="3839" width="16.33203125" style="219" customWidth="1"/>
    <col min="3840" max="3840" width="12.5546875" style="219" customWidth="1"/>
    <col min="3841" max="3841" width="10.44140625" style="219" customWidth="1"/>
    <col min="3842" max="3842" width="20.6640625" style="219" customWidth="1"/>
    <col min="3843" max="3843" width="14.5546875" style="219" customWidth="1"/>
    <col min="3844" max="3844" width="6.88671875" style="219" customWidth="1"/>
    <col min="3845" max="3845" width="14.33203125" style="219" customWidth="1"/>
    <col min="3846" max="3846" width="15.5546875" style="219" customWidth="1"/>
    <col min="3847" max="3847" width="14" style="219" customWidth="1"/>
    <col min="3848" max="3848" width="25.44140625" style="219" customWidth="1"/>
    <col min="3849" max="4092" width="9.109375" style="219"/>
    <col min="4093" max="4093" width="45.88671875" style="219" customWidth="1"/>
    <col min="4094" max="4094" width="26.88671875" style="219" customWidth="1"/>
    <col min="4095" max="4095" width="16.33203125" style="219" customWidth="1"/>
    <col min="4096" max="4096" width="12.5546875" style="219" customWidth="1"/>
    <col min="4097" max="4097" width="10.44140625" style="219" customWidth="1"/>
    <col min="4098" max="4098" width="20.6640625" style="219" customWidth="1"/>
    <col min="4099" max="4099" width="14.5546875" style="219" customWidth="1"/>
    <col min="4100" max="4100" width="6.88671875" style="219" customWidth="1"/>
    <col min="4101" max="4101" width="14.33203125" style="219" customWidth="1"/>
    <col min="4102" max="4102" width="15.5546875" style="219" customWidth="1"/>
    <col min="4103" max="4103" width="14" style="219" customWidth="1"/>
    <col min="4104" max="4104" width="25.44140625" style="219" customWidth="1"/>
    <col min="4105" max="4348" width="9.109375" style="219"/>
    <col min="4349" max="4349" width="45.88671875" style="219" customWidth="1"/>
    <col min="4350" max="4350" width="26.88671875" style="219" customWidth="1"/>
    <col min="4351" max="4351" width="16.33203125" style="219" customWidth="1"/>
    <col min="4352" max="4352" width="12.5546875" style="219" customWidth="1"/>
    <col min="4353" max="4353" width="10.44140625" style="219" customWidth="1"/>
    <col min="4354" max="4354" width="20.6640625" style="219" customWidth="1"/>
    <col min="4355" max="4355" width="14.5546875" style="219" customWidth="1"/>
    <col min="4356" max="4356" width="6.88671875" style="219" customWidth="1"/>
    <col min="4357" max="4357" width="14.33203125" style="219" customWidth="1"/>
    <col min="4358" max="4358" width="15.5546875" style="219" customWidth="1"/>
    <col min="4359" max="4359" width="14" style="219" customWidth="1"/>
    <col min="4360" max="4360" width="25.44140625" style="219" customWidth="1"/>
    <col min="4361" max="4604" width="9.109375" style="219"/>
    <col min="4605" max="4605" width="45.88671875" style="219" customWidth="1"/>
    <col min="4606" max="4606" width="26.88671875" style="219" customWidth="1"/>
    <col min="4607" max="4607" width="16.33203125" style="219" customWidth="1"/>
    <col min="4608" max="4608" width="12.5546875" style="219" customWidth="1"/>
    <col min="4609" max="4609" width="10.44140625" style="219" customWidth="1"/>
    <col min="4610" max="4610" width="20.6640625" style="219" customWidth="1"/>
    <col min="4611" max="4611" width="14.5546875" style="219" customWidth="1"/>
    <col min="4612" max="4612" width="6.88671875" style="219" customWidth="1"/>
    <col min="4613" max="4613" width="14.33203125" style="219" customWidth="1"/>
    <col min="4614" max="4614" width="15.5546875" style="219" customWidth="1"/>
    <col min="4615" max="4615" width="14" style="219" customWidth="1"/>
    <col min="4616" max="4616" width="25.44140625" style="219" customWidth="1"/>
    <col min="4617" max="4860" width="9.109375" style="219"/>
    <col min="4861" max="4861" width="45.88671875" style="219" customWidth="1"/>
    <col min="4862" max="4862" width="26.88671875" style="219" customWidth="1"/>
    <col min="4863" max="4863" width="16.33203125" style="219" customWidth="1"/>
    <col min="4864" max="4864" width="12.5546875" style="219" customWidth="1"/>
    <col min="4865" max="4865" width="10.44140625" style="219" customWidth="1"/>
    <col min="4866" max="4866" width="20.6640625" style="219" customWidth="1"/>
    <col min="4867" max="4867" width="14.5546875" style="219" customWidth="1"/>
    <col min="4868" max="4868" width="6.88671875" style="219" customWidth="1"/>
    <col min="4869" max="4869" width="14.33203125" style="219" customWidth="1"/>
    <col min="4870" max="4870" width="15.5546875" style="219" customWidth="1"/>
    <col min="4871" max="4871" width="14" style="219" customWidth="1"/>
    <col min="4872" max="4872" width="25.44140625" style="219" customWidth="1"/>
    <col min="4873" max="5116" width="9.109375" style="219"/>
    <col min="5117" max="5117" width="45.88671875" style="219" customWidth="1"/>
    <col min="5118" max="5118" width="26.88671875" style="219" customWidth="1"/>
    <col min="5119" max="5119" width="16.33203125" style="219" customWidth="1"/>
    <col min="5120" max="5120" width="12.5546875" style="219" customWidth="1"/>
    <col min="5121" max="5121" width="10.44140625" style="219" customWidth="1"/>
    <col min="5122" max="5122" width="20.6640625" style="219" customWidth="1"/>
    <col min="5123" max="5123" width="14.5546875" style="219" customWidth="1"/>
    <col min="5124" max="5124" width="6.88671875" style="219" customWidth="1"/>
    <col min="5125" max="5125" width="14.33203125" style="219" customWidth="1"/>
    <col min="5126" max="5126" width="15.5546875" style="219" customWidth="1"/>
    <col min="5127" max="5127" width="14" style="219" customWidth="1"/>
    <col min="5128" max="5128" width="25.44140625" style="219" customWidth="1"/>
    <col min="5129" max="5372" width="9.109375" style="219"/>
    <col min="5373" max="5373" width="45.88671875" style="219" customWidth="1"/>
    <col min="5374" max="5374" width="26.88671875" style="219" customWidth="1"/>
    <col min="5375" max="5375" width="16.33203125" style="219" customWidth="1"/>
    <col min="5376" max="5376" width="12.5546875" style="219" customWidth="1"/>
    <col min="5377" max="5377" width="10.44140625" style="219" customWidth="1"/>
    <col min="5378" max="5378" width="20.6640625" style="219" customWidth="1"/>
    <col min="5379" max="5379" width="14.5546875" style="219" customWidth="1"/>
    <col min="5380" max="5380" width="6.88671875" style="219" customWidth="1"/>
    <col min="5381" max="5381" width="14.33203125" style="219" customWidth="1"/>
    <col min="5382" max="5382" width="15.5546875" style="219" customWidth="1"/>
    <col min="5383" max="5383" width="14" style="219" customWidth="1"/>
    <col min="5384" max="5384" width="25.44140625" style="219" customWidth="1"/>
    <col min="5385" max="5628" width="9.109375" style="219"/>
    <col min="5629" max="5629" width="45.88671875" style="219" customWidth="1"/>
    <col min="5630" max="5630" width="26.88671875" style="219" customWidth="1"/>
    <col min="5631" max="5631" width="16.33203125" style="219" customWidth="1"/>
    <col min="5632" max="5632" width="12.5546875" style="219" customWidth="1"/>
    <col min="5633" max="5633" width="10.44140625" style="219" customWidth="1"/>
    <col min="5634" max="5634" width="20.6640625" style="219" customWidth="1"/>
    <col min="5635" max="5635" width="14.5546875" style="219" customWidth="1"/>
    <col min="5636" max="5636" width="6.88671875" style="219" customWidth="1"/>
    <col min="5637" max="5637" width="14.33203125" style="219" customWidth="1"/>
    <col min="5638" max="5638" width="15.5546875" style="219" customWidth="1"/>
    <col min="5639" max="5639" width="14" style="219" customWidth="1"/>
    <col min="5640" max="5640" width="25.44140625" style="219" customWidth="1"/>
    <col min="5641" max="5884" width="9.109375" style="219"/>
    <col min="5885" max="5885" width="45.88671875" style="219" customWidth="1"/>
    <col min="5886" max="5886" width="26.88671875" style="219" customWidth="1"/>
    <col min="5887" max="5887" width="16.33203125" style="219" customWidth="1"/>
    <col min="5888" max="5888" width="12.5546875" style="219" customWidth="1"/>
    <col min="5889" max="5889" width="10.44140625" style="219" customWidth="1"/>
    <col min="5890" max="5890" width="20.6640625" style="219" customWidth="1"/>
    <col min="5891" max="5891" width="14.5546875" style="219" customWidth="1"/>
    <col min="5892" max="5892" width="6.88671875" style="219" customWidth="1"/>
    <col min="5893" max="5893" width="14.33203125" style="219" customWidth="1"/>
    <col min="5894" max="5894" width="15.5546875" style="219" customWidth="1"/>
    <col min="5895" max="5895" width="14" style="219" customWidth="1"/>
    <col min="5896" max="5896" width="25.44140625" style="219" customWidth="1"/>
    <col min="5897" max="6140" width="9.109375" style="219"/>
    <col min="6141" max="6141" width="45.88671875" style="219" customWidth="1"/>
    <col min="6142" max="6142" width="26.88671875" style="219" customWidth="1"/>
    <col min="6143" max="6143" width="16.33203125" style="219" customWidth="1"/>
    <col min="6144" max="6144" width="12.5546875" style="219" customWidth="1"/>
    <col min="6145" max="6145" width="10.44140625" style="219" customWidth="1"/>
    <col min="6146" max="6146" width="20.6640625" style="219" customWidth="1"/>
    <col min="6147" max="6147" width="14.5546875" style="219" customWidth="1"/>
    <col min="6148" max="6148" width="6.88671875" style="219" customWidth="1"/>
    <col min="6149" max="6149" width="14.33203125" style="219" customWidth="1"/>
    <col min="6150" max="6150" width="15.5546875" style="219" customWidth="1"/>
    <col min="6151" max="6151" width="14" style="219" customWidth="1"/>
    <col min="6152" max="6152" width="25.44140625" style="219" customWidth="1"/>
    <col min="6153" max="6396" width="9.109375" style="219"/>
    <col min="6397" max="6397" width="45.88671875" style="219" customWidth="1"/>
    <col min="6398" max="6398" width="26.88671875" style="219" customWidth="1"/>
    <col min="6399" max="6399" width="16.33203125" style="219" customWidth="1"/>
    <col min="6400" max="6400" width="12.5546875" style="219" customWidth="1"/>
    <col min="6401" max="6401" width="10.44140625" style="219" customWidth="1"/>
    <col min="6402" max="6402" width="20.6640625" style="219" customWidth="1"/>
    <col min="6403" max="6403" width="14.5546875" style="219" customWidth="1"/>
    <col min="6404" max="6404" width="6.88671875" style="219" customWidth="1"/>
    <col min="6405" max="6405" width="14.33203125" style="219" customWidth="1"/>
    <col min="6406" max="6406" width="15.5546875" style="219" customWidth="1"/>
    <col min="6407" max="6407" width="14" style="219" customWidth="1"/>
    <col min="6408" max="6408" width="25.44140625" style="219" customWidth="1"/>
    <col min="6409" max="6652" width="9.109375" style="219"/>
    <col min="6653" max="6653" width="45.88671875" style="219" customWidth="1"/>
    <col min="6654" max="6654" width="26.88671875" style="219" customWidth="1"/>
    <col min="6655" max="6655" width="16.33203125" style="219" customWidth="1"/>
    <col min="6656" max="6656" width="12.5546875" style="219" customWidth="1"/>
    <col min="6657" max="6657" width="10.44140625" style="219" customWidth="1"/>
    <col min="6658" max="6658" width="20.6640625" style="219" customWidth="1"/>
    <col min="6659" max="6659" width="14.5546875" style="219" customWidth="1"/>
    <col min="6660" max="6660" width="6.88671875" style="219" customWidth="1"/>
    <col min="6661" max="6661" width="14.33203125" style="219" customWidth="1"/>
    <col min="6662" max="6662" width="15.5546875" style="219" customWidth="1"/>
    <col min="6663" max="6663" width="14" style="219" customWidth="1"/>
    <col min="6664" max="6664" width="25.44140625" style="219" customWidth="1"/>
    <col min="6665" max="6908" width="9.109375" style="219"/>
    <col min="6909" max="6909" width="45.88671875" style="219" customWidth="1"/>
    <col min="6910" max="6910" width="26.88671875" style="219" customWidth="1"/>
    <col min="6911" max="6911" width="16.33203125" style="219" customWidth="1"/>
    <col min="6912" max="6912" width="12.5546875" style="219" customWidth="1"/>
    <col min="6913" max="6913" width="10.44140625" style="219" customWidth="1"/>
    <col min="6914" max="6914" width="20.6640625" style="219" customWidth="1"/>
    <col min="6915" max="6915" width="14.5546875" style="219" customWidth="1"/>
    <col min="6916" max="6916" width="6.88671875" style="219" customWidth="1"/>
    <col min="6917" max="6917" width="14.33203125" style="219" customWidth="1"/>
    <col min="6918" max="6918" width="15.5546875" style="219" customWidth="1"/>
    <col min="6919" max="6919" width="14" style="219" customWidth="1"/>
    <col min="6920" max="6920" width="25.44140625" style="219" customWidth="1"/>
    <col min="6921" max="7164" width="9.109375" style="219"/>
    <col min="7165" max="7165" width="45.88671875" style="219" customWidth="1"/>
    <col min="7166" max="7166" width="26.88671875" style="219" customWidth="1"/>
    <col min="7167" max="7167" width="16.33203125" style="219" customWidth="1"/>
    <col min="7168" max="7168" width="12.5546875" style="219" customWidth="1"/>
    <col min="7169" max="7169" width="10.44140625" style="219" customWidth="1"/>
    <col min="7170" max="7170" width="20.6640625" style="219" customWidth="1"/>
    <col min="7171" max="7171" width="14.5546875" style="219" customWidth="1"/>
    <col min="7172" max="7172" width="6.88671875" style="219" customWidth="1"/>
    <col min="7173" max="7173" width="14.33203125" style="219" customWidth="1"/>
    <col min="7174" max="7174" width="15.5546875" style="219" customWidth="1"/>
    <col min="7175" max="7175" width="14" style="219" customWidth="1"/>
    <col min="7176" max="7176" width="25.44140625" style="219" customWidth="1"/>
    <col min="7177" max="7420" width="9.109375" style="219"/>
    <col min="7421" max="7421" width="45.88671875" style="219" customWidth="1"/>
    <col min="7422" max="7422" width="26.88671875" style="219" customWidth="1"/>
    <col min="7423" max="7423" width="16.33203125" style="219" customWidth="1"/>
    <col min="7424" max="7424" width="12.5546875" style="219" customWidth="1"/>
    <col min="7425" max="7425" width="10.44140625" style="219" customWidth="1"/>
    <col min="7426" max="7426" width="20.6640625" style="219" customWidth="1"/>
    <col min="7427" max="7427" width="14.5546875" style="219" customWidth="1"/>
    <col min="7428" max="7428" width="6.88671875" style="219" customWidth="1"/>
    <col min="7429" max="7429" width="14.33203125" style="219" customWidth="1"/>
    <col min="7430" max="7430" width="15.5546875" style="219" customWidth="1"/>
    <col min="7431" max="7431" width="14" style="219" customWidth="1"/>
    <col min="7432" max="7432" width="25.44140625" style="219" customWidth="1"/>
    <col min="7433" max="7676" width="9.109375" style="219"/>
    <col min="7677" max="7677" width="45.88671875" style="219" customWidth="1"/>
    <col min="7678" max="7678" width="26.88671875" style="219" customWidth="1"/>
    <col min="7679" max="7679" width="16.33203125" style="219" customWidth="1"/>
    <col min="7680" max="7680" width="12.5546875" style="219" customWidth="1"/>
    <col min="7681" max="7681" width="10.44140625" style="219" customWidth="1"/>
    <col min="7682" max="7682" width="20.6640625" style="219" customWidth="1"/>
    <col min="7683" max="7683" width="14.5546875" style="219" customWidth="1"/>
    <col min="7684" max="7684" width="6.88671875" style="219" customWidth="1"/>
    <col min="7685" max="7685" width="14.33203125" style="219" customWidth="1"/>
    <col min="7686" max="7686" width="15.5546875" style="219" customWidth="1"/>
    <col min="7687" max="7687" width="14" style="219" customWidth="1"/>
    <col min="7688" max="7688" width="25.44140625" style="219" customWidth="1"/>
    <col min="7689" max="7932" width="9.109375" style="219"/>
    <col min="7933" max="7933" width="45.88671875" style="219" customWidth="1"/>
    <col min="7934" max="7934" width="26.88671875" style="219" customWidth="1"/>
    <col min="7935" max="7935" width="16.33203125" style="219" customWidth="1"/>
    <col min="7936" max="7936" width="12.5546875" style="219" customWidth="1"/>
    <col min="7937" max="7937" width="10.44140625" style="219" customWidth="1"/>
    <col min="7938" max="7938" width="20.6640625" style="219" customWidth="1"/>
    <col min="7939" max="7939" width="14.5546875" style="219" customWidth="1"/>
    <col min="7940" max="7940" width="6.88671875" style="219" customWidth="1"/>
    <col min="7941" max="7941" width="14.33203125" style="219" customWidth="1"/>
    <col min="7942" max="7942" width="15.5546875" style="219" customWidth="1"/>
    <col min="7943" max="7943" width="14" style="219" customWidth="1"/>
    <col min="7944" max="7944" width="25.44140625" style="219" customWidth="1"/>
    <col min="7945" max="8188" width="9.109375" style="219"/>
    <col min="8189" max="8189" width="45.88671875" style="219" customWidth="1"/>
    <col min="8190" max="8190" width="26.88671875" style="219" customWidth="1"/>
    <col min="8191" max="8191" width="16.33203125" style="219" customWidth="1"/>
    <col min="8192" max="8192" width="12.5546875" style="219" customWidth="1"/>
    <col min="8193" max="8193" width="10.44140625" style="219" customWidth="1"/>
    <col min="8194" max="8194" width="20.6640625" style="219" customWidth="1"/>
    <col min="8195" max="8195" width="14.5546875" style="219" customWidth="1"/>
    <col min="8196" max="8196" width="6.88671875" style="219" customWidth="1"/>
    <col min="8197" max="8197" width="14.33203125" style="219" customWidth="1"/>
    <col min="8198" max="8198" width="15.5546875" style="219" customWidth="1"/>
    <col min="8199" max="8199" width="14" style="219" customWidth="1"/>
    <col min="8200" max="8200" width="25.44140625" style="219" customWidth="1"/>
    <col min="8201" max="8444" width="9.109375" style="219"/>
    <col min="8445" max="8445" width="45.88671875" style="219" customWidth="1"/>
    <col min="8446" max="8446" width="26.88671875" style="219" customWidth="1"/>
    <col min="8447" max="8447" width="16.33203125" style="219" customWidth="1"/>
    <col min="8448" max="8448" width="12.5546875" style="219" customWidth="1"/>
    <col min="8449" max="8449" width="10.44140625" style="219" customWidth="1"/>
    <col min="8450" max="8450" width="20.6640625" style="219" customWidth="1"/>
    <col min="8451" max="8451" width="14.5546875" style="219" customWidth="1"/>
    <col min="8452" max="8452" width="6.88671875" style="219" customWidth="1"/>
    <col min="8453" max="8453" width="14.33203125" style="219" customWidth="1"/>
    <col min="8454" max="8454" width="15.5546875" style="219" customWidth="1"/>
    <col min="8455" max="8455" width="14" style="219" customWidth="1"/>
    <col min="8456" max="8456" width="25.44140625" style="219" customWidth="1"/>
    <col min="8457" max="8700" width="9.109375" style="219"/>
    <col min="8701" max="8701" width="45.88671875" style="219" customWidth="1"/>
    <col min="8702" max="8702" width="26.88671875" style="219" customWidth="1"/>
    <col min="8703" max="8703" width="16.33203125" style="219" customWidth="1"/>
    <col min="8704" max="8704" width="12.5546875" style="219" customWidth="1"/>
    <col min="8705" max="8705" width="10.44140625" style="219" customWidth="1"/>
    <col min="8706" max="8706" width="20.6640625" style="219" customWidth="1"/>
    <col min="8707" max="8707" width="14.5546875" style="219" customWidth="1"/>
    <col min="8708" max="8708" width="6.88671875" style="219" customWidth="1"/>
    <col min="8709" max="8709" width="14.33203125" style="219" customWidth="1"/>
    <col min="8710" max="8710" width="15.5546875" style="219" customWidth="1"/>
    <col min="8711" max="8711" width="14" style="219" customWidth="1"/>
    <col min="8712" max="8712" width="25.44140625" style="219" customWidth="1"/>
    <col min="8713" max="8956" width="9.109375" style="219"/>
    <col min="8957" max="8957" width="45.88671875" style="219" customWidth="1"/>
    <col min="8958" max="8958" width="26.88671875" style="219" customWidth="1"/>
    <col min="8959" max="8959" width="16.33203125" style="219" customWidth="1"/>
    <col min="8960" max="8960" width="12.5546875" style="219" customWidth="1"/>
    <col min="8961" max="8961" width="10.44140625" style="219" customWidth="1"/>
    <col min="8962" max="8962" width="20.6640625" style="219" customWidth="1"/>
    <col min="8963" max="8963" width="14.5546875" style="219" customWidth="1"/>
    <col min="8964" max="8964" width="6.88671875" style="219" customWidth="1"/>
    <col min="8965" max="8965" width="14.33203125" style="219" customWidth="1"/>
    <col min="8966" max="8966" width="15.5546875" style="219" customWidth="1"/>
    <col min="8967" max="8967" width="14" style="219" customWidth="1"/>
    <col min="8968" max="8968" width="25.44140625" style="219" customWidth="1"/>
    <col min="8969" max="9212" width="9.109375" style="219"/>
    <col min="9213" max="9213" width="45.88671875" style="219" customWidth="1"/>
    <col min="9214" max="9214" width="26.88671875" style="219" customWidth="1"/>
    <col min="9215" max="9215" width="16.33203125" style="219" customWidth="1"/>
    <col min="9216" max="9216" width="12.5546875" style="219" customWidth="1"/>
    <col min="9217" max="9217" width="10.44140625" style="219" customWidth="1"/>
    <col min="9218" max="9218" width="20.6640625" style="219" customWidth="1"/>
    <col min="9219" max="9219" width="14.5546875" style="219" customWidth="1"/>
    <col min="9220" max="9220" width="6.88671875" style="219" customWidth="1"/>
    <col min="9221" max="9221" width="14.33203125" style="219" customWidth="1"/>
    <col min="9222" max="9222" width="15.5546875" style="219" customWidth="1"/>
    <col min="9223" max="9223" width="14" style="219" customWidth="1"/>
    <col min="9224" max="9224" width="25.44140625" style="219" customWidth="1"/>
    <col min="9225" max="9468" width="9.109375" style="219"/>
    <col min="9469" max="9469" width="45.88671875" style="219" customWidth="1"/>
    <col min="9470" max="9470" width="26.88671875" style="219" customWidth="1"/>
    <col min="9471" max="9471" width="16.33203125" style="219" customWidth="1"/>
    <col min="9472" max="9472" width="12.5546875" style="219" customWidth="1"/>
    <col min="9473" max="9473" width="10.44140625" style="219" customWidth="1"/>
    <col min="9474" max="9474" width="20.6640625" style="219" customWidth="1"/>
    <col min="9475" max="9475" width="14.5546875" style="219" customWidth="1"/>
    <col min="9476" max="9476" width="6.88671875" style="219" customWidth="1"/>
    <col min="9477" max="9477" width="14.33203125" style="219" customWidth="1"/>
    <col min="9478" max="9478" width="15.5546875" style="219" customWidth="1"/>
    <col min="9479" max="9479" width="14" style="219" customWidth="1"/>
    <col min="9480" max="9480" width="25.44140625" style="219" customWidth="1"/>
    <col min="9481" max="9724" width="9.109375" style="219"/>
    <col min="9725" max="9725" width="45.88671875" style="219" customWidth="1"/>
    <col min="9726" max="9726" width="26.88671875" style="219" customWidth="1"/>
    <col min="9727" max="9727" width="16.33203125" style="219" customWidth="1"/>
    <col min="9728" max="9728" width="12.5546875" style="219" customWidth="1"/>
    <col min="9729" max="9729" width="10.44140625" style="219" customWidth="1"/>
    <col min="9730" max="9730" width="20.6640625" style="219" customWidth="1"/>
    <col min="9731" max="9731" width="14.5546875" style="219" customWidth="1"/>
    <col min="9732" max="9732" width="6.88671875" style="219" customWidth="1"/>
    <col min="9733" max="9733" width="14.33203125" style="219" customWidth="1"/>
    <col min="9734" max="9734" width="15.5546875" style="219" customWidth="1"/>
    <col min="9735" max="9735" width="14" style="219" customWidth="1"/>
    <col min="9736" max="9736" width="25.44140625" style="219" customWidth="1"/>
    <col min="9737" max="9980" width="9.109375" style="219"/>
    <col min="9981" max="9981" width="45.88671875" style="219" customWidth="1"/>
    <col min="9982" max="9982" width="26.88671875" style="219" customWidth="1"/>
    <col min="9983" max="9983" width="16.33203125" style="219" customWidth="1"/>
    <col min="9984" max="9984" width="12.5546875" style="219" customWidth="1"/>
    <col min="9985" max="9985" width="10.44140625" style="219" customWidth="1"/>
    <col min="9986" max="9986" width="20.6640625" style="219" customWidth="1"/>
    <col min="9987" max="9987" width="14.5546875" style="219" customWidth="1"/>
    <col min="9988" max="9988" width="6.88671875" style="219" customWidth="1"/>
    <col min="9989" max="9989" width="14.33203125" style="219" customWidth="1"/>
    <col min="9990" max="9990" width="15.5546875" style="219" customWidth="1"/>
    <col min="9991" max="9991" width="14" style="219" customWidth="1"/>
    <col min="9992" max="9992" width="25.44140625" style="219" customWidth="1"/>
    <col min="9993" max="10236" width="9.109375" style="219"/>
    <col min="10237" max="10237" width="45.88671875" style="219" customWidth="1"/>
    <col min="10238" max="10238" width="26.88671875" style="219" customWidth="1"/>
    <col min="10239" max="10239" width="16.33203125" style="219" customWidth="1"/>
    <col min="10240" max="10240" width="12.5546875" style="219" customWidth="1"/>
    <col min="10241" max="10241" width="10.44140625" style="219" customWidth="1"/>
    <col min="10242" max="10242" width="20.6640625" style="219" customWidth="1"/>
    <col min="10243" max="10243" width="14.5546875" style="219" customWidth="1"/>
    <col min="10244" max="10244" width="6.88671875" style="219" customWidth="1"/>
    <col min="10245" max="10245" width="14.33203125" style="219" customWidth="1"/>
    <col min="10246" max="10246" width="15.5546875" style="219" customWidth="1"/>
    <col min="10247" max="10247" width="14" style="219" customWidth="1"/>
    <col min="10248" max="10248" width="25.44140625" style="219" customWidth="1"/>
    <col min="10249" max="10492" width="9.109375" style="219"/>
    <col min="10493" max="10493" width="45.88671875" style="219" customWidth="1"/>
    <col min="10494" max="10494" width="26.88671875" style="219" customWidth="1"/>
    <col min="10495" max="10495" width="16.33203125" style="219" customWidth="1"/>
    <col min="10496" max="10496" width="12.5546875" style="219" customWidth="1"/>
    <col min="10497" max="10497" width="10.44140625" style="219" customWidth="1"/>
    <col min="10498" max="10498" width="20.6640625" style="219" customWidth="1"/>
    <col min="10499" max="10499" width="14.5546875" style="219" customWidth="1"/>
    <col min="10500" max="10500" width="6.88671875" style="219" customWidth="1"/>
    <col min="10501" max="10501" width="14.33203125" style="219" customWidth="1"/>
    <col min="10502" max="10502" width="15.5546875" style="219" customWidth="1"/>
    <col min="10503" max="10503" width="14" style="219" customWidth="1"/>
    <col min="10504" max="10504" width="25.44140625" style="219" customWidth="1"/>
    <col min="10505" max="10748" width="9.109375" style="219"/>
    <col min="10749" max="10749" width="45.88671875" style="219" customWidth="1"/>
    <col min="10750" max="10750" width="26.88671875" style="219" customWidth="1"/>
    <col min="10751" max="10751" width="16.33203125" style="219" customWidth="1"/>
    <col min="10752" max="10752" width="12.5546875" style="219" customWidth="1"/>
    <col min="10753" max="10753" width="10.44140625" style="219" customWidth="1"/>
    <col min="10754" max="10754" width="20.6640625" style="219" customWidth="1"/>
    <col min="10755" max="10755" width="14.5546875" style="219" customWidth="1"/>
    <col min="10756" max="10756" width="6.88671875" style="219" customWidth="1"/>
    <col min="10757" max="10757" width="14.33203125" style="219" customWidth="1"/>
    <col min="10758" max="10758" width="15.5546875" style="219" customWidth="1"/>
    <col min="10759" max="10759" width="14" style="219" customWidth="1"/>
    <col min="10760" max="10760" width="25.44140625" style="219" customWidth="1"/>
    <col min="10761" max="11004" width="9.109375" style="219"/>
    <col min="11005" max="11005" width="45.88671875" style="219" customWidth="1"/>
    <col min="11006" max="11006" width="26.88671875" style="219" customWidth="1"/>
    <col min="11007" max="11007" width="16.33203125" style="219" customWidth="1"/>
    <col min="11008" max="11008" width="12.5546875" style="219" customWidth="1"/>
    <col min="11009" max="11009" width="10.44140625" style="219" customWidth="1"/>
    <col min="11010" max="11010" width="20.6640625" style="219" customWidth="1"/>
    <col min="11011" max="11011" width="14.5546875" style="219" customWidth="1"/>
    <col min="11012" max="11012" width="6.88671875" style="219" customWidth="1"/>
    <col min="11013" max="11013" width="14.33203125" style="219" customWidth="1"/>
    <col min="11014" max="11014" width="15.5546875" style="219" customWidth="1"/>
    <col min="11015" max="11015" width="14" style="219" customWidth="1"/>
    <col min="11016" max="11016" width="25.44140625" style="219" customWidth="1"/>
    <col min="11017" max="11260" width="9.109375" style="219"/>
    <col min="11261" max="11261" width="45.88671875" style="219" customWidth="1"/>
    <col min="11262" max="11262" width="26.88671875" style="219" customWidth="1"/>
    <col min="11263" max="11263" width="16.33203125" style="219" customWidth="1"/>
    <col min="11264" max="11264" width="12.5546875" style="219" customWidth="1"/>
    <col min="11265" max="11265" width="10.44140625" style="219" customWidth="1"/>
    <col min="11266" max="11266" width="20.6640625" style="219" customWidth="1"/>
    <col min="11267" max="11267" width="14.5546875" style="219" customWidth="1"/>
    <col min="11268" max="11268" width="6.88671875" style="219" customWidth="1"/>
    <col min="11269" max="11269" width="14.33203125" style="219" customWidth="1"/>
    <col min="11270" max="11270" width="15.5546875" style="219" customWidth="1"/>
    <col min="11271" max="11271" width="14" style="219" customWidth="1"/>
    <col min="11272" max="11272" width="25.44140625" style="219" customWidth="1"/>
    <col min="11273" max="11516" width="9.109375" style="219"/>
    <col min="11517" max="11517" width="45.88671875" style="219" customWidth="1"/>
    <col min="11518" max="11518" width="26.88671875" style="219" customWidth="1"/>
    <col min="11519" max="11519" width="16.33203125" style="219" customWidth="1"/>
    <col min="11520" max="11520" width="12.5546875" style="219" customWidth="1"/>
    <col min="11521" max="11521" width="10.44140625" style="219" customWidth="1"/>
    <col min="11522" max="11522" width="20.6640625" style="219" customWidth="1"/>
    <col min="11523" max="11523" width="14.5546875" style="219" customWidth="1"/>
    <col min="11524" max="11524" width="6.88671875" style="219" customWidth="1"/>
    <col min="11525" max="11525" width="14.33203125" style="219" customWidth="1"/>
    <col min="11526" max="11526" width="15.5546875" style="219" customWidth="1"/>
    <col min="11527" max="11527" width="14" style="219" customWidth="1"/>
    <col min="11528" max="11528" width="25.44140625" style="219" customWidth="1"/>
    <col min="11529" max="11772" width="9.109375" style="219"/>
    <col min="11773" max="11773" width="45.88671875" style="219" customWidth="1"/>
    <col min="11774" max="11774" width="26.88671875" style="219" customWidth="1"/>
    <col min="11775" max="11775" width="16.33203125" style="219" customWidth="1"/>
    <col min="11776" max="11776" width="12.5546875" style="219" customWidth="1"/>
    <col min="11777" max="11777" width="10.44140625" style="219" customWidth="1"/>
    <col min="11778" max="11778" width="20.6640625" style="219" customWidth="1"/>
    <col min="11779" max="11779" width="14.5546875" style="219" customWidth="1"/>
    <col min="11780" max="11780" width="6.88671875" style="219" customWidth="1"/>
    <col min="11781" max="11781" width="14.33203125" style="219" customWidth="1"/>
    <col min="11782" max="11782" width="15.5546875" style="219" customWidth="1"/>
    <col min="11783" max="11783" width="14" style="219" customWidth="1"/>
    <col min="11784" max="11784" width="25.44140625" style="219" customWidth="1"/>
    <col min="11785" max="12028" width="9.109375" style="219"/>
    <col min="12029" max="12029" width="45.88671875" style="219" customWidth="1"/>
    <col min="12030" max="12030" width="26.88671875" style="219" customWidth="1"/>
    <col min="12031" max="12031" width="16.33203125" style="219" customWidth="1"/>
    <col min="12032" max="12032" width="12.5546875" style="219" customWidth="1"/>
    <col min="12033" max="12033" width="10.44140625" style="219" customWidth="1"/>
    <col min="12034" max="12034" width="20.6640625" style="219" customWidth="1"/>
    <col min="12035" max="12035" width="14.5546875" style="219" customWidth="1"/>
    <col min="12036" max="12036" width="6.88671875" style="219" customWidth="1"/>
    <col min="12037" max="12037" width="14.33203125" style="219" customWidth="1"/>
    <col min="12038" max="12038" width="15.5546875" style="219" customWidth="1"/>
    <col min="12039" max="12039" width="14" style="219" customWidth="1"/>
    <col min="12040" max="12040" width="25.44140625" style="219" customWidth="1"/>
    <col min="12041" max="12284" width="9.109375" style="219"/>
    <col min="12285" max="12285" width="45.88671875" style="219" customWidth="1"/>
    <col min="12286" max="12286" width="26.88671875" style="219" customWidth="1"/>
    <col min="12287" max="12287" width="16.33203125" style="219" customWidth="1"/>
    <col min="12288" max="12288" width="12.5546875" style="219" customWidth="1"/>
    <col min="12289" max="12289" width="10.44140625" style="219" customWidth="1"/>
    <col min="12290" max="12290" width="20.6640625" style="219" customWidth="1"/>
    <col min="12291" max="12291" width="14.5546875" style="219" customWidth="1"/>
    <col min="12292" max="12292" width="6.88671875" style="219" customWidth="1"/>
    <col min="12293" max="12293" width="14.33203125" style="219" customWidth="1"/>
    <col min="12294" max="12294" width="15.5546875" style="219" customWidth="1"/>
    <col min="12295" max="12295" width="14" style="219" customWidth="1"/>
    <col min="12296" max="12296" width="25.44140625" style="219" customWidth="1"/>
    <col min="12297" max="12540" width="9.109375" style="219"/>
    <col min="12541" max="12541" width="45.88671875" style="219" customWidth="1"/>
    <col min="12542" max="12542" width="26.88671875" style="219" customWidth="1"/>
    <col min="12543" max="12543" width="16.33203125" style="219" customWidth="1"/>
    <col min="12544" max="12544" width="12.5546875" style="219" customWidth="1"/>
    <col min="12545" max="12545" width="10.44140625" style="219" customWidth="1"/>
    <col min="12546" max="12546" width="20.6640625" style="219" customWidth="1"/>
    <col min="12547" max="12547" width="14.5546875" style="219" customWidth="1"/>
    <col min="12548" max="12548" width="6.88671875" style="219" customWidth="1"/>
    <col min="12549" max="12549" width="14.33203125" style="219" customWidth="1"/>
    <col min="12550" max="12550" width="15.5546875" style="219" customWidth="1"/>
    <col min="12551" max="12551" width="14" style="219" customWidth="1"/>
    <col min="12552" max="12552" width="25.44140625" style="219" customWidth="1"/>
    <col min="12553" max="12796" width="9.109375" style="219"/>
    <col min="12797" max="12797" width="45.88671875" style="219" customWidth="1"/>
    <col min="12798" max="12798" width="26.88671875" style="219" customWidth="1"/>
    <col min="12799" max="12799" width="16.33203125" style="219" customWidth="1"/>
    <col min="12800" max="12800" width="12.5546875" style="219" customWidth="1"/>
    <col min="12801" max="12801" width="10.44140625" style="219" customWidth="1"/>
    <col min="12802" max="12802" width="20.6640625" style="219" customWidth="1"/>
    <col min="12803" max="12803" width="14.5546875" style="219" customWidth="1"/>
    <col min="12804" max="12804" width="6.88671875" style="219" customWidth="1"/>
    <col min="12805" max="12805" width="14.33203125" style="219" customWidth="1"/>
    <col min="12806" max="12806" width="15.5546875" style="219" customWidth="1"/>
    <col min="12807" max="12807" width="14" style="219" customWidth="1"/>
    <col min="12808" max="12808" width="25.44140625" style="219" customWidth="1"/>
    <col min="12809" max="13052" width="9.109375" style="219"/>
    <col min="13053" max="13053" width="45.88671875" style="219" customWidth="1"/>
    <col min="13054" max="13054" width="26.88671875" style="219" customWidth="1"/>
    <col min="13055" max="13055" width="16.33203125" style="219" customWidth="1"/>
    <col min="13056" max="13056" width="12.5546875" style="219" customWidth="1"/>
    <col min="13057" max="13057" width="10.44140625" style="219" customWidth="1"/>
    <col min="13058" max="13058" width="20.6640625" style="219" customWidth="1"/>
    <col min="13059" max="13059" width="14.5546875" style="219" customWidth="1"/>
    <col min="13060" max="13060" width="6.88671875" style="219" customWidth="1"/>
    <col min="13061" max="13061" width="14.33203125" style="219" customWidth="1"/>
    <col min="13062" max="13062" width="15.5546875" style="219" customWidth="1"/>
    <col min="13063" max="13063" width="14" style="219" customWidth="1"/>
    <col min="13064" max="13064" width="25.44140625" style="219" customWidth="1"/>
    <col min="13065" max="13308" width="9.109375" style="219"/>
    <col min="13309" max="13309" width="45.88671875" style="219" customWidth="1"/>
    <col min="13310" max="13310" width="26.88671875" style="219" customWidth="1"/>
    <col min="13311" max="13311" width="16.33203125" style="219" customWidth="1"/>
    <col min="13312" max="13312" width="12.5546875" style="219" customWidth="1"/>
    <col min="13313" max="13313" width="10.44140625" style="219" customWidth="1"/>
    <col min="13314" max="13314" width="20.6640625" style="219" customWidth="1"/>
    <col min="13315" max="13315" width="14.5546875" style="219" customWidth="1"/>
    <col min="13316" max="13316" width="6.88671875" style="219" customWidth="1"/>
    <col min="13317" max="13317" width="14.33203125" style="219" customWidth="1"/>
    <col min="13318" max="13318" width="15.5546875" style="219" customWidth="1"/>
    <col min="13319" max="13319" width="14" style="219" customWidth="1"/>
    <col min="13320" max="13320" width="25.44140625" style="219" customWidth="1"/>
    <col min="13321" max="13564" width="9.109375" style="219"/>
    <col min="13565" max="13565" width="45.88671875" style="219" customWidth="1"/>
    <col min="13566" max="13566" width="26.88671875" style="219" customWidth="1"/>
    <col min="13567" max="13567" width="16.33203125" style="219" customWidth="1"/>
    <col min="13568" max="13568" width="12.5546875" style="219" customWidth="1"/>
    <col min="13569" max="13569" width="10.44140625" style="219" customWidth="1"/>
    <col min="13570" max="13570" width="20.6640625" style="219" customWidth="1"/>
    <col min="13571" max="13571" width="14.5546875" style="219" customWidth="1"/>
    <col min="13572" max="13572" width="6.88671875" style="219" customWidth="1"/>
    <col min="13573" max="13573" width="14.33203125" style="219" customWidth="1"/>
    <col min="13574" max="13574" width="15.5546875" style="219" customWidth="1"/>
    <col min="13575" max="13575" width="14" style="219" customWidth="1"/>
    <col min="13576" max="13576" width="25.44140625" style="219" customWidth="1"/>
    <col min="13577" max="13820" width="9.109375" style="219"/>
    <col min="13821" max="13821" width="45.88671875" style="219" customWidth="1"/>
    <col min="13822" max="13822" width="26.88671875" style="219" customWidth="1"/>
    <col min="13823" max="13823" width="16.33203125" style="219" customWidth="1"/>
    <col min="13824" max="13824" width="12.5546875" style="219" customWidth="1"/>
    <col min="13825" max="13825" width="10.44140625" style="219" customWidth="1"/>
    <col min="13826" max="13826" width="20.6640625" style="219" customWidth="1"/>
    <col min="13827" max="13827" width="14.5546875" style="219" customWidth="1"/>
    <col min="13828" max="13828" width="6.88671875" style="219" customWidth="1"/>
    <col min="13829" max="13829" width="14.33203125" style="219" customWidth="1"/>
    <col min="13830" max="13830" width="15.5546875" style="219" customWidth="1"/>
    <col min="13831" max="13831" width="14" style="219" customWidth="1"/>
    <col min="13832" max="13832" width="25.44140625" style="219" customWidth="1"/>
    <col min="13833" max="14076" width="9.109375" style="219"/>
    <col min="14077" max="14077" width="45.88671875" style="219" customWidth="1"/>
    <col min="14078" max="14078" width="26.88671875" style="219" customWidth="1"/>
    <col min="14079" max="14079" width="16.33203125" style="219" customWidth="1"/>
    <col min="14080" max="14080" width="12.5546875" style="219" customWidth="1"/>
    <col min="14081" max="14081" width="10.44140625" style="219" customWidth="1"/>
    <col min="14082" max="14082" width="20.6640625" style="219" customWidth="1"/>
    <col min="14083" max="14083" width="14.5546875" style="219" customWidth="1"/>
    <col min="14084" max="14084" width="6.88671875" style="219" customWidth="1"/>
    <col min="14085" max="14085" width="14.33203125" style="219" customWidth="1"/>
    <col min="14086" max="14086" width="15.5546875" style="219" customWidth="1"/>
    <col min="14087" max="14087" width="14" style="219" customWidth="1"/>
    <col min="14088" max="14088" width="25.44140625" style="219" customWidth="1"/>
    <col min="14089" max="14332" width="9.109375" style="219"/>
    <col min="14333" max="14333" width="45.88671875" style="219" customWidth="1"/>
    <col min="14334" max="14334" width="26.88671875" style="219" customWidth="1"/>
    <col min="14335" max="14335" width="16.33203125" style="219" customWidth="1"/>
    <col min="14336" max="14336" width="12.5546875" style="219" customWidth="1"/>
    <col min="14337" max="14337" width="10.44140625" style="219" customWidth="1"/>
    <col min="14338" max="14338" width="20.6640625" style="219" customWidth="1"/>
    <col min="14339" max="14339" width="14.5546875" style="219" customWidth="1"/>
    <col min="14340" max="14340" width="6.88671875" style="219" customWidth="1"/>
    <col min="14341" max="14341" width="14.33203125" style="219" customWidth="1"/>
    <col min="14342" max="14342" width="15.5546875" style="219" customWidth="1"/>
    <col min="14343" max="14343" width="14" style="219" customWidth="1"/>
    <col min="14344" max="14344" width="25.44140625" style="219" customWidth="1"/>
    <col min="14345" max="14588" width="9.109375" style="219"/>
    <col min="14589" max="14589" width="45.88671875" style="219" customWidth="1"/>
    <col min="14590" max="14590" width="26.88671875" style="219" customWidth="1"/>
    <col min="14591" max="14591" width="16.33203125" style="219" customWidth="1"/>
    <col min="14592" max="14592" width="12.5546875" style="219" customWidth="1"/>
    <col min="14593" max="14593" width="10.44140625" style="219" customWidth="1"/>
    <col min="14594" max="14594" width="20.6640625" style="219" customWidth="1"/>
    <col min="14595" max="14595" width="14.5546875" style="219" customWidth="1"/>
    <col min="14596" max="14596" width="6.88671875" style="219" customWidth="1"/>
    <col min="14597" max="14597" width="14.33203125" style="219" customWidth="1"/>
    <col min="14598" max="14598" width="15.5546875" style="219" customWidth="1"/>
    <col min="14599" max="14599" width="14" style="219" customWidth="1"/>
    <col min="14600" max="14600" width="25.44140625" style="219" customWidth="1"/>
    <col min="14601" max="14844" width="9.109375" style="219"/>
    <col min="14845" max="14845" width="45.88671875" style="219" customWidth="1"/>
    <col min="14846" max="14846" width="26.88671875" style="219" customWidth="1"/>
    <col min="14847" max="14847" width="16.33203125" style="219" customWidth="1"/>
    <col min="14848" max="14848" width="12.5546875" style="219" customWidth="1"/>
    <col min="14849" max="14849" width="10.44140625" style="219" customWidth="1"/>
    <col min="14850" max="14850" width="20.6640625" style="219" customWidth="1"/>
    <col min="14851" max="14851" width="14.5546875" style="219" customWidth="1"/>
    <col min="14852" max="14852" width="6.88671875" style="219" customWidth="1"/>
    <col min="14853" max="14853" width="14.33203125" style="219" customWidth="1"/>
    <col min="14854" max="14854" width="15.5546875" style="219" customWidth="1"/>
    <col min="14855" max="14855" width="14" style="219" customWidth="1"/>
    <col min="14856" max="14856" width="25.44140625" style="219" customWidth="1"/>
    <col min="14857" max="15100" width="9.109375" style="219"/>
    <col min="15101" max="15101" width="45.88671875" style="219" customWidth="1"/>
    <col min="15102" max="15102" width="26.88671875" style="219" customWidth="1"/>
    <col min="15103" max="15103" width="16.33203125" style="219" customWidth="1"/>
    <col min="15104" max="15104" width="12.5546875" style="219" customWidth="1"/>
    <col min="15105" max="15105" width="10.44140625" style="219" customWidth="1"/>
    <col min="15106" max="15106" width="20.6640625" style="219" customWidth="1"/>
    <col min="15107" max="15107" width="14.5546875" style="219" customWidth="1"/>
    <col min="15108" max="15108" width="6.88671875" style="219" customWidth="1"/>
    <col min="15109" max="15109" width="14.33203125" style="219" customWidth="1"/>
    <col min="15110" max="15110" width="15.5546875" style="219" customWidth="1"/>
    <col min="15111" max="15111" width="14" style="219" customWidth="1"/>
    <col min="15112" max="15112" width="25.44140625" style="219" customWidth="1"/>
    <col min="15113" max="15356" width="9.109375" style="219"/>
    <col min="15357" max="15357" width="45.88671875" style="219" customWidth="1"/>
    <col min="15358" max="15358" width="26.88671875" style="219" customWidth="1"/>
    <col min="15359" max="15359" width="16.33203125" style="219" customWidth="1"/>
    <col min="15360" max="15360" width="12.5546875" style="219" customWidth="1"/>
    <col min="15361" max="15361" width="10.44140625" style="219" customWidth="1"/>
    <col min="15362" max="15362" width="20.6640625" style="219" customWidth="1"/>
    <col min="15363" max="15363" width="14.5546875" style="219" customWidth="1"/>
    <col min="15364" max="15364" width="6.88671875" style="219" customWidth="1"/>
    <col min="15365" max="15365" width="14.33203125" style="219" customWidth="1"/>
    <col min="15366" max="15366" width="15.5546875" style="219" customWidth="1"/>
    <col min="15367" max="15367" width="14" style="219" customWidth="1"/>
    <col min="15368" max="15368" width="25.44140625" style="219" customWidth="1"/>
    <col min="15369" max="15612" width="9.109375" style="219"/>
    <col min="15613" max="15613" width="45.88671875" style="219" customWidth="1"/>
    <col min="15614" max="15614" width="26.88671875" style="219" customWidth="1"/>
    <col min="15615" max="15615" width="16.33203125" style="219" customWidth="1"/>
    <col min="15616" max="15616" width="12.5546875" style="219" customWidth="1"/>
    <col min="15617" max="15617" width="10.44140625" style="219" customWidth="1"/>
    <col min="15618" max="15618" width="20.6640625" style="219" customWidth="1"/>
    <col min="15619" max="15619" width="14.5546875" style="219" customWidth="1"/>
    <col min="15620" max="15620" width="6.88671875" style="219" customWidth="1"/>
    <col min="15621" max="15621" width="14.33203125" style="219" customWidth="1"/>
    <col min="15622" max="15622" width="15.5546875" style="219" customWidth="1"/>
    <col min="15623" max="15623" width="14" style="219" customWidth="1"/>
    <col min="15624" max="15624" width="25.44140625" style="219" customWidth="1"/>
    <col min="15625" max="15868" width="9.109375" style="219"/>
    <col min="15869" max="15869" width="45.88671875" style="219" customWidth="1"/>
    <col min="15870" max="15870" width="26.88671875" style="219" customWidth="1"/>
    <col min="15871" max="15871" width="16.33203125" style="219" customWidth="1"/>
    <col min="15872" max="15872" width="12.5546875" style="219" customWidth="1"/>
    <col min="15873" max="15873" width="10.44140625" style="219" customWidth="1"/>
    <col min="15874" max="15874" width="20.6640625" style="219" customWidth="1"/>
    <col min="15875" max="15875" width="14.5546875" style="219" customWidth="1"/>
    <col min="15876" max="15876" width="6.88671875" style="219" customWidth="1"/>
    <col min="15877" max="15877" width="14.33203125" style="219" customWidth="1"/>
    <col min="15878" max="15878" width="15.5546875" style="219" customWidth="1"/>
    <col min="15879" max="15879" width="14" style="219" customWidth="1"/>
    <col min="15880" max="15880" width="25.44140625" style="219" customWidth="1"/>
    <col min="15881" max="16124" width="9.109375" style="219"/>
    <col min="16125" max="16125" width="45.88671875" style="219" customWidth="1"/>
    <col min="16126" max="16126" width="26.88671875" style="219" customWidth="1"/>
    <col min="16127" max="16127" width="16.33203125" style="219" customWidth="1"/>
    <col min="16128" max="16128" width="12.5546875" style="219" customWidth="1"/>
    <col min="16129" max="16129" width="10.44140625" style="219" customWidth="1"/>
    <col min="16130" max="16130" width="20.6640625" style="219" customWidth="1"/>
    <col min="16131" max="16131" width="14.5546875" style="219" customWidth="1"/>
    <col min="16132" max="16132" width="6.88671875" style="219" customWidth="1"/>
    <col min="16133" max="16133" width="14.33203125" style="219" customWidth="1"/>
    <col min="16134" max="16134" width="15.5546875" style="219" customWidth="1"/>
    <col min="16135" max="16135" width="14" style="219" customWidth="1"/>
    <col min="16136" max="16136" width="25.44140625" style="219" customWidth="1"/>
    <col min="16137" max="16384" width="9.109375" style="219"/>
  </cols>
  <sheetData>
    <row r="1" spans="1:13" ht="45" customHeight="1" thickBot="1">
      <c r="A1" s="446" t="s">
        <v>0</v>
      </c>
      <c r="B1" s="446"/>
      <c r="C1" s="446"/>
      <c r="D1" s="446"/>
      <c r="E1" s="446"/>
      <c r="F1" s="446"/>
      <c r="G1" s="446"/>
      <c r="H1" s="446"/>
      <c r="I1" s="446"/>
      <c r="J1" s="446"/>
      <c r="K1" s="446"/>
      <c r="L1" s="446"/>
    </row>
    <row r="2" spans="1:13" ht="27.75" customHeight="1" thickBot="1">
      <c r="A2" s="447" t="s">
        <v>178</v>
      </c>
      <c r="B2" s="448"/>
      <c r="C2" s="448"/>
      <c r="D2" s="448"/>
      <c r="E2" s="448"/>
      <c r="F2" s="449"/>
      <c r="G2" s="2"/>
      <c r="H2" s="2"/>
      <c r="I2" s="450"/>
      <c r="J2" s="450"/>
      <c r="K2" s="450"/>
      <c r="L2" s="451"/>
      <c r="M2" s="220"/>
    </row>
    <row r="3" spans="1:13" ht="30.75" customHeight="1" thickBot="1">
      <c r="A3" s="452" t="s">
        <v>212</v>
      </c>
      <c r="B3" s="453"/>
      <c r="C3" s="454"/>
      <c r="D3" s="455" t="s">
        <v>1</v>
      </c>
      <c r="E3" s="456"/>
      <c r="F3" s="457"/>
      <c r="G3" s="221"/>
      <c r="H3" s="221"/>
      <c r="I3" s="5" t="s">
        <v>2</v>
      </c>
      <c r="J3" s="458"/>
      <c r="K3" s="459"/>
      <c r="L3" s="6"/>
      <c r="M3" s="222"/>
    </row>
    <row r="4" spans="1:13" ht="37.5" customHeight="1" thickBot="1">
      <c r="A4" s="452" t="s">
        <v>4</v>
      </c>
      <c r="B4" s="453"/>
      <c r="C4" s="3"/>
      <c r="D4" s="8"/>
      <c r="E4" s="9"/>
      <c r="F4" s="223"/>
      <c r="G4" s="223"/>
      <c r="H4" s="223"/>
      <c r="I4" s="11"/>
      <c r="J4" s="12"/>
      <c r="K4" s="12"/>
      <c r="L4" s="13"/>
      <c r="M4" s="224"/>
    </row>
    <row r="5" spans="1:13" ht="16.8" thickBot="1">
      <c r="A5" s="460" t="s">
        <v>5</v>
      </c>
      <c r="B5" s="461"/>
      <c r="C5" s="461"/>
      <c r="D5" s="14"/>
      <c r="E5" s="15"/>
      <c r="F5" s="16" t="s">
        <v>6</v>
      </c>
      <c r="G5" s="17" t="s">
        <v>6</v>
      </c>
      <c r="H5" s="17"/>
      <c r="I5" s="18" t="s">
        <v>7</v>
      </c>
      <c r="J5" s="19" t="s">
        <v>8</v>
      </c>
      <c r="K5" s="20" t="s">
        <v>9</v>
      </c>
      <c r="L5" s="21" t="s">
        <v>10</v>
      </c>
      <c r="M5" s="225" t="s">
        <v>11</v>
      </c>
    </row>
    <row r="6" spans="1:13" ht="35.4" customHeight="1">
      <c r="A6" s="22" t="s">
        <v>13</v>
      </c>
      <c r="B6" s="23"/>
      <c r="C6" s="23"/>
      <c r="D6" s="24"/>
      <c r="E6" s="25"/>
      <c r="F6" s="26"/>
      <c r="G6" s="27"/>
      <c r="H6" s="28"/>
      <c r="I6" s="29"/>
      <c r="J6" s="30">
        <v>0.45</v>
      </c>
      <c r="K6" s="31">
        <f>J6*12</f>
        <v>5.4</v>
      </c>
      <c r="L6" s="32"/>
      <c r="M6" s="208">
        <v>0.48</v>
      </c>
    </row>
    <row r="7" spans="1:13" ht="19.5" customHeight="1">
      <c r="A7" s="33" t="s">
        <v>14</v>
      </c>
      <c r="B7" s="34"/>
      <c r="C7" s="34"/>
      <c r="D7" s="35"/>
      <c r="E7" s="36"/>
      <c r="F7" s="37"/>
      <c r="G7" s="37"/>
      <c r="H7" s="37"/>
      <c r="I7" s="38"/>
      <c r="J7" s="39">
        <v>0.5</v>
      </c>
      <c r="K7" s="40">
        <f>J7*12</f>
        <v>6</v>
      </c>
      <c r="L7" s="41"/>
      <c r="M7" s="209">
        <v>0.5</v>
      </c>
    </row>
    <row r="8" spans="1:13" ht="24.75" customHeight="1">
      <c r="A8" s="22" t="s">
        <v>15</v>
      </c>
      <c r="B8" s="23"/>
      <c r="C8" s="23"/>
      <c r="D8" s="24"/>
      <c r="E8" s="25"/>
      <c r="F8" s="42"/>
      <c r="G8" s="42"/>
      <c r="H8" s="42"/>
      <c r="I8" s="43"/>
      <c r="J8" s="44">
        <f>K8/12</f>
        <v>0</v>
      </c>
      <c r="K8" s="45"/>
      <c r="L8" s="32"/>
      <c r="M8" s="210">
        <v>0</v>
      </c>
    </row>
    <row r="9" spans="1:13" ht="24.75" customHeight="1">
      <c r="A9" s="46" t="s">
        <v>16</v>
      </c>
      <c r="B9" s="47"/>
      <c r="C9" s="47"/>
      <c r="D9" s="48"/>
      <c r="E9" s="49"/>
      <c r="F9" s="42"/>
      <c r="G9" s="42"/>
      <c r="H9" s="42"/>
      <c r="I9" s="43"/>
      <c r="J9" s="44"/>
      <c r="K9" s="45"/>
      <c r="L9" s="32"/>
      <c r="M9" s="210"/>
    </row>
    <row r="10" spans="1:13" ht="30.75" customHeight="1" thickBot="1">
      <c r="A10" s="50" t="s">
        <v>17</v>
      </c>
      <c r="B10" s="51"/>
      <c r="C10" s="51"/>
      <c r="D10" s="52"/>
      <c r="E10" s="53"/>
      <c r="F10" s="54">
        <f>SUM(F6:F7)</f>
        <v>0</v>
      </c>
      <c r="G10" s="54">
        <f>SUM(G6:G7)</f>
        <v>0</v>
      </c>
      <c r="H10" s="54"/>
      <c r="I10" s="55"/>
      <c r="J10" s="56">
        <f>SUM(J6:J9)</f>
        <v>0.95</v>
      </c>
      <c r="K10" s="56">
        <f>SUM(K6:K9)</f>
        <v>11.4</v>
      </c>
      <c r="L10" s="57"/>
      <c r="M10" s="226">
        <f>SUM(M6:M9)</f>
        <v>0.98</v>
      </c>
    </row>
    <row r="11" spans="1:13" ht="16.8" thickBot="1">
      <c r="A11" s="58"/>
      <c r="B11" s="58"/>
      <c r="C11" s="58"/>
      <c r="D11" s="59"/>
      <c r="E11" s="60"/>
      <c r="F11" s="61"/>
      <c r="G11" s="61"/>
      <c r="H11" s="61"/>
      <c r="I11" s="62"/>
      <c r="J11" s="63"/>
      <c r="K11" s="64"/>
      <c r="L11" s="64"/>
    </row>
    <row r="12" spans="1:13" ht="15.75" customHeight="1" thickBot="1">
      <c r="A12" s="447" t="s">
        <v>18</v>
      </c>
      <c r="B12" s="448"/>
      <c r="C12" s="448"/>
      <c r="D12" s="448"/>
      <c r="E12" s="448"/>
      <c r="F12" s="448"/>
      <c r="G12" s="165"/>
      <c r="H12" s="165"/>
      <c r="I12" s="227"/>
      <c r="J12" s="228"/>
      <c r="K12" s="228"/>
      <c r="L12" s="228"/>
      <c r="M12" s="220"/>
    </row>
    <row r="13" spans="1:13" ht="46.5" customHeight="1">
      <c r="A13" s="229" t="s">
        <v>19</v>
      </c>
      <c r="B13" s="230" t="s">
        <v>20</v>
      </c>
      <c r="C13" s="230" t="s">
        <v>21</v>
      </c>
      <c r="D13" s="231" t="s">
        <v>214</v>
      </c>
      <c r="E13" s="232" t="s">
        <v>23</v>
      </c>
      <c r="F13" s="233" t="s">
        <v>215</v>
      </c>
      <c r="G13" s="233" t="s">
        <v>25</v>
      </c>
      <c r="H13" s="233" t="s">
        <v>26</v>
      </c>
      <c r="I13" s="234" t="s">
        <v>27</v>
      </c>
      <c r="J13" s="233" t="s">
        <v>28</v>
      </c>
      <c r="K13" s="235" t="s">
        <v>9</v>
      </c>
      <c r="L13" s="236" t="s">
        <v>29</v>
      </c>
      <c r="M13" s="224"/>
    </row>
    <row r="14" spans="1:13" ht="25.5" customHeight="1" thickBot="1">
      <c r="A14" s="237" t="s">
        <v>30</v>
      </c>
      <c r="B14" s="238"/>
      <c r="C14" s="238"/>
      <c r="D14" s="239"/>
      <c r="E14" s="240"/>
      <c r="F14" s="241"/>
      <c r="G14" s="241"/>
      <c r="H14" s="241"/>
      <c r="I14" s="242"/>
      <c r="J14" s="243"/>
      <c r="K14" s="244"/>
      <c r="L14" s="245"/>
      <c r="M14" s="224"/>
    </row>
    <row r="15" spans="1:13" ht="42" customHeight="1" thickBot="1">
      <c r="A15" s="246" t="s">
        <v>31</v>
      </c>
      <c r="B15" s="247" t="s">
        <v>32</v>
      </c>
      <c r="C15" s="247" t="s">
        <v>33</v>
      </c>
      <c r="D15" s="248">
        <v>0.27</v>
      </c>
      <c r="E15" s="249">
        <v>0.03</v>
      </c>
      <c r="F15" s="250">
        <f>D15*(1+E15)</f>
        <v>0.27810000000000001</v>
      </c>
      <c r="G15" s="251">
        <v>0.3</v>
      </c>
      <c r="H15" s="252" t="s">
        <v>34</v>
      </c>
      <c r="I15" s="253">
        <f>3.81/1.59</f>
        <v>2.3962264150943398</v>
      </c>
      <c r="J15" s="254">
        <f>G15*I15</f>
        <v>0.71886792452830195</v>
      </c>
      <c r="K15" s="255">
        <f>J15*12</f>
        <v>8.6264150943396238</v>
      </c>
      <c r="L15" s="256"/>
      <c r="M15" s="257">
        <f>0.38*I15</f>
        <v>0.9105660377358491</v>
      </c>
    </row>
    <row r="16" spans="1:13" ht="42" customHeight="1" thickBot="1">
      <c r="A16" s="246" t="s">
        <v>35</v>
      </c>
      <c r="B16" s="247" t="s">
        <v>36</v>
      </c>
      <c r="C16" s="247" t="s">
        <v>33</v>
      </c>
      <c r="D16" s="248">
        <v>0</v>
      </c>
      <c r="E16" s="249">
        <v>0.03</v>
      </c>
      <c r="F16" s="250">
        <f>D16*(1+E16)</f>
        <v>0</v>
      </c>
      <c r="G16" s="251">
        <f>0.02</f>
        <v>0.02</v>
      </c>
      <c r="H16" s="252" t="s">
        <v>34</v>
      </c>
      <c r="I16" s="253">
        <f>3.69/1.3</f>
        <v>2.8384615384615381</v>
      </c>
      <c r="J16" s="254">
        <f>G16*I16</f>
        <v>5.6769230769230766E-2</v>
      </c>
      <c r="K16" s="255">
        <f>J16*12</f>
        <v>0.6812307692307692</v>
      </c>
      <c r="L16" s="256"/>
      <c r="M16" s="257">
        <f>+G16*I16</f>
        <v>5.6769230769230766E-2</v>
      </c>
    </row>
    <row r="17" spans="1:15" ht="30.75" customHeight="1" thickBot="1">
      <c r="A17" s="258" t="s">
        <v>37</v>
      </c>
      <c r="B17" s="259"/>
      <c r="C17" s="260"/>
      <c r="D17" s="261"/>
      <c r="E17" s="262"/>
      <c r="F17" s="47"/>
      <c r="G17" s="47"/>
      <c r="H17" s="47"/>
      <c r="I17" s="263"/>
      <c r="J17" s="264">
        <f>SUM(J15:J16)</f>
        <v>0.77563715529753274</v>
      </c>
      <c r="K17" s="264">
        <f>SUM(K15:K16)</f>
        <v>9.3076458635703929</v>
      </c>
      <c r="L17" s="265"/>
      <c r="M17" s="266">
        <f>SUM(M15:M16)</f>
        <v>0.96733526850507989</v>
      </c>
      <c r="N17" s="219">
        <f>240+336+384</f>
        <v>960</v>
      </c>
      <c r="O17" s="219">
        <f>360+264+216</f>
        <v>840</v>
      </c>
    </row>
    <row r="18" spans="1:15" ht="27.75" customHeight="1">
      <c r="A18" s="259" t="s">
        <v>38</v>
      </c>
      <c r="B18" s="47"/>
      <c r="C18" s="260"/>
      <c r="D18" s="261"/>
      <c r="E18" s="262"/>
      <c r="F18" s="47"/>
      <c r="G18" s="47"/>
      <c r="H18" s="47"/>
      <c r="I18" s="263"/>
      <c r="J18" s="267"/>
      <c r="K18" s="268"/>
      <c r="L18" s="269"/>
      <c r="M18" s="224"/>
      <c r="N18" s="219">
        <f>+N17*0.72</f>
        <v>691.19999999999993</v>
      </c>
      <c r="O18" s="219">
        <f>+O17*0.91</f>
        <v>764.4</v>
      </c>
    </row>
    <row r="19" spans="1:15" ht="30" customHeight="1">
      <c r="A19" s="270" t="s">
        <v>39</v>
      </c>
      <c r="B19" s="252" t="s">
        <v>40</v>
      </c>
      <c r="C19" s="271"/>
      <c r="D19" s="272">
        <v>0</v>
      </c>
      <c r="E19" s="249">
        <v>0.02</v>
      </c>
      <c r="F19" s="250">
        <f>D19*(1+E19)</f>
        <v>0</v>
      </c>
      <c r="G19" s="278">
        <f t="shared" ref="G19:G23" si="0">E19*(1+F19)</f>
        <v>0.02</v>
      </c>
      <c r="H19" s="252" t="s">
        <v>34</v>
      </c>
      <c r="I19" s="274">
        <v>0</v>
      </c>
      <c r="J19" s="282">
        <f t="shared" ref="J19:J20" si="1">+F19*I19</f>
        <v>0</v>
      </c>
      <c r="K19" s="255">
        <f>J19*12</f>
        <v>0</v>
      </c>
      <c r="L19" s="275"/>
      <c r="M19" s="276"/>
      <c r="N19" s="277">
        <f>1800*0.06</f>
        <v>108</v>
      </c>
      <c r="O19" s="277">
        <f>+N18+O18+N19</f>
        <v>1563.6</v>
      </c>
    </row>
    <row r="20" spans="1:15" ht="30" customHeight="1">
      <c r="A20" s="270" t="s">
        <v>41</v>
      </c>
      <c r="B20" s="252"/>
      <c r="C20" s="271"/>
      <c r="D20" s="272">
        <v>0</v>
      </c>
      <c r="E20" s="249">
        <v>0.02</v>
      </c>
      <c r="F20" s="250">
        <f>D20*(1+E20)</f>
        <v>0</v>
      </c>
      <c r="G20" s="278">
        <f t="shared" si="0"/>
        <v>0.02</v>
      </c>
      <c r="H20" s="252" t="s">
        <v>34</v>
      </c>
      <c r="I20" s="255"/>
      <c r="J20" s="282">
        <f t="shared" si="1"/>
        <v>0</v>
      </c>
      <c r="K20" s="255">
        <f>J20*12</f>
        <v>0</v>
      </c>
      <c r="L20" s="275"/>
      <c r="M20" s="276"/>
      <c r="N20" s="277"/>
      <c r="O20" s="219">
        <f>1409.7+110.7</f>
        <v>1520.4</v>
      </c>
    </row>
    <row r="21" spans="1:15" ht="30" customHeight="1">
      <c r="A21" s="278" t="s">
        <v>42</v>
      </c>
      <c r="B21" s="278"/>
      <c r="C21" s="252"/>
      <c r="D21" s="279">
        <v>1</v>
      </c>
      <c r="E21" s="249">
        <v>0.02</v>
      </c>
      <c r="F21" s="278">
        <f>D21*(1+E21)</f>
        <v>1.02</v>
      </c>
      <c r="G21" s="278">
        <f t="shared" si="0"/>
        <v>4.0399999999999998E-2</v>
      </c>
      <c r="H21" s="280"/>
      <c r="I21" s="281">
        <v>0.02</v>
      </c>
      <c r="J21" s="282">
        <f>+F21*I21</f>
        <v>2.0400000000000001E-2</v>
      </c>
      <c r="K21" s="283">
        <f>J21*12</f>
        <v>0.24480000000000002</v>
      </c>
      <c r="L21" s="284"/>
      <c r="M21" s="224"/>
      <c r="O21" s="277">
        <f>+O19-O20</f>
        <v>43.199999999999818</v>
      </c>
    </row>
    <row r="22" spans="1:15" ht="30" customHeight="1">
      <c r="A22" s="278" t="s">
        <v>43</v>
      </c>
      <c r="B22" s="278"/>
      <c r="C22" s="252"/>
      <c r="D22" s="279">
        <v>1</v>
      </c>
      <c r="E22" s="249">
        <v>0.02</v>
      </c>
      <c r="F22" s="278">
        <f>D22*(1+E22)</f>
        <v>1.02</v>
      </c>
      <c r="G22" s="278">
        <f t="shared" si="0"/>
        <v>4.0399999999999998E-2</v>
      </c>
      <c r="H22" s="280"/>
      <c r="I22" s="281">
        <v>0.02</v>
      </c>
      <c r="J22" s="282">
        <v>0.02</v>
      </c>
      <c r="K22" s="283">
        <f>J22*12</f>
        <v>0.24</v>
      </c>
      <c r="L22" s="284"/>
      <c r="M22" s="224"/>
    </row>
    <row r="23" spans="1:15" ht="30" customHeight="1">
      <c r="A23" s="285" t="s">
        <v>44</v>
      </c>
      <c r="B23" s="285"/>
      <c r="C23" s="47"/>
      <c r="D23" s="286">
        <v>1</v>
      </c>
      <c r="E23" s="249">
        <v>0.02</v>
      </c>
      <c r="F23" s="287">
        <f>D23*(1+E23)</f>
        <v>1.02</v>
      </c>
      <c r="G23" s="278">
        <f t="shared" si="0"/>
        <v>4.0399999999999998E-2</v>
      </c>
      <c r="H23" s="288"/>
      <c r="I23" s="281">
        <v>0.02</v>
      </c>
      <c r="J23" s="282">
        <f t="shared" ref="J23" si="2">+F23*I23</f>
        <v>2.0400000000000001E-2</v>
      </c>
      <c r="K23" s="268">
        <f>J23*12</f>
        <v>0.24480000000000002</v>
      </c>
      <c r="L23" s="284"/>
      <c r="M23" s="224"/>
    </row>
    <row r="24" spans="1:15" ht="28.5" customHeight="1">
      <c r="A24" s="258" t="s">
        <v>45</v>
      </c>
      <c r="B24" s="47"/>
      <c r="C24" s="285"/>
      <c r="D24" s="48"/>
      <c r="E24" s="262"/>
      <c r="F24" s="47"/>
      <c r="G24" s="47"/>
      <c r="H24" s="47"/>
      <c r="I24" s="268"/>
      <c r="J24" s="264">
        <f>SUM(J19:J23)</f>
        <v>6.0800000000000007E-2</v>
      </c>
      <c r="K24" s="264">
        <f>SUM(K19:K23)</f>
        <v>0.72960000000000003</v>
      </c>
      <c r="L24" s="289"/>
      <c r="M24" s="266">
        <f>+J24</f>
        <v>6.0800000000000007E-2</v>
      </c>
    </row>
    <row r="25" spans="1:15" ht="16.2">
      <c r="A25" s="260" t="s">
        <v>46</v>
      </c>
      <c r="B25" s="285"/>
      <c r="C25" s="47"/>
      <c r="D25" s="290"/>
      <c r="E25" s="49"/>
      <c r="F25" s="288"/>
      <c r="G25" s="288"/>
      <c r="H25" s="288"/>
      <c r="I25" s="268"/>
      <c r="J25" s="267"/>
      <c r="K25" s="291"/>
      <c r="L25" s="284"/>
      <c r="M25" s="224"/>
    </row>
    <row r="26" spans="1:15" ht="16.2">
      <c r="A26" s="285" t="s">
        <v>47</v>
      </c>
      <c r="B26" s="278"/>
      <c r="C26" s="252"/>
      <c r="D26" s="279">
        <v>0</v>
      </c>
      <c r="E26" s="249">
        <v>0.02</v>
      </c>
      <c r="F26" s="278">
        <f>D26*(1+E26)</f>
        <v>0</v>
      </c>
      <c r="G26" s="278">
        <f>E26*(1+F26)</f>
        <v>0.02</v>
      </c>
      <c r="H26" s="280"/>
      <c r="I26" s="255">
        <v>0</v>
      </c>
      <c r="J26" s="282">
        <f t="shared" ref="J26:J35" si="3">+F26*I26</f>
        <v>0</v>
      </c>
      <c r="K26" s="268">
        <f>J26*12</f>
        <v>0</v>
      </c>
      <c r="L26" s="284"/>
      <c r="M26" s="224"/>
    </row>
    <row r="27" spans="1:15" ht="16.2">
      <c r="A27" s="278" t="s">
        <v>48</v>
      </c>
      <c r="B27" s="278"/>
      <c r="C27" s="252"/>
      <c r="D27" s="279">
        <v>1</v>
      </c>
      <c r="E27" s="249">
        <v>0.02</v>
      </c>
      <c r="F27" s="278">
        <f t="shared" ref="F27:G34" si="4">D27*(1+E27)</f>
        <v>1.02</v>
      </c>
      <c r="G27" s="273">
        <f t="shared" si="4"/>
        <v>4.0399999999999998E-2</v>
      </c>
      <c r="H27" s="280"/>
      <c r="I27" s="255">
        <v>0</v>
      </c>
      <c r="J27" s="282">
        <f t="shared" si="3"/>
        <v>0</v>
      </c>
      <c r="K27" s="268">
        <f t="shared" ref="K27:K35" si="5">J27*12</f>
        <v>0</v>
      </c>
      <c r="L27" s="284"/>
      <c r="M27" s="224"/>
    </row>
    <row r="28" spans="1:15" ht="16.2">
      <c r="A28" s="278" t="s">
        <v>49</v>
      </c>
      <c r="B28" s="278"/>
      <c r="C28" s="252"/>
      <c r="D28" s="279">
        <v>0</v>
      </c>
      <c r="E28" s="249">
        <v>0.02</v>
      </c>
      <c r="F28" s="278">
        <f>D28*(1+E28)</f>
        <v>0</v>
      </c>
      <c r="G28" s="273">
        <f>E28*(1+F28)</f>
        <v>0.02</v>
      </c>
      <c r="H28" s="280"/>
      <c r="I28" s="255">
        <v>0</v>
      </c>
      <c r="J28" s="282">
        <f t="shared" si="3"/>
        <v>0</v>
      </c>
      <c r="K28" s="283">
        <f t="shared" si="5"/>
        <v>0</v>
      </c>
      <c r="L28" s="284"/>
      <c r="M28" s="224"/>
    </row>
    <row r="29" spans="1:15" ht="16.2">
      <c r="A29" s="278" t="s">
        <v>50</v>
      </c>
      <c r="B29" s="278"/>
      <c r="C29" s="252"/>
      <c r="D29" s="279">
        <v>0</v>
      </c>
      <c r="E29" s="249">
        <v>0.02</v>
      </c>
      <c r="F29" s="250">
        <f t="shared" si="4"/>
        <v>0</v>
      </c>
      <c r="G29" s="273">
        <f t="shared" si="4"/>
        <v>0.02</v>
      </c>
      <c r="H29" s="280"/>
      <c r="I29" s="255">
        <v>0</v>
      </c>
      <c r="J29" s="282">
        <f t="shared" si="3"/>
        <v>0</v>
      </c>
      <c r="K29" s="268">
        <f t="shared" si="5"/>
        <v>0</v>
      </c>
      <c r="L29" s="284"/>
      <c r="M29" s="224"/>
    </row>
    <row r="30" spans="1:15" ht="16.2">
      <c r="A30" s="278" t="s">
        <v>51</v>
      </c>
      <c r="B30" s="278"/>
      <c r="C30" s="252"/>
      <c r="D30" s="279">
        <v>0</v>
      </c>
      <c r="E30" s="249">
        <v>0.02</v>
      </c>
      <c r="F30" s="250">
        <v>1.05</v>
      </c>
      <c r="G30" s="273">
        <f t="shared" si="4"/>
        <v>4.0999999999999995E-2</v>
      </c>
      <c r="H30" s="280"/>
      <c r="I30" s="255">
        <v>0.02</v>
      </c>
      <c r="J30" s="282">
        <f t="shared" si="3"/>
        <v>2.1000000000000001E-2</v>
      </c>
      <c r="K30" s="268">
        <f t="shared" si="5"/>
        <v>0.252</v>
      </c>
      <c r="L30" s="284"/>
      <c r="M30" s="224"/>
    </row>
    <row r="31" spans="1:15" ht="16.2">
      <c r="A31" s="285" t="s">
        <v>52</v>
      </c>
      <c r="B31" s="285"/>
      <c r="C31" s="47"/>
      <c r="D31" s="279">
        <v>1</v>
      </c>
      <c r="E31" s="249">
        <v>0.02</v>
      </c>
      <c r="F31" s="292">
        <f t="shared" si="4"/>
        <v>1.02</v>
      </c>
      <c r="G31" s="273">
        <f t="shared" si="4"/>
        <v>4.0399999999999998E-2</v>
      </c>
      <c r="H31" s="288"/>
      <c r="I31" s="255">
        <v>0.02</v>
      </c>
      <c r="J31" s="282">
        <f t="shared" si="3"/>
        <v>2.0400000000000001E-2</v>
      </c>
      <c r="K31" s="268">
        <f t="shared" si="5"/>
        <v>0.24480000000000002</v>
      </c>
      <c r="L31" s="284"/>
      <c r="M31" s="224"/>
    </row>
    <row r="32" spans="1:15" ht="16.2">
      <c r="A32" s="285" t="s">
        <v>53</v>
      </c>
      <c r="B32" s="285"/>
      <c r="C32" s="47"/>
      <c r="D32" s="279">
        <v>0</v>
      </c>
      <c r="E32" s="249">
        <v>0.02</v>
      </c>
      <c r="F32" s="287">
        <f t="shared" si="4"/>
        <v>0</v>
      </c>
      <c r="G32" s="273">
        <f t="shared" si="4"/>
        <v>0.02</v>
      </c>
      <c r="H32" s="288"/>
      <c r="I32" s="293">
        <v>0</v>
      </c>
      <c r="J32" s="282">
        <f t="shared" si="3"/>
        <v>0</v>
      </c>
      <c r="K32" s="268">
        <f t="shared" si="5"/>
        <v>0</v>
      </c>
      <c r="L32" s="284"/>
      <c r="M32" s="224"/>
    </row>
    <row r="33" spans="1:14" ht="16.2">
      <c r="A33" s="285" t="s">
        <v>54</v>
      </c>
      <c r="B33" s="285"/>
      <c r="C33" s="47"/>
      <c r="D33" s="279">
        <v>0</v>
      </c>
      <c r="E33" s="249">
        <v>0.02</v>
      </c>
      <c r="F33" s="287">
        <v>1.05</v>
      </c>
      <c r="G33" s="273">
        <f t="shared" si="4"/>
        <v>4.0999999999999995E-2</v>
      </c>
      <c r="H33" s="288"/>
      <c r="I33" s="293">
        <v>0.02</v>
      </c>
      <c r="J33" s="282">
        <f t="shared" si="3"/>
        <v>2.1000000000000001E-2</v>
      </c>
      <c r="K33" s="268">
        <f t="shared" si="5"/>
        <v>0.252</v>
      </c>
      <c r="L33" s="284"/>
      <c r="M33" s="224"/>
    </row>
    <row r="34" spans="1:14" ht="16.2">
      <c r="A34" s="285" t="s">
        <v>55</v>
      </c>
      <c r="B34" s="285"/>
      <c r="C34" s="47"/>
      <c r="D34" s="279">
        <v>1</v>
      </c>
      <c r="E34" s="249">
        <v>0.02</v>
      </c>
      <c r="F34" s="292">
        <f t="shared" si="4"/>
        <v>1.02</v>
      </c>
      <c r="G34" s="273">
        <f t="shared" si="4"/>
        <v>4.0399999999999998E-2</v>
      </c>
      <c r="H34" s="288"/>
      <c r="I34" s="293">
        <v>0</v>
      </c>
      <c r="J34" s="282">
        <f t="shared" si="3"/>
        <v>0</v>
      </c>
      <c r="K34" s="268">
        <f t="shared" si="5"/>
        <v>0</v>
      </c>
      <c r="L34" s="284"/>
      <c r="M34" s="224"/>
    </row>
    <row r="35" spans="1:14" ht="21" customHeight="1">
      <c r="A35" s="285" t="s">
        <v>56</v>
      </c>
      <c r="B35" s="285"/>
      <c r="C35" s="47"/>
      <c r="D35" s="279">
        <v>1</v>
      </c>
      <c r="E35" s="249">
        <v>0.02</v>
      </c>
      <c r="F35" s="287">
        <f>D35*(1+E35)</f>
        <v>1.02</v>
      </c>
      <c r="G35" s="273">
        <f>E35*(1+F35)</f>
        <v>4.0399999999999998E-2</v>
      </c>
      <c r="H35" s="288"/>
      <c r="I35" s="293">
        <v>0.03</v>
      </c>
      <c r="J35" s="282">
        <f t="shared" si="3"/>
        <v>3.0599999999999999E-2</v>
      </c>
      <c r="K35" s="268">
        <f t="shared" si="5"/>
        <v>0.36719999999999997</v>
      </c>
      <c r="L35" s="284"/>
      <c r="M35" s="224"/>
    </row>
    <row r="36" spans="1:14" ht="18.75" customHeight="1">
      <c r="A36" s="294" t="s">
        <v>57</v>
      </c>
      <c r="B36" s="285"/>
      <c r="C36" s="259"/>
      <c r="D36" s="295"/>
      <c r="E36" s="296"/>
      <c r="F36" s="297"/>
      <c r="G36" s="297"/>
      <c r="H36" s="297"/>
      <c r="I36" s="298"/>
      <c r="J36" s="264">
        <f>SUM(J26:J35)</f>
        <v>9.3000000000000013E-2</v>
      </c>
      <c r="K36" s="299">
        <f>SUM(K26:K35)</f>
        <v>1.1160000000000001</v>
      </c>
      <c r="L36" s="300">
        <f>SUM(L26:L35)</f>
        <v>0</v>
      </c>
      <c r="M36" s="301">
        <f>+J36</f>
        <v>9.3000000000000013E-2</v>
      </c>
    </row>
    <row r="37" spans="1:14" ht="18.75" customHeight="1" thickBot="1">
      <c r="A37" s="302"/>
      <c r="B37" s="302"/>
      <c r="C37" s="125"/>
      <c r="D37" s="126"/>
      <c r="E37" s="127"/>
      <c r="F37" s="128"/>
      <c r="G37" s="128"/>
      <c r="H37" s="128"/>
      <c r="I37" s="129"/>
      <c r="J37" s="130"/>
      <c r="K37" s="130"/>
      <c r="L37" s="211"/>
      <c r="M37" s="224"/>
    </row>
    <row r="38" spans="1:14" ht="27" customHeight="1" thickBot="1">
      <c r="A38" s="462" t="s">
        <v>58</v>
      </c>
      <c r="B38" s="463"/>
      <c r="C38" s="463"/>
      <c r="D38" s="463"/>
      <c r="E38" s="463"/>
      <c r="F38" s="463"/>
      <c r="G38" s="463"/>
      <c r="H38" s="463"/>
      <c r="I38" s="464"/>
      <c r="J38" s="159">
        <f>SUM(J17+J24+J36)</f>
        <v>0.92943715529753268</v>
      </c>
      <c r="K38" s="159">
        <f>SUM(K17+K24+K36)</f>
        <v>11.153245863570392</v>
      </c>
      <c r="L38" s="212"/>
      <c r="M38" s="215">
        <f>SUM(M17+M24+M36)</f>
        <v>1.1211352685050799</v>
      </c>
    </row>
    <row r="39" spans="1:14" ht="27" customHeight="1" thickBot="1">
      <c r="A39" s="462" t="s">
        <v>59</v>
      </c>
      <c r="B39" s="463"/>
      <c r="C39" s="463"/>
      <c r="D39" s="463"/>
      <c r="E39" s="463"/>
      <c r="F39" s="463"/>
      <c r="G39" s="463"/>
      <c r="H39" s="463"/>
      <c r="I39" s="464"/>
      <c r="J39" s="331">
        <f>+J38+J10</f>
        <v>1.8794371552975326</v>
      </c>
      <c r="K39" s="160">
        <f>+K38+K10</f>
        <v>22.553245863570393</v>
      </c>
      <c r="L39" s="212"/>
      <c r="M39" s="332">
        <f>+M38+M10</f>
        <v>2.1011352685050797</v>
      </c>
    </row>
    <row r="40" spans="1:14" ht="27" customHeight="1" thickBot="1">
      <c r="A40" s="131" t="s">
        <v>175</v>
      </c>
      <c r="B40" s="132"/>
      <c r="C40" s="132"/>
      <c r="D40" s="132"/>
      <c r="E40" s="132"/>
      <c r="F40" s="132"/>
      <c r="G40" s="132"/>
      <c r="H40" s="132"/>
      <c r="I40" s="132"/>
      <c r="J40" s="160">
        <f>5500/100000</f>
        <v>5.5E-2</v>
      </c>
      <c r="K40" s="160"/>
      <c r="L40" s="212"/>
      <c r="M40" s="215">
        <f>5500/100000</f>
        <v>5.5E-2</v>
      </c>
    </row>
    <row r="41" spans="1:14" ht="27" customHeight="1" thickBot="1">
      <c r="A41" s="131" t="s">
        <v>176</v>
      </c>
      <c r="B41" s="132"/>
      <c r="C41" s="132"/>
      <c r="D41" s="132"/>
      <c r="E41" s="132"/>
      <c r="F41" s="132"/>
      <c r="G41" s="132"/>
      <c r="H41" s="132"/>
      <c r="I41" s="132"/>
      <c r="J41" s="160">
        <f>+J39+J40</f>
        <v>1.9344371552975326</v>
      </c>
      <c r="K41" s="160"/>
      <c r="L41" s="212"/>
      <c r="M41" s="215">
        <f>+M39+M40</f>
        <v>2.1561352685050799</v>
      </c>
    </row>
    <row r="42" spans="1:14" ht="27" customHeight="1" thickBot="1">
      <c r="A42" s="131" t="s">
        <v>177</v>
      </c>
      <c r="B42" s="132"/>
      <c r="C42" s="132"/>
      <c r="D42" s="132"/>
      <c r="E42" s="132"/>
      <c r="F42" s="132"/>
      <c r="G42" s="132"/>
      <c r="H42" s="132"/>
      <c r="I42" s="132"/>
      <c r="J42" s="331">
        <f>+J39/0.83-J39</f>
        <v>0.38494495951877172</v>
      </c>
      <c r="K42" s="160">
        <f>+K38/0.8-K38</f>
        <v>2.7883114658925976</v>
      </c>
      <c r="L42" s="213"/>
      <c r="M42" s="332">
        <f>+M41/0.83-M41</f>
        <v>0.44161806704320927</v>
      </c>
    </row>
    <row r="43" spans="1:14" ht="28.5" customHeight="1" thickBot="1">
      <c r="A43" s="436"/>
      <c r="B43" s="437"/>
      <c r="C43" s="437"/>
      <c r="D43" s="133"/>
      <c r="E43" s="134"/>
      <c r="F43" s="61"/>
      <c r="G43" s="61"/>
      <c r="H43" s="61"/>
      <c r="I43" s="135"/>
      <c r="J43" s="61" t="s">
        <v>60</v>
      </c>
      <c r="K43" s="61" t="s">
        <v>61</v>
      </c>
      <c r="L43" s="214"/>
      <c r="M43" s="303"/>
    </row>
    <row r="44" spans="1:14" ht="30.6" customHeight="1" thickBot="1">
      <c r="A44" s="438" t="s">
        <v>62</v>
      </c>
      <c r="B44" s="439"/>
      <c r="C44" s="439"/>
      <c r="D44" s="439"/>
      <c r="E44" s="439"/>
      <c r="F44" s="439"/>
      <c r="G44" s="439"/>
      <c r="H44" s="439"/>
      <c r="I44" s="439"/>
      <c r="J44" s="216">
        <f>+J39+J42</f>
        <v>2.2643821148163044</v>
      </c>
      <c r="K44" s="216">
        <f>+K39+K42</f>
        <v>25.34155732946299</v>
      </c>
      <c r="L44" s="217"/>
      <c r="M44" s="218">
        <f>+M39+M42</f>
        <v>2.542753335548289</v>
      </c>
      <c r="N44" s="304"/>
    </row>
    <row r="45" spans="1:14" ht="16.2">
      <c r="A45" s="440"/>
      <c r="B45" s="441"/>
      <c r="C45" s="441"/>
      <c r="D45" s="138"/>
      <c r="E45" s="139"/>
      <c r="F45" s="440"/>
      <c r="G45" s="441"/>
      <c r="H45" s="441"/>
      <c r="I45" s="441"/>
      <c r="J45" s="441"/>
      <c r="K45" s="444"/>
      <c r="L45" s="140"/>
      <c r="M45" s="305"/>
    </row>
    <row r="46" spans="1:14" ht="16.2">
      <c r="A46" s="440"/>
      <c r="B46" s="441"/>
      <c r="C46" s="441"/>
      <c r="D46" s="138"/>
      <c r="E46" s="139"/>
      <c r="F46" s="440"/>
      <c r="G46" s="441"/>
      <c r="H46" s="441"/>
      <c r="I46" s="441"/>
      <c r="J46" s="441"/>
      <c r="K46" s="444"/>
      <c r="L46" s="142"/>
      <c r="M46" s="306"/>
    </row>
    <row r="47" spans="1:14" ht="16.2">
      <c r="A47" s="440"/>
      <c r="B47" s="441"/>
      <c r="C47" s="441"/>
      <c r="D47" s="138"/>
      <c r="E47" s="139"/>
      <c r="F47" s="440"/>
      <c r="G47" s="441"/>
      <c r="H47" s="441"/>
      <c r="I47" s="441"/>
      <c r="J47" s="441"/>
      <c r="K47" s="444"/>
      <c r="L47" s="140"/>
    </row>
    <row r="48" spans="1:14" ht="16.2">
      <c r="A48" s="440"/>
      <c r="B48" s="441"/>
      <c r="C48" s="441"/>
      <c r="D48" s="138"/>
      <c r="E48" s="139"/>
      <c r="F48" s="440"/>
      <c r="G48" s="441"/>
      <c r="H48" s="441"/>
      <c r="I48" s="441"/>
      <c r="J48" s="441"/>
      <c r="K48" s="444"/>
      <c r="L48" s="140"/>
    </row>
    <row r="49" spans="1:12" ht="16.2">
      <c r="A49" s="440"/>
      <c r="B49" s="441"/>
      <c r="C49" s="441"/>
      <c r="D49" s="138"/>
      <c r="E49" s="139"/>
      <c r="F49" s="440"/>
      <c r="G49" s="441"/>
      <c r="H49" s="441"/>
      <c r="I49" s="441"/>
      <c r="J49" s="441"/>
      <c r="K49" s="444"/>
      <c r="L49" s="140"/>
    </row>
    <row r="50" spans="1:12" ht="4.5" customHeight="1" thickBot="1">
      <c r="A50" s="442"/>
      <c r="B50" s="443"/>
      <c r="C50" s="443"/>
      <c r="D50" s="144"/>
      <c r="E50" s="145"/>
      <c r="F50" s="442"/>
      <c r="G50" s="443"/>
      <c r="H50" s="443"/>
      <c r="I50" s="443"/>
      <c r="J50" s="443"/>
      <c r="K50" s="445"/>
      <c r="L50" s="140"/>
    </row>
    <row r="51" spans="1:12">
      <c r="A51" s="219" t="s">
        <v>107</v>
      </c>
      <c r="J51" s="219" t="s">
        <v>108</v>
      </c>
      <c r="K51" s="310">
        <v>45618</v>
      </c>
    </row>
    <row r="52" spans="1:12">
      <c r="A52" s="61"/>
      <c r="B52" s="61"/>
      <c r="C52" s="61"/>
      <c r="D52" s="146"/>
      <c r="E52" s="134"/>
      <c r="F52" s="61"/>
      <c r="G52" s="61"/>
      <c r="H52" s="61"/>
      <c r="I52" s="135"/>
      <c r="J52" s="61"/>
      <c r="K52" s="61"/>
      <c r="L52" s="147"/>
    </row>
    <row r="53" spans="1:12" ht="12.75" customHeight="1">
      <c r="A53" s="219" t="s">
        <v>110</v>
      </c>
      <c r="B53" s="61"/>
      <c r="C53" s="61"/>
      <c r="D53" s="146"/>
      <c r="E53" s="134"/>
      <c r="F53" s="61"/>
      <c r="G53" s="61"/>
      <c r="H53" s="61"/>
      <c r="I53" s="169"/>
      <c r="J53" s="219" t="s">
        <v>108</v>
      </c>
      <c r="K53" s="168"/>
      <c r="L53" s="61"/>
    </row>
  </sheetData>
  <mergeCells count="16">
    <mergeCell ref="A43:C43"/>
    <mergeCell ref="A44:I44"/>
    <mergeCell ref="A45:C50"/>
    <mergeCell ref="F45:K50"/>
    <mergeCell ref="A1:L1"/>
    <mergeCell ref="A2:F2"/>
    <mergeCell ref="I2:J2"/>
    <mergeCell ref="K2:L2"/>
    <mergeCell ref="A3:C3"/>
    <mergeCell ref="D3:F3"/>
    <mergeCell ref="J3:K3"/>
    <mergeCell ref="A4:B4"/>
    <mergeCell ref="A5:C5"/>
    <mergeCell ref="A12:F12"/>
    <mergeCell ref="A38:I38"/>
    <mergeCell ref="A39:I39"/>
  </mergeCells>
  <pageMargins left="0.19685039370078741" right="0.19685039370078741" top="0.74803149606299213" bottom="0.74803149606299213" header="0.31496062992125984" footer="0.31496062992125984"/>
  <pageSetup scale="52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9DE01-8929-41C4-855C-7E0B1D778478}">
  <dimension ref="A1:O76"/>
  <sheetViews>
    <sheetView topLeftCell="A13" zoomScaleNormal="100" workbookViewId="0">
      <selection activeCell="G38" sqref="G38"/>
    </sheetView>
  </sheetViews>
  <sheetFormatPr baseColWidth="10" defaultRowHeight="14.4"/>
  <cols>
    <col min="1" max="1" width="19.109375" customWidth="1"/>
    <col min="2" max="2" width="29" customWidth="1"/>
    <col min="3" max="3" width="13.5546875" customWidth="1"/>
    <col min="4" max="4" width="12.5546875" customWidth="1"/>
    <col min="5" max="5" width="15.6640625" customWidth="1"/>
    <col min="6" max="6" width="18.109375" customWidth="1"/>
    <col min="9" max="9" width="22.77734375" customWidth="1"/>
  </cols>
  <sheetData>
    <row r="1" spans="1:6">
      <c r="A1" s="476"/>
      <c r="B1" s="477"/>
      <c r="C1" s="478" t="s">
        <v>111</v>
      </c>
      <c r="D1" s="478"/>
      <c r="E1" s="478"/>
      <c r="F1" s="478"/>
    </row>
    <row r="2" spans="1:6">
      <c r="A2" s="477"/>
      <c r="B2" s="477"/>
      <c r="C2" s="478"/>
      <c r="D2" s="478"/>
      <c r="E2" s="478"/>
      <c r="F2" s="478"/>
    </row>
    <row r="3" spans="1:6">
      <c r="A3" s="477"/>
      <c r="B3" s="477"/>
      <c r="C3" s="170"/>
      <c r="D3" s="171"/>
      <c r="E3" s="191" t="s">
        <v>112</v>
      </c>
      <c r="F3" s="191" t="s">
        <v>113</v>
      </c>
    </row>
    <row r="4" spans="1:6" ht="93" customHeight="1">
      <c r="A4" s="477"/>
      <c r="B4" s="477"/>
      <c r="C4" s="170"/>
      <c r="D4" s="172"/>
      <c r="E4" s="173"/>
      <c r="F4" s="174">
        <v>45698</v>
      </c>
    </row>
    <row r="5" spans="1:6">
      <c r="A5" s="175"/>
      <c r="B5" s="172"/>
      <c r="C5" s="172"/>
      <c r="D5" s="172"/>
      <c r="E5" s="172"/>
      <c r="F5" s="172"/>
    </row>
    <row r="6" spans="1:6">
      <c r="A6" s="192" t="s">
        <v>114</v>
      </c>
      <c r="B6" s="193"/>
      <c r="C6" s="194"/>
      <c r="D6" s="193" t="s">
        <v>115</v>
      </c>
      <c r="E6" s="193"/>
      <c r="F6" s="193"/>
    </row>
    <row r="7" spans="1:6">
      <c r="A7" s="195" t="s">
        <v>116</v>
      </c>
      <c r="B7" s="195"/>
      <c r="C7" s="196"/>
      <c r="D7" s="196" t="s">
        <v>116</v>
      </c>
      <c r="E7" s="196"/>
      <c r="F7" s="196"/>
    </row>
    <row r="8" spans="1:6">
      <c r="A8" s="479" t="s">
        <v>303</v>
      </c>
      <c r="B8" s="479"/>
      <c r="C8" s="197"/>
      <c r="D8" s="480"/>
      <c r="E8" s="480"/>
      <c r="F8" s="480"/>
    </row>
    <row r="9" spans="1:6">
      <c r="A9" s="195" t="s">
        <v>117</v>
      </c>
      <c r="B9" s="195"/>
      <c r="C9" s="196"/>
      <c r="D9" s="196" t="s">
        <v>117</v>
      </c>
      <c r="E9" s="196"/>
      <c r="F9" s="196"/>
    </row>
    <row r="10" spans="1:6">
      <c r="A10" s="479" t="s">
        <v>302</v>
      </c>
      <c r="B10" s="479"/>
      <c r="C10" s="197"/>
      <c r="D10" s="480" t="str">
        <f>A10</f>
        <v>INDUSTRIAS SERIGRAFICAS SALVADOREÑAS, S.A. DE C.V.</v>
      </c>
      <c r="E10" s="480"/>
      <c r="F10" s="480"/>
    </row>
    <row r="11" spans="1:6">
      <c r="A11" s="200" t="s">
        <v>118</v>
      </c>
      <c r="B11" s="200"/>
      <c r="C11" s="198"/>
      <c r="D11" s="198" t="s">
        <v>118</v>
      </c>
      <c r="E11" s="198"/>
      <c r="F11" s="198"/>
    </row>
    <row r="12" spans="1:6">
      <c r="A12" s="481" t="s">
        <v>304</v>
      </c>
      <c r="B12" s="481"/>
      <c r="C12" s="199"/>
      <c r="D12" s="482" t="str">
        <f>A12</f>
        <v>Polig. E, Lofif. Los Tulipanes, Lote 1,2 y 3                          Ahuachapan</v>
      </c>
      <c r="E12" s="483"/>
      <c r="F12" s="483"/>
    </row>
    <row r="13" spans="1:6">
      <c r="A13" s="481"/>
      <c r="B13" s="481"/>
      <c r="C13" s="198"/>
      <c r="D13" s="483"/>
      <c r="E13" s="483"/>
      <c r="F13" s="483"/>
    </row>
    <row r="14" spans="1:6">
      <c r="A14" s="200" t="s">
        <v>119</v>
      </c>
      <c r="B14" s="200"/>
      <c r="C14" s="198"/>
      <c r="D14" s="198" t="s">
        <v>119</v>
      </c>
      <c r="E14" s="198"/>
      <c r="F14" s="198"/>
    </row>
    <row r="15" spans="1:6">
      <c r="A15" s="479" t="s">
        <v>305</v>
      </c>
      <c r="B15" s="479"/>
      <c r="C15" s="197"/>
      <c r="D15" s="484" t="str">
        <f>A15</f>
        <v>Telef. 2413-4724</v>
      </c>
      <c r="E15" s="484"/>
      <c r="F15" s="484"/>
    </row>
    <row r="16" spans="1:6">
      <c r="A16" s="200" t="s">
        <v>120</v>
      </c>
      <c r="B16" s="200"/>
      <c r="C16" s="198"/>
      <c r="D16" s="198" t="s">
        <v>120</v>
      </c>
      <c r="E16" s="198"/>
      <c r="F16" s="198"/>
    </row>
    <row r="17" spans="1:15">
      <c r="A17" s="176" t="s">
        <v>306</v>
      </c>
      <c r="B17" s="175"/>
      <c r="C17" s="197"/>
      <c r="D17" s="485" t="str">
        <f>A17</f>
        <v>fcastaneda@insesa.com.sv</v>
      </c>
      <c r="E17" s="486"/>
      <c r="F17" s="486"/>
    </row>
    <row r="18" spans="1:15">
      <c r="A18" s="201"/>
      <c r="B18" s="199"/>
      <c r="C18" s="199"/>
      <c r="D18" s="199"/>
      <c r="E18" s="199"/>
      <c r="F18" s="199"/>
    </row>
    <row r="19" spans="1:15">
      <c r="A19" s="202" t="s">
        <v>121</v>
      </c>
      <c r="B19" s="203"/>
      <c r="C19" s="204"/>
      <c r="D19" s="202" t="s">
        <v>122</v>
      </c>
      <c r="E19" s="204"/>
      <c r="F19" s="204" t="s">
        <v>123</v>
      </c>
    </row>
    <row r="20" spans="1:15">
      <c r="A20" s="177"/>
      <c r="B20" s="178"/>
      <c r="C20" s="179"/>
      <c r="D20" s="474"/>
      <c r="E20" s="475"/>
      <c r="F20" s="180"/>
    </row>
    <row r="21" spans="1:15">
      <c r="A21" s="205" t="s">
        <v>124</v>
      </c>
      <c r="B21" s="487" t="s">
        <v>125</v>
      </c>
      <c r="C21" s="488"/>
      <c r="D21" s="205" t="s">
        <v>213</v>
      </c>
      <c r="E21" s="205" t="s">
        <v>127</v>
      </c>
      <c r="F21" s="205" t="s">
        <v>128</v>
      </c>
      <c r="I21" s="424"/>
      <c r="J21" s="425"/>
    </row>
    <row r="22" spans="1:15">
      <c r="A22" s="181" t="s">
        <v>209</v>
      </c>
      <c r="B22" s="489" t="s">
        <v>78</v>
      </c>
      <c r="C22" s="490"/>
      <c r="D22" s="403">
        <v>1800</v>
      </c>
      <c r="E22" s="182">
        <v>0.3</v>
      </c>
      <c r="F22" s="182">
        <f>+D22*E22</f>
        <v>540</v>
      </c>
      <c r="I22" s="424"/>
      <c r="J22" s="181" t="s">
        <v>208</v>
      </c>
      <c r="K22" s="489">
        <f>+SPPS!K2</f>
        <v>0</v>
      </c>
      <c r="L22" s="490"/>
      <c r="M22" s="403">
        <v>1800</v>
      </c>
      <c r="N22" s="182">
        <v>0.45</v>
      </c>
      <c r="O22" s="182">
        <f>+M22*N22</f>
        <v>810</v>
      </c>
    </row>
    <row r="23" spans="1:15">
      <c r="A23" s="181"/>
      <c r="B23" s="489"/>
      <c r="C23" s="490"/>
      <c r="D23" s="403">
        <v>1800</v>
      </c>
      <c r="E23" s="182">
        <v>0.45</v>
      </c>
      <c r="F23" s="182">
        <f t="shared" ref="F23:F25" si="0">+D23*E23</f>
        <v>810</v>
      </c>
      <c r="I23" s="424"/>
      <c r="J23" s="181" t="s">
        <v>210</v>
      </c>
      <c r="K23" s="489">
        <f>+SPPS!K3</f>
        <v>0</v>
      </c>
      <c r="L23" s="490"/>
      <c r="M23" s="403">
        <v>1800</v>
      </c>
      <c r="N23" s="182">
        <v>0.38</v>
      </c>
      <c r="O23" s="182">
        <f t="shared" ref="O23:O24" si="1">+M23*N23</f>
        <v>684</v>
      </c>
    </row>
    <row r="24" spans="1:15" ht="14.4" customHeight="1">
      <c r="A24" s="181"/>
      <c r="B24" s="489"/>
      <c r="C24" s="490"/>
      <c r="D24" s="403">
        <v>1800</v>
      </c>
      <c r="E24" s="182">
        <v>0.38</v>
      </c>
      <c r="F24" s="182">
        <f t="shared" si="0"/>
        <v>684</v>
      </c>
      <c r="I24" s="424"/>
      <c r="J24" s="181" t="s">
        <v>209</v>
      </c>
      <c r="K24" s="489">
        <f>+SPPS!K4</f>
        <v>0</v>
      </c>
      <c r="L24" s="490"/>
      <c r="M24" s="403">
        <v>1800</v>
      </c>
      <c r="N24" s="182">
        <v>0.3</v>
      </c>
      <c r="O24" s="182">
        <f t="shared" si="1"/>
        <v>540</v>
      </c>
    </row>
    <row r="25" spans="1:15">
      <c r="A25" s="181"/>
      <c r="B25" s="489"/>
      <c r="C25" s="490"/>
      <c r="D25" s="403">
        <v>1800</v>
      </c>
      <c r="E25" s="182">
        <v>0.3</v>
      </c>
      <c r="F25" s="182">
        <f t="shared" si="0"/>
        <v>540</v>
      </c>
    </row>
    <row r="26" spans="1:15">
      <c r="A26" s="173"/>
      <c r="B26" s="489"/>
      <c r="C26" s="490"/>
      <c r="D26" s="403"/>
      <c r="E26" s="182"/>
      <c r="F26" s="182"/>
    </row>
    <row r="27" spans="1:15">
      <c r="A27" s="173"/>
      <c r="B27" s="489"/>
      <c r="C27" s="490"/>
      <c r="D27" s="403"/>
      <c r="E27" s="182"/>
      <c r="F27" s="182"/>
    </row>
    <row r="28" spans="1:15">
      <c r="A28" s="173"/>
      <c r="B28" s="489"/>
      <c r="C28" s="490"/>
      <c r="D28" s="403"/>
      <c r="E28" s="182"/>
      <c r="F28" s="182"/>
    </row>
    <row r="29" spans="1:15">
      <c r="A29" s="173"/>
      <c r="B29" s="489"/>
      <c r="C29" s="490"/>
      <c r="D29" s="403"/>
      <c r="E29" s="182"/>
      <c r="F29" s="182"/>
    </row>
    <row r="30" spans="1:15">
      <c r="A30" s="173"/>
      <c r="B30" s="503"/>
      <c r="C30" s="504"/>
      <c r="D30" s="173"/>
      <c r="E30" s="183"/>
      <c r="F30" s="184" t="str">
        <f t="shared" ref="F30:F31" si="2">IF(D30*E30=0,"",(D30*E30))</f>
        <v/>
      </c>
    </row>
    <row r="31" spans="1:15">
      <c r="A31" s="173"/>
      <c r="B31" s="503"/>
      <c r="C31" s="504"/>
      <c r="D31" s="173"/>
      <c r="E31" s="183"/>
      <c r="F31" s="184" t="str">
        <f t="shared" si="2"/>
        <v/>
      </c>
    </row>
    <row r="32" spans="1:15">
      <c r="A32" s="505"/>
      <c r="B32" s="506"/>
      <c r="C32" s="506"/>
      <c r="D32" s="506"/>
      <c r="E32" s="506"/>
      <c r="F32" s="507"/>
    </row>
    <row r="33" spans="1:6">
      <c r="A33" s="495" t="s">
        <v>129</v>
      </c>
      <c r="B33" s="495"/>
      <c r="C33" s="496"/>
      <c r="D33" s="497" t="s">
        <v>130</v>
      </c>
      <c r="E33" s="498"/>
      <c r="F33" s="185">
        <f>SUM(F22:F31)</f>
        <v>2574</v>
      </c>
    </row>
    <row r="34" spans="1:6">
      <c r="A34" s="499"/>
      <c r="B34" s="499"/>
      <c r="C34" s="500"/>
      <c r="D34" s="186" t="s">
        <v>131</v>
      </c>
      <c r="E34" s="187"/>
      <c r="F34" s="188"/>
    </row>
    <row r="35" spans="1:6">
      <c r="A35" s="499"/>
      <c r="B35" s="499"/>
      <c r="C35" s="500"/>
      <c r="D35" s="186" t="s">
        <v>132</v>
      </c>
      <c r="E35" s="187"/>
      <c r="F35" s="188"/>
    </row>
    <row r="36" spans="1:6">
      <c r="A36" s="499"/>
      <c r="B36" s="499"/>
      <c r="C36" s="500"/>
      <c r="D36" s="501" t="s">
        <v>133</v>
      </c>
      <c r="E36" s="502"/>
      <c r="F36" s="188"/>
    </row>
    <row r="37" spans="1:6">
      <c r="A37" s="499"/>
      <c r="B37" s="499"/>
      <c r="C37" s="500"/>
      <c r="D37" s="501" t="s">
        <v>134</v>
      </c>
      <c r="E37" s="502"/>
      <c r="F37" s="188"/>
    </row>
    <row r="38" spans="1:6">
      <c r="A38" s="499"/>
      <c r="B38" s="499"/>
      <c r="C38" s="500"/>
      <c r="D38" s="497" t="s">
        <v>135</v>
      </c>
      <c r="E38" s="498"/>
      <c r="F38" s="185">
        <f>F33+F35+F36+F37-F34</f>
        <v>2574</v>
      </c>
    </row>
    <row r="39" spans="1:6">
      <c r="A39" s="508"/>
      <c r="B39" s="508"/>
      <c r="C39" s="508"/>
      <c r="D39" s="508"/>
      <c r="E39" s="508"/>
      <c r="F39" s="508"/>
    </row>
    <row r="44" spans="1:6">
      <c r="A44" s="206" t="s">
        <v>136</v>
      </c>
      <c r="B44" s="189"/>
      <c r="D44" t="s">
        <v>141</v>
      </c>
      <c r="E44" s="189"/>
      <c r="F44" s="189"/>
    </row>
    <row r="45" spans="1:6">
      <c r="B45" s="161" t="s">
        <v>138</v>
      </c>
      <c r="E45" s="512" t="s">
        <v>307</v>
      </c>
      <c r="F45" s="512"/>
    </row>
    <row r="46" spans="1:6">
      <c r="B46" s="190" t="s">
        <v>139</v>
      </c>
      <c r="E46" s="510" t="s">
        <v>221</v>
      </c>
      <c r="F46" s="510"/>
    </row>
    <row r="49" spans="2:4">
      <c r="B49" s="207" t="s">
        <v>137</v>
      </c>
      <c r="C49" s="189"/>
      <c r="D49" s="189"/>
    </row>
    <row r="50" spans="2:4">
      <c r="C50" s="512" t="s">
        <v>109</v>
      </c>
      <c r="D50" s="512"/>
    </row>
    <row r="51" spans="2:4">
      <c r="C51" s="510" t="s">
        <v>140</v>
      </c>
      <c r="D51" s="510"/>
    </row>
    <row r="66" spans="2:4">
      <c r="B66" s="424"/>
      <c r="C66" s="426"/>
    </row>
    <row r="67" spans="2:4">
      <c r="B67" s="424"/>
      <c r="C67" s="426"/>
    </row>
    <row r="68" spans="2:4">
      <c r="B68" s="424"/>
      <c r="C68" s="426"/>
    </row>
    <row r="69" spans="2:4">
      <c r="B69" s="428"/>
      <c r="C69" s="427"/>
    </row>
    <row r="70" spans="2:4">
      <c r="C70" s="427"/>
    </row>
    <row r="71" spans="2:4">
      <c r="B71" s="429"/>
      <c r="C71" s="426"/>
    </row>
    <row r="72" spans="2:4">
      <c r="B72" s="429"/>
      <c r="C72" s="426"/>
    </row>
    <row r="73" spans="2:4">
      <c r="B73" s="429"/>
      <c r="C73" s="426"/>
    </row>
    <row r="74" spans="2:4">
      <c r="B74" s="429"/>
      <c r="C74" s="427"/>
    </row>
    <row r="76" spans="2:4" ht="27.6" customHeight="1">
      <c r="B76" s="511"/>
      <c r="C76" s="511"/>
      <c r="D76" s="511"/>
    </row>
  </sheetData>
  <mergeCells count="39">
    <mergeCell ref="B76:D76"/>
    <mergeCell ref="A39:F39"/>
    <mergeCell ref="E45:F45"/>
    <mergeCell ref="E46:F46"/>
    <mergeCell ref="C50:D50"/>
    <mergeCell ref="C51:D51"/>
    <mergeCell ref="A33:C33"/>
    <mergeCell ref="D33:E33"/>
    <mergeCell ref="A34:C38"/>
    <mergeCell ref="D36:E36"/>
    <mergeCell ref="D37:E37"/>
    <mergeCell ref="D38:E38"/>
    <mergeCell ref="A32:F32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K22:L22"/>
    <mergeCell ref="K23:L23"/>
    <mergeCell ref="K24:L24"/>
    <mergeCell ref="D20:E20"/>
    <mergeCell ref="A1:B4"/>
    <mergeCell ref="C1:F2"/>
    <mergeCell ref="A8:B8"/>
    <mergeCell ref="D8:F8"/>
    <mergeCell ref="A10:B10"/>
    <mergeCell ref="D10:F10"/>
    <mergeCell ref="A12:B13"/>
    <mergeCell ref="D12:F13"/>
    <mergeCell ref="A15:B15"/>
    <mergeCell ref="D15:F15"/>
    <mergeCell ref="D17:F17"/>
  </mergeCells>
  <hyperlinks>
    <hyperlink ref="A17" r:id="rId1" xr:uid="{0E4F0C15-B01E-4499-BB31-EF86837C5DEE}"/>
  </hyperlinks>
  <pageMargins left="1.02" right="0.25" top="0.75" bottom="0.75" header="0.3" footer="0.3"/>
  <pageSetup scale="80" orientation="portrait" horizontalDpi="0" verticalDpi="0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45A6D-655F-4465-831D-81B689E07233}">
  <dimension ref="A1:O76"/>
  <sheetViews>
    <sheetView topLeftCell="A16" zoomScaleNormal="100" workbookViewId="0">
      <selection activeCell="I37" sqref="I37"/>
    </sheetView>
  </sheetViews>
  <sheetFormatPr baseColWidth="10" defaultRowHeight="14.4"/>
  <cols>
    <col min="1" max="1" width="19.109375" customWidth="1"/>
    <col min="2" max="2" width="29" customWidth="1"/>
    <col min="3" max="3" width="13.5546875" customWidth="1"/>
    <col min="4" max="4" width="12.5546875" customWidth="1"/>
    <col min="5" max="5" width="15.6640625" customWidth="1"/>
    <col min="6" max="6" width="18.109375" customWidth="1"/>
    <col min="9" max="9" width="22.77734375" customWidth="1"/>
  </cols>
  <sheetData>
    <row r="1" spans="1:6">
      <c r="A1" s="476"/>
      <c r="B1" s="477"/>
      <c r="C1" s="478" t="s">
        <v>111</v>
      </c>
      <c r="D1" s="478"/>
      <c r="E1" s="478"/>
      <c r="F1" s="478"/>
    </row>
    <row r="2" spans="1:6">
      <c r="A2" s="477"/>
      <c r="B2" s="477"/>
      <c r="C2" s="478"/>
      <c r="D2" s="478"/>
      <c r="E2" s="478"/>
      <c r="F2" s="478"/>
    </row>
    <row r="3" spans="1:6">
      <c r="A3" s="477"/>
      <c r="B3" s="477"/>
      <c r="C3" s="170"/>
      <c r="D3" s="171"/>
      <c r="E3" s="191" t="s">
        <v>112</v>
      </c>
      <c r="F3" s="191" t="s">
        <v>113</v>
      </c>
    </row>
    <row r="4" spans="1:6" ht="93" customHeight="1">
      <c r="A4" s="477"/>
      <c r="B4" s="477"/>
      <c r="C4" s="170"/>
      <c r="D4" s="172"/>
      <c r="E4" s="173"/>
      <c r="F4" s="174">
        <v>45699</v>
      </c>
    </row>
    <row r="5" spans="1:6">
      <c r="A5" s="175"/>
      <c r="B5" s="172"/>
      <c r="C5" s="172"/>
      <c r="D5" s="172"/>
      <c r="E5" s="172"/>
      <c r="F5" s="172"/>
    </row>
    <row r="6" spans="1:6">
      <c r="A6" s="192" t="s">
        <v>114</v>
      </c>
      <c r="B6" s="193"/>
      <c r="C6" s="194"/>
      <c r="D6" s="193" t="s">
        <v>115</v>
      </c>
      <c r="E6" s="193"/>
      <c r="F6" s="193"/>
    </row>
    <row r="7" spans="1:6">
      <c r="A7" s="195" t="s">
        <v>116</v>
      </c>
      <c r="B7" s="195"/>
      <c r="C7" s="196"/>
      <c r="D7" s="196" t="s">
        <v>116</v>
      </c>
      <c r="E7" s="196"/>
      <c r="F7" s="196"/>
    </row>
    <row r="8" spans="1:6">
      <c r="A8" s="479" t="s">
        <v>303</v>
      </c>
      <c r="B8" s="479"/>
      <c r="C8" s="197"/>
      <c r="D8" s="480"/>
      <c r="E8" s="480"/>
      <c r="F8" s="480"/>
    </row>
    <row r="9" spans="1:6">
      <c r="A9" s="195" t="s">
        <v>117</v>
      </c>
      <c r="B9" s="195"/>
      <c r="C9" s="196"/>
      <c r="D9" s="196" t="s">
        <v>117</v>
      </c>
      <c r="E9" s="196"/>
      <c r="F9" s="196"/>
    </row>
    <row r="10" spans="1:6">
      <c r="A10" s="479" t="s">
        <v>302</v>
      </c>
      <c r="B10" s="479"/>
      <c r="C10" s="197"/>
      <c r="D10" s="480" t="str">
        <f>A10</f>
        <v>INDUSTRIAS SERIGRAFICAS SALVADOREÑAS, S.A. DE C.V.</v>
      </c>
      <c r="E10" s="480"/>
      <c r="F10" s="480"/>
    </row>
    <row r="11" spans="1:6">
      <c r="A11" s="200" t="s">
        <v>118</v>
      </c>
      <c r="B11" s="200"/>
      <c r="C11" s="198"/>
      <c r="D11" s="198" t="s">
        <v>118</v>
      </c>
      <c r="E11" s="198"/>
      <c r="F11" s="198"/>
    </row>
    <row r="12" spans="1:6">
      <c r="A12" s="481" t="s">
        <v>304</v>
      </c>
      <c r="B12" s="481"/>
      <c r="C12" s="199"/>
      <c r="D12" s="482" t="str">
        <f>A12</f>
        <v>Polig. E, Lofif. Los Tulipanes, Lote 1,2 y 3                          Ahuachapan</v>
      </c>
      <c r="E12" s="483"/>
      <c r="F12" s="483"/>
    </row>
    <row r="13" spans="1:6">
      <c r="A13" s="481"/>
      <c r="B13" s="481"/>
      <c r="C13" s="198"/>
      <c r="D13" s="483"/>
      <c r="E13" s="483"/>
      <c r="F13" s="483"/>
    </row>
    <row r="14" spans="1:6">
      <c r="A14" s="200" t="s">
        <v>119</v>
      </c>
      <c r="B14" s="200"/>
      <c r="C14" s="198"/>
      <c r="D14" s="198" t="s">
        <v>119</v>
      </c>
      <c r="E14" s="198"/>
      <c r="F14" s="198"/>
    </row>
    <row r="15" spans="1:6">
      <c r="A15" s="479" t="s">
        <v>305</v>
      </c>
      <c r="B15" s="479"/>
      <c r="C15" s="197"/>
      <c r="D15" s="484" t="str">
        <f>A15</f>
        <v>Telef. 2413-4724</v>
      </c>
      <c r="E15" s="484"/>
      <c r="F15" s="484"/>
    </row>
    <row r="16" spans="1:6">
      <c r="A16" s="200" t="s">
        <v>120</v>
      </c>
      <c r="B16" s="200"/>
      <c r="C16" s="198"/>
      <c r="D16" s="198" t="s">
        <v>120</v>
      </c>
      <c r="E16" s="198"/>
      <c r="F16" s="198"/>
    </row>
    <row r="17" spans="1:15">
      <c r="A17" s="176" t="s">
        <v>306</v>
      </c>
      <c r="B17" s="175"/>
      <c r="C17" s="197"/>
      <c r="D17" s="485" t="str">
        <f>A17</f>
        <v>fcastaneda@insesa.com.sv</v>
      </c>
      <c r="E17" s="486"/>
      <c r="F17" s="486"/>
    </row>
    <row r="18" spans="1:15">
      <c r="A18" s="201"/>
      <c r="B18" s="199"/>
      <c r="C18" s="199"/>
      <c r="D18" s="199"/>
      <c r="E18" s="199"/>
      <c r="F18" s="199"/>
    </row>
    <row r="19" spans="1:15">
      <c r="A19" s="202" t="s">
        <v>121</v>
      </c>
      <c r="B19" s="203"/>
      <c r="C19" s="204"/>
      <c r="D19" s="202" t="s">
        <v>122</v>
      </c>
      <c r="E19" s="204"/>
      <c r="F19" s="204" t="s">
        <v>123</v>
      </c>
    </row>
    <row r="20" spans="1:15">
      <c r="A20" s="177"/>
      <c r="B20" s="178"/>
      <c r="C20" s="179"/>
      <c r="D20" s="474"/>
      <c r="E20" s="475"/>
      <c r="F20" s="180"/>
    </row>
    <row r="21" spans="1:15">
      <c r="A21" s="205" t="s">
        <v>124</v>
      </c>
      <c r="B21" s="487" t="s">
        <v>125</v>
      </c>
      <c r="C21" s="488"/>
      <c r="D21" s="205" t="s">
        <v>213</v>
      </c>
      <c r="E21" s="205" t="s">
        <v>127</v>
      </c>
      <c r="F21" s="205" t="s">
        <v>128</v>
      </c>
      <c r="I21" s="424"/>
      <c r="J21" s="425"/>
    </row>
    <row r="22" spans="1:15">
      <c r="A22" s="181" t="s">
        <v>210</v>
      </c>
      <c r="B22" s="489" t="s">
        <v>308</v>
      </c>
      <c r="C22" s="490"/>
      <c r="D22" s="403">
        <v>1800</v>
      </c>
      <c r="E22" s="182">
        <v>0.38</v>
      </c>
      <c r="F22" s="182">
        <f>+D22*E22</f>
        <v>684</v>
      </c>
      <c r="I22" s="424"/>
      <c r="J22" s="181" t="s">
        <v>208</v>
      </c>
      <c r="K22" s="489">
        <f>+SPPS!K2</f>
        <v>0</v>
      </c>
      <c r="L22" s="490"/>
      <c r="M22" s="403">
        <v>1800</v>
      </c>
      <c r="N22" s="182">
        <v>0.45</v>
      </c>
      <c r="O22" s="182">
        <f>+M22*N22</f>
        <v>810</v>
      </c>
    </row>
    <row r="23" spans="1:15">
      <c r="A23" s="181"/>
      <c r="B23" s="489"/>
      <c r="C23" s="490"/>
      <c r="D23" s="403"/>
      <c r="E23" s="182"/>
      <c r="F23" s="182"/>
      <c r="I23" s="424"/>
      <c r="J23" s="181" t="s">
        <v>210</v>
      </c>
      <c r="K23" s="489">
        <f>+SPPS!K3</f>
        <v>0</v>
      </c>
      <c r="L23" s="490"/>
      <c r="M23" s="403">
        <v>1800</v>
      </c>
      <c r="N23" s="182">
        <v>0.38</v>
      </c>
      <c r="O23" s="182">
        <f t="shared" ref="O23:O24" si="0">+M23*N23</f>
        <v>684</v>
      </c>
    </row>
    <row r="24" spans="1:15" ht="14.4" customHeight="1">
      <c r="A24" s="181"/>
      <c r="B24" s="489"/>
      <c r="C24" s="490"/>
      <c r="D24" s="403"/>
      <c r="E24" s="182"/>
      <c r="F24" s="182"/>
      <c r="I24" s="424"/>
      <c r="J24" s="181" t="s">
        <v>209</v>
      </c>
      <c r="K24" s="489">
        <f>+SPPS!K4</f>
        <v>0</v>
      </c>
      <c r="L24" s="490"/>
      <c r="M24" s="403">
        <v>1800</v>
      </c>
      <c r="N24" s="182">
        <v>0.3</v>
      </c>
      <c r="O24" s="182">
        <f t="shared" si="0"/>
        <v>540</v>
      </c>
    </row>
    <row r="25" spans="1:15">
      <c r="A25" s="181"/>
      <c r="B25" s="489"/>
      <c r="C25" s="490"/>
      <c r="D25" s="403"/>
      <c r="E25" s="182"/>
      <c r="F25" s="182"/>
    </row>
    <row r="26" spans="1:15">
      <c r="A26" s="173"/>
      <c r="B26" s="489"/>
      <c r="C26" s="490"/>
      <c r="D26" s="403"/>
      <c r="E26" s="182"/>
      <c r="F26" s="182"/>
    </row>
    <row r="27" spans="1:15">
      <c r="A27" s="173"/>
      <c r="B27" s="489"/>
      <c r="C27" s="490"/>
      <c r="D27" s="403"/>
      <c r="E27" s="182"/>
      <c r="F27" s="182"/>
    </row>
    <row r="28" spans="1:15">
      <c r="A28" s="173"/>
      <c r="B28" s="489"/>
      <c r="C28" s="490"/>
      <c r="D28" s="403"/>
      <c r="E28" s="182"/>
      <c r="F28" s="182"/>
    </row>
    <row r="29" spans="1:15">
      <c r="A29" s="173"/>
      <c r="B29" s="489"/>
      <c r="C29" s="490"/>
      <c r="D29" s="403"/>
      <c r="E29" s="182"/>
      <c r="F29" s="182"/>
    </row>
    <row r="30" spans="1:15">
      <c r="A30" s="173"/>
      <c r="B30" s="503"/>
      <c r="C30" s="504"/>
      <c r="D30" s="173"/>
      <c r="E30" s="183"/>
      <c r="F30" s="184" t="str">
        <f t="shared" ref="F30:F31" si="1">IF(D30*E30=0,"",(D30*E30))</f>
        <v/>
      </c>
    </row>
    <row r="31" spans="1:15">
      <c r="A31" s="173"/>
      <c r="B31" s="503"/>
      <c r="C31" s="504"/>
      <c r="D31" s="173"/>
      <c r="E31" s="183"/>
      <c r="F31" s="184" t="str">
        <f t="shared" si="1"/>
        <v/>
      </c>
    </row>
    <row r="32" spans="1:15">
      <c r="A32" s="505"/>
      <c r="B32" s="506"/>
      <c r="C32" s="506"/>
      <c r="D32" s="506"/>
      <c r="E32" s="506"/>
      <c r="F32" s="507"/>
    </row>
    <row r="33" spans="1:6">
      <c r="A33" s="495" t="s">
        <v>129</v>
      </c>
      <c r="B33" s="495"/>
      <c r="C33" s="496"/>
      <c r="D33" s="497" t="s">
        <v>130</v>
      </c>
      <c r="E33" s="498"/>
      <c r="F33" s="185">
        <f>SUM(F22:F31)</f>
        <v>684</v>
      </c>
    </row>
    <row r="34" spans="1:6">
      <c r="A34" s="499" t="s">
        <v>311</v>
      </c>
      <c r="B34" s="499"/>
      <c r="C34" s="500"/>
      <c r="D34" s="186" t="s">
        <v>131</v>
      </c>
      <c r="E34" s="187"/>
      <c r="F34" s="188"/>
    </row>
    <row r="35" spans="1:6">
      <c r="A35" s="499"/>
      <c r="B35" s="499"/>
      <c r="C35" s="500"/>
      <c r="D35" s="186" t="s">
        <v>132</v>
      </c>
      <c r="E35" s="187"/>
      <c r="F35" s="188"/>
    </row>
    <row r="36" spans="1:6">
      <c r="A36" s="499"/>
      <c r="B36" s="499"/>
      <c r="C36" s="500"/>
      <c r="D36" s="501" t="s">
        <v>133</v>
      </c>
      <c r="E36" s="502"/>
      <c r="F36" s="188"/>
    </row>
    <row r="37" spans="1:6">
      <c r="A37" s="499"/>
      <c r="B37" s="499"/>
      <c r="C37" s="500"/>
      <c r="D37" s="501" t="s">
        <v>134</v>
      </c>
      <c r="E37" s="502"/>
      <c r="F37" s="188"/>
    </row>
    <row r="38" spans="1:6">
      <c r="A38" s="499"/>
      <c r="B38" s="499"/>
      <c r="C38" s="500"/>
      <c r="D38" s="497" t="s">
        <v>135</v>
      </c>
      <c r="E38" s="498"/>
      <c r="F38" s="185">
        <f>F33+F35+F36+F37-F34</f>
        <v>684</v>
      </c>
    </row>
    <row r="39" spans="1:6">
      <c r="A39" s="508"/>
      <c r="B39" s="508"/>
      <c r="C39" s="508"/>
      <c r="D39" s="508"/>
      <c r="E39" s="508"/>
      <c r="F39" s="508"/>
    </row>
    <row r="44" spans="1:6">
      <c r="A44" s="206" t="s">
        <v>136</v>
      </c>
      <c r="B44" s="189"/>
      <c r="D44" t="s">
        <v>141</v>
      </c>
      <c r="E44" s="189"/>
      <c r="F44" s="189"/>
    </row>
    <row r="45" spans="1:6">
      <c r="B45" s="161" t="s">
        <v>138</v>
      </c>
      <c r="E45" s="512" t="s">
        <v>307</v>
      </c>
      <c r="F45" s="512"/>
    </row>
    <row r="46" spans="1:6">
      <c r="B46" s="190" t="s">
        <v>139</v>
      </c>
      <c r="E46" s="510" t="s">
        <v>310</v>
      </c>
      <c r="F46" s="510"/>
    </row>
    <row r="49" spans="2:4">
      <c r="B49" s="207" t="s">
        <v>137</v>
      </c>
      <c r="C49" s="189"/>
      <c r="D49" s="189"/>
    </row>
    <row r="50" spans="2:4">
      <c r="C50" s="512" t="s">
        <v>109</v>
      </c>
      <c r="D50" s="512"/>
    </row>
    <row r="51" spans="2:4">
      <c r="C51" s="510" t="s">
        <v>140</v>
      </c>
      <c r="D51" s="510"/>
    </row>
    <row r="66" spans="2:4">
      <c r="B66" s="424"/>
      <c r="C66" s="426"/>
    </row>
    <row r="67" spans="2:4">
      <c r="B67" s="424"/>
      <c r="C67" s="426"/>
    </row>
    <row r="68" spans="2:4">
      <c r="B68" s="424"/>
      <c r="C68" s="426"/>
    </row>
    <row r="69" spans="2:4">
      <c r="B69" s="428"/>
      <c r="C69" s="427"/>
    </row>
    <row r="70" spans="2:4">
      <c r="C70" s="427"/>
    </row>
    <row r="71" spans="2:4">
      <c r="B71" s="429"/>
      <c r="C71" s="426"/>
    </row>
    <row r="72" spans="2:4">
      <c r="B72" s="429"/>
      <c r="C72" s="426"/>
    </row>
    <row r="73" spans="2:4">
      <c r="B73" s="429"/>
      <c r="C73" s="426"/>
    </row>
    <row r="74" spans="2:4">
      <c r="B74" s="429"/>
      <c r="C74" s="427"/>
    </row>
    <row r="76" spans="2:4" ht="27.6" customHeight="1">
      <c r="B76" s="511"/>
      <c r="C76" s="511"/>
      <c r="D76" s="511"/>
    </row>
  </sheetData>
  <mergeCells count="39">
    <mergeCell ref="B76:D76"/>
    <mergeCell ref="B31:C31"/>
    <mergeCell ref="A32:F32"/>
    <mergeCell ref="A33:C33"/>
    <mergeCell ref="D33:E33"/>
    <mergeCell ref="A34:C38"/>
    <mergeCell ref="D36:E36"/>
    <mergeCell ref="D37:E37"/>
    <mergeCell ref="D38:E38"/>
    <mergeCell ref="A39:F39"/>
    <mergeCell ref="E45:F45"/>
    <mergeCell ref="E46:F46"/>
    <mergeCell ref="C50:D50"/>
    <mergeCell ref="C51:D51"/>
    <mergeCell ref="B30:C30"/>
    <mergeCell ref="B21:C21"/>
    <mergeCell ref="B22:C22"/>
    <mergeCell ref="K22:L22"/>
    <mergeCell ref="B23:C23"/>
    <mergeCell ref="K23:L23"/>
    <mergeCell ref="B24:C24"/>
    <mergeCell ref="K24:L24"/>
    <mergeCell ref="B25:C25"/>
    <mergeCell ref="B26:C26"/>
    <mergeCell ref="B27:C27"/>
    <mergeCell ref="B28:C28"/>
    <mergeCell ref="B29:C29"/>
    <mergeCell ref="D20:E20"/>
    <mergeCell ref="A1:B4"/>
    <mergeCell ref="C1:F2"/>
    <mergeCell ref="A8:B8"/>
    <mergeCell ref="D8:F8"/>
    <mergeCell ref="A10:B10"/>
    <mergeCell ref="D10:F10"/>
    <mergeCell ref="A12:B13"/>
    <mergeCell ref="D12:F13"/>
    <mergeCell ref="A15:B15"/>
    <mergeCell ref="D15:F15"/>
    <mergeCell ref="D17:F17"/>
  </mergeCells>
  <hyperlinks>
    <hyperlink ref="A17" r:id="rId1" xr:uid="{CE1039F3-1FE2-408A-ADCD-6E931D96C684}"/>
  </hyperlinks>
  <pageMargins left="1.02" right="0.25" top="0.75" bottom="0.75" header="0.3" footer="0.3"/>
  <pageSetup scale="80" orientation="portrait" horizontalDpi="0" verticalDpi="0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9786-F64D-499C-9A10-89D7DE128C7F}">
  <dimension ref="A1:O76"/>
  <sheetViews>
    <sheetView topLeftCell="A7" zoomScaleNormal="100" workbookViewId="0">
      <selection activeCell="J39" sqref="J39"/>
    </sheetView>
  </sheetViews>
  <sheetFormatPr baseColWidth="10" defaultRowHeight="14.4"/>
  <cols>
    <col min="1" max="1" width="19.109375" customWidth="1"/>
    <col min="2" max="2" width="29" customWidth="1"/>
    <col min="3" max="3" width="13.5546875" customWidth="1"/>
    <col min="4" max="4" width="12.5546875" customWidth="1"/>
    <col min="5" max="5" width="15.6640625" customWidth="1"/>
    <col min="6" max="6" width="18.109375" customWidth="1"/>
    <col min="9" max="9" width="22.77734375" customWidth="1"/>
  </cols>
  <sheetData>
    <row r="1" spans="1:6">
      <c r="A1" s="476"/>
      <c r="B1" s="477"/>
      <c r="C1" s="478" t="s">
        <v>111</v>
      </c>
      <c r="D1" s="478"/>
      <c r="E1" s="478"/>
      <c r="F1" s="478"/>
    </row>
    <row r="2" spans="1:6">
      <c r="A2" s="477"/>
      <c r="B2" s="477"/>
      <c r="C2" s="478"/>
      <c r="D2" s="478"/>
      <c r="E2" s="478"/>
      <c r="F2" s="478"/>
    </row>
    <row r="3" spans="1:6">
      <c r="A3" s="477"/>
      <c r="B3" s="477"/>
      <c r="C3" s="170"/>
      <c r="D3" s="171"/>
      <c r="E3" s="191" t="s">
        <v>112</v>
      </c>
      <c r="F3" s="191" t="s">
        <v>113</v>
      </c>
    </row>
    <row r="4" spans="1:6" ht="93" customHeight="1">
      <c r="A4" s="477"/>
      <c r="B4" s="477"/>
      <c r="C4" s="170"/>
      <c r="D4" s="172"/>
      <c r="E4" s="173"/>
      <c r="F4" s="174">
        <v>45699</v>
      </c>
    </row>
    <row r="5" spans="1:6">
      <c r="A5" s="175"/>
      <c r="B5" s="172"/>
      <c r="C5" s="172"/>
      <c r="D5" s="172"/>
      <c r="E5" s="172"/>
      <c r="F5" s="172"/>
    </row>
    <row r="6" spans="1:6">
      <c r="A6" s="192" t="s">
        <v>114</v>
      </c>
      <c r="B6" s="193"/>
      <c r="C6" s="194"/>
      <c r="D6" s="193" t="s">
        <v>115</v>
      </c>
      <c r="E6" s="193"/>
      <c r="F6" s="193"/>
    </row>
    <row r="7" spans="1:6">
      <c r="A7" s="195" t="s">
        <v>116</v>
      </c>
      <c r="B7" s="195"/>
      <c r="C7" s="196"/>
      <c r="D7" s="196" t="s">
        <v>116</v>
      </c>
      <c r="E7" s="196"/>
      <c r="F7" s="196"/>
    </row>
    <row r="8" spans="1:6">
      <c r="A8" s="479" t="s">
        <v>303</v>
      </c>
      <c r="B8" s="479"/>
      <c r="C8" s="197"/>
      <c r="D8" s="480"/>
      <c r="E8" s="480"/>
      <c r="F8" s="480"/>
    </row>
    <row r="9" spans="1:6">
      <c r="A9" s="195" t="s">
        <v>117</v>
      </c>
      <c r="B9" s="195"/>
      <c r="C9" s="196"/>
      <c r="D9" s="196" t="s">
        <v>117</v>
      </c>
      <c r="E9" s="196"/>
      <c r="F9" s="196"/>
    </row>
    <row r="10" spans="1:6">
      <c r="A10" s="479" t="s">
        <v>302</v>
      </c>
      <c r="B10" s="479"/>
      <c r="C10" s="197"/>
      <c r="D10" s="480" t="str">
        <f>A10</f>
        <v>INDUSTRIAS SERIGRAFICAS SALVADOREÑAS, S.A. DE C.V.</v>
      </c>
      <c r="E10" s="480"/>
      <c r="F10" s="480"/>
    </row>
    <row r="11" spans="1:6">
      <c r="A11" s="200" t="s">
        <v>118</v>
      </c>
      <c r="B11" s="200"/>
      <c r="C11" s="198"/>
      <c r="D11" s="198" t="s">
        <v>118</v>
      </c>
      <c r="E11" s="198"/>
      <c r="F11" s="198"/>
    </row>
    <row r="12" spans="1:6">
      <c r="A12" s="481" t="s">
        <v>304</v>
      </c>
      <c r="B12" s="481"/>
      <c r="C12" s="199"/>
      <c r="D12" s="482" t="str">
        <f>A12</f>
        <v>Polig. E, Lofif. Los Tulipanes, Lote 1,2 y 3                          Ahuachapan</v>
      </c>
      <c r="E12" s="483"/>
      <c r="F12" s="483"/>
    </row>
    <row r="13" spans="1:6">
      <c r="A13" s="481"/>
      <c r="B13" s="481"/>
      <c r="C13" s="198"/>
      <c r="D13" s="483"/>
      <c r="E13" s="483"/>
      <c r="F13" s="483"/>
    </row>
    <row r="14" spans="1:6">
      <c r="A14" s="200" t="s">
        <v>119</v>
      </c>
      <c r="B14" s="200"/>
      <c r="C14" s="198"/>
      <c r="D14" s="198" t="s">
        <v>119</v>
      </c>
      <c r="E14" s="198"/>
      <c r="F14" s="198"/>
    </row>
    <row r="15" spans="1:6">
      <c r="A15" s="479" t="s">
        <v>305</v>
      </c>
      <c r="B15" s="479"/>
      <c r="C15" s="197"/>
      <c r="D15" s="484" t="str">
        <f>A15</f>
        <v>Telef. 2413-4724</v>
      </c>
      <c r="E15" s="484"/>
      <c r="F15" s="484"/>
    </row>
    <row r="16" spans="1:6">
      <c r="A16" s="200" t="s">
        <v>120</v>
      </c>
      <c r="B16" s="200"/>
      <c r="C16" s="198"/>
      <c r="D16" s="198" t="s">
        <v>120</v>
      </c>
      <c r="E16" s="198"/>
      <c r="F16" s="198"/>
    </row>
    <row r="17" spans="1:15">
      <c r="A17" s="176" t="s">
        <v>306</v>
      </c>
      <c r="B17" s="175"/>
      <c r="C17" s="197"/>
      <c r="D17" s="485" t="str">
        <f>A17</f>
        <v>fcastaneda@insesa.com.sv</v>
      </c>
      <c r="E17" s="486"/>
      <c r="F17" s="486"/>
    </row>
    <row r="18" spans="1:15">
      <c r="A18" s="201"/>
      <c r="B18" s="199"/>
      <c r="C18" s="199"/>
      <c r="D18" s="199"/>
      <c r="E18" s="199"/>
      <c r="F18" s="199"/>
    </row>
    <row r="19" spans="1:15">
      <c r="A19" s="202" t="s">
        <v>121</v>
      </c>
      <c r="B19" s="203"/>
      <c r="C19" s="204"/>
      <c r="D19" s="202" t="s">
        <v>122</v>
      </c>
      <c r="E19" s="204"/>
      <c r="F19" s="204" t="s">
        <v>123</v>
      </c>
    </row>
    <row r="20" spans="1:15">
      <c r="A20" s="177"/>
      <c r="B20" s="178"/>
      <c r="C20" s="179"/>
      <c r="D20" s="474"/>
      <c r="E20" s="475"/>
      <c r="F20" s="180"/>
    </row>
    <row r="21" spans="1:15">
      <c r="A21" s="205" t="s">
        <v>124</v>
      </c>
      <c r="B21" s="487" t="s">
        <v>125</v>
      </c>
      <c r="C21" s="488"/>
      <c r="D21" s="205" t="s">
        <v>213</v>
      </c>
      <c r="E21" s="205" t="s">
        <v>127</v>
      </c>
      <c r="F21" s="205" t="s">
        <v>128</v>
      </c>
      <c r="I21" s="424"/>
      <c r="J21" s="425"/>
    </row>
    <row r="22" spans="1:15">
      <c r="A22" s="181" t="s">
        <v>210</v>
      </c>
      <c r="B22" s="489" t="s">
        <v>309</v>
      </c>
      <c r="C22" s="490"/>
      <c r="D22" s="403">
        <v>1800</v>
      </c>
      <c r="E22" s="182">
        <v>0.45</v>
      </c>
      <c r="F22" s="182">
        <f>+D22*E22</f>
        <v>810</v>
      </c>
      <c r="I22" s="424"/>
      <c r="J22" s="181" t="s">
        <v>208</v>
      </c>
      <c r="K22" s="489">
        <f>+SPPS!K2</f>
        <v>0</v>
      </c>
      <c r="L22" s="490"/>
      <c r="M22" s="403">
        <v>1800</v>
      </c>
      <c r="N22" s="182">
        <v>0.45</v>
      </c>
      <c r="O22" s="182">
        <f>+M22*N22</f>
        <v>810</v>
      </c>
    </row>
    <row r="23" spans="1:15">
      <c r="A23" s="181"/>
      <c r="B23" s="489"/>
      <c r="C23" s="490"/>
      <c r="D23" s="403"/>
      <c r="E23" s="182"/>
      <c r="F23" s="182"/>
      <c r="I23" s="424"/>
      <c r="J23" s="181" t="s">
        <v>210</v>
      </c>
      <c r="K23" s="489">
        <f>+SPPS!K3</f>
        <v>0</v>
      </c>
      <c r="L23" s="490"/>
      <c r="M23" s="403">
        <v>1800</v>
      </c>
      <c r="N23" s="182">
        <v>0.38</v>
      </c>
      <c r="O23" s="182">
        <f t="shared" ref="O23:O24" si="0">+M23*N23</f>
        <v>684</v>
      </c>
    </row>
    <row r="24" spans="1:15" ht="14.4" customHeight="1">
      <c r="A24" s="181"/>
      <c r="B24" s="489"/>
      <c r="C24" s="490"/>
      <c r="D24" s="403"/>
      <c r="E24" s="182"/>
      <c r="F24" s="182"/>
      <c r="I24" s="424"/>
      <c r="J24" s="181" t="s">
        <v>209</v>
      </c>
      <c r="K24" s="489">
        <f>+SPPS!K4</f>
        <v>0</v>
      </c>
      <c r="L24" s="490"/>
      <c r="M24" s="403">
        <v>1800</v>
      </c>
      <c r="N24" s="182">
        <v>0.3</v>
      </c>
      <c r="O24" s="182">
        <f t="shared" si="0"/>
        <v>540</v>
      </c>
    </row>
    <row r="25" spans="1:15">
      <c r="A25" s="181"/>
      <c r="B25" s="489"/>
      <c r="C25" s="490"/>
      <c r="D25" s="403"/>
      <c r="E25" s="182"/>
      <c r="F25" s="182"/>
    </row>
    <row r="26" spans="1:15">
      <c r="A26" s="173"/>
      <c r="B26" s="489"/>
      <c r="C26" s="490"/>
      <c r="D26" s="403"/>
      <c r="E26" s="182"/>
      <c r="F26" s="182"/>
    </row>
    <row r="27" spans="1:15">
      <c r="A27" s="173"/>
      <c r="B27" s="489"/>
      <c r="C27" s="490"/>
      <c r="D27" s="403"/>
      <c r="E27" s="182"/>
      <c r="F27" s="182"/>
    </row>
    <row r="28" spans="1:15">
      <c r="A28" s="173"/>
      <c r="B28" s="489"/>
      <c r="C28" s="490"/>
      <c r="D28" s="403"/>
      <c r="E28" s="182"/>
      <c r="F28" s="182"/>
    </row>
    <row r="29" spans="1:15">
      <c r="A29" s="173"/>
      <c r="B29" s="489"/>
      <c r="C29" s="490"/>
      <c r="D29" s="403"/>
      <c r="E29" s="182"/>
      <c r="F29" s="182"/>
    </row>
    <row r="30" spans="1:15">
      <c r="A30" s="173"/>
      <c r="B30" s="503"/>
      <c r="C30" s="504"/>
      <c r="D30" s="173"/>
      <c r="E30" s="183"/>
      <c r="F30" s="184" t="str">
        <f t="shared" ref="F30:F31" si="1">IF(D30*E30=0,"",(D30*E30))</f>
        <v/>
      </c>
    </row>
    <row r="31" spans="1:15">
      <c r="A31" s="173"/>
      <c r="B31" s="503"/>
      <c r="C31" s="504"/>
      <c r="D31" s="173"/>
      <c r="E31" s="183"/>
      <c r="F31" s="184" t="str">
        <f t="shared" si="1"/>
        <v/>
      </c>
    </row>
    <row r="32" spans="1:15">
      <c r="A32" s="505"/>
      <c r="B32" s="506"/>
      <c r="C32" s="506"/>
      <c r="D32" s="506"/>
      <c r="E32" s="506"/>
      <c r="F32" s="507"/>
    </row>
    <row r="33" spans="1:6">
      <c r="A33" s="495" t="s">
        <v>129</v>
      </c>
      <c r="B33" s="495"/>
      <c r="C33" s="496"/>
      <c r="D33" s="497" t="s">
        <v>130</v>
      </c>
      <c r="E33" s="498"/>
      <c r="F33" s="185">
        <f>SUM(F22:F31)</f>
        <v>810</v>
      </c>
    </row>
    <row r="34" spans="1:6">
      <c r="A34" s="499" t="s">
        <v>311</v>
      </c>
      <c r="B34" s="499"/>
      <c r="C34" s="500"/>
      <c r="D34" s="186" t="s">
        <v>131</v>
      </c>
      <c r="E34" s="187"/>
      <c r="F34" s="188"/>
    </row>
    <row r="35" spans="1:6">
      <c r="A35" s="499"/>
      <c r="B35" s="499"/>
      <c r="C35" s="500"/>
      <c r="D35" s="186" t="s">
        <v>132</v>
      </c>
      <c r="E35" s="187"/>
      <c r="F35" s="188"/>
    </row>
    <row r="36" spans="1:6">
      <c r="A36" s="499"/>
      <c r="B36" s="499"/>
      <c r="C36" s="500"/>
      <c r="D36" s="501" t="s">
        <v>133</v>
      </c>
      <c r="E36" s="502"/>
      <c r="F36" s="188"/>
    </row>
    <row r="37" spans="1:6">
      <c r="A37" s="499"/>
      <c r="B37" s="499"/>
      <c r="C37" s="500"/>
      <c r="D37" s="501" t="s">
        <v>134</v>
      </c>
      <c r="E37" s="502"/>
      <c r="F37" s="188"/>
    </row>
    <row r="38" spans="1:6">
      <c r="A38" s="499"/>
      <c r="B38" s="499"/>
      <c r="C38" s="500"/>
      <c r="D38" s="497" t="s">
        <v>135</v>
      </c>
      <c r="E38" s="498"/>
      <c r="F38" s="185">
        <f>F33+F35+F36+F37-F34</f>
        <v>810</v>
      </c>
    </row>
    <row r="39" spans="1:6">
      <c r="A39" s="508"/>
      <c r="B39" s="508"/>
      <c r="C39" s="508"/>
      <c r="D39" s="508"/>
      <c r="E39" s="508"/>
      <c r="F39" s="508"/>
    </row>
    <row r="44" spans="1:6">
      <c r="A44" s="206" t="s">
        <v>136</v>
      </c>
      <c r="B44" s="189"/>
      <c r="D44" t="s">
        <v>141</v>
      </c>
      <c r="E44" s="189"/>
      <c r="F44" s="189"/>
    </row>
    <row r="45" spans="1:6">
      <c r="B45" s="161" t="s">
        <v>138</v>
      </c>
      <c r="E45" s="512" t="s">
        <v>307</v>
      </c>
      <c r="F45" s="512"/>
    </row>
    <row r="46" spans="1:6">
      <c r="B46" s="190" t="s">
        <v>139</v>
      </c>
      <c r="E46" s="510" t="s">
        <v>310</v>
      </c>
      <c r="F46" s="510"/>
    </row>
    <row r="49" spans="2:4">
      <c r="B49" s="207" t="s">
        <v>137</v>
      </c>
      <c r="C49" s="189"/>
      <c r="D49" s="189"/>
    </row>
    <row r="50" spans="2:4">
      <c r="C50" s="512" t="s">
        <v>109</v>
      </c>
      <c r="D50" s="512"/>
    </row>
    <row r="51" spans="2:4">
      <c r="C51" s="510" t="s">
        <v>140</v>
      </c>
      <c r="D51" s="510"/>
    </row>
    <row r="66" spans="2:4">
      <c r="B66" s="424"/>
      <c r="C66" s="426"/>
    </row>
    <row r="67" spans="2:4">
      <c r="B67" s="424"/>
      <c r="C67" s="426"/>
    </row>
    <row r="68" spans="2:4">
      <c r="B68" s="424"/>
      <c r="C68" s="426"/>
    </row>
    <row r="69" spans="2:4">
      <c r="B69" s="428"/>
      <c r="C69" s="427"/>
    </row>
    <row r="70" spans="2:4">
      <c r="C70" s="427"/>
    </row>
    <row r="71" spans="2:4">
      <c r="B71" s="429"/>
      <c r="C71" s="426"/>
    </row>
    <row r="72" spans="2:4">
      <c r="B72" s="429"/>
      <c r="C72" s="426"/>
    </row>
    <row r="73" spans="2:4">
      <c r="B73" s="429"/>
      <c r="C73" s="426"/>
    </row>
    <row r="74" spans="2:4">
      <c r="B74" s="429"/>
      <c r="C74" s="427"/>
    </row>
    <row r="76" spans="2:4" ht="27.6" customHeight="1">
      <c r="B76" s="511"/>
      <c r="C76" s="511"/>
      <c r="D76" s="511"/>
    </row>
  </sheetData>
  <mergeCells count="39">
    <mergeCell ref="B76:D76"/>
    <mergeCell ref="B31:C31"/>
    <mergeCell ref="A32:F32"/>
    <mergeCell ref="A33:C33"/>
    <mergeCell ref="D33:E33"/>
    <mergeCell ref="A34:C38"/>
    <mergeCell ref="D36:E36"/>
    <mergeCell ref="D37:E37"/>
    <mergeCell ref="D38:E38"/>
    <mergeCell ref="A39:F39"/>
    <mergeCell ref="E45:F45"/>
    <mergeCell ref="E46:F46"/>
    <mergeCell ref="C50:D50"/>
    <mergeCell ref="C51:D51"/>
    <mergeCell ref="B30:C30"/>
    <mergeCell ref="B21:C21"/>
    <mergeCell ref="B22:C22"/>
    <mergeCell ref="K22:L22"/>
    <mergeCell ref="B23:C23"/>
    <mergeCell ref="K23:L23"/>
    <mergeCell ref="B24:C24"/>
    <mergeCell ref="K24:L24"/>
    <mergeCell ref="B25:C25"/>
    <mergeCell ref="B26:C26"/>
    <mergeCell ref="B27:C27"/>
    <mergeCell ref="B28:C28"/>
    <mergeCell ref="B29:C29"/>
    <mergeCell ref="D20:E20"/>
    <mergeCell ref="A1:B4"/>
    <mergeCell ref="C1:F2"/>
    <mergeCell ref="A8:B8"/>
    <mergeCell ref="D8:F8"/>
    <mergeCell ref="A10:B10"/>
    <mergeCell ref="D10:F10"/>
    <mergeCell ref="A12:B13"/>
    <mergeCell ref="D12:F13"/>
    <mergeCell ref="A15:B15"/>
    <mergeCell ref="D15:F15"/>
    <mergeCell ref="D17:F17"/>
  </mergeCells>
  <hyperlinks>
    <hyperlink ref="A17" r:id="rId1" xr:uid="{1CC2BF2E-F544-43ED-B5EF-9CE0B3D9C65E}"/>
  </hyperlinks>
  <pageMargins left="1.02" right="0.25" top="0.75" bottom="0.75" header="0.3" footer="0.3"/>
  <pageSetup scale="80" orientation="portrait" horizontalDpi="0" verticalDpi="0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3562A-8DDE-4A0D-A3A1-B581E3CC86F8}">
  <dimension ref="A1:F51"/>
  <sheetViews>
    <sheetView topLeftCell="A13" zoomScaleNormal="100" workbookViewId="0">
      <selection activeCell="E35" sqref="E35"/>
    </sheetView>
  </sheetViews>
  <sheetFormatPr baseColWidth="10" defaultRowHeight="14.4"/>
  <cols>
    <col min="1" max="1" width="19.109375" customWidth="1"/>
    <col min="2" max="2" width="29" customWidth="1"/>
    <col min="3" max="3" width="13.5546875" customWidth="1"/>
    <col min="4" max="4" width="12.5546875" customWidth="1"/>
    <col min="5" max="5" width="15.6640625" customWidth="1"/>
    <col min="6" max="6" width="22.109375" customWidth="1"/>
  </cols>
  <sheetData>
    <row r="1" spans="1:6">
      <c r="A1" s="476"/>
      <c r="B1" s="477"/>
      <c r="C1" s="478" t="s">
        <v>111</v>
      </c>
      <c r="D1" s="478"/>
      <c r="E1" s="478"/>
      <c r="F1" s="478"/>
    </row>
    <row r="2" spans="1:6">
      <c r="A2" s="477"/>
      <c r="B2" s="477"/>
      <c r="C2" s="478"/>
      <c r="D2" s="478"/>
      <c r="E2" s="478"/>
      <c r="F2" s="478"/>
    </row>
    <row r="3" spans="1:6">
      <c r="A3" s="477"/>
      <c r="B3" s="477"/>
      <c r="C3" s="170"/>
      <c r="D3" s="171"/>
      <c r="E3" s="191" t="s">
        <v>112</v>
      </c>
      <c r="F3" s="191" t="s">
        <v>113</v>
      </c>
    </row>
    <row r="4" spans="1:6" ht="93" customHeight="1">
      <c r="A4" s="477"/>
      <c r="B4" s="477"/>
      <c r="C4" s="170"/>
      <c r="D4" s="172"/>
      <c r="E4" s="173"/>
      <c r="F4" s="174"/>
    </row>
    <row r="5" spans="1:6">
      <c r="A5" s="175"/>
      <c r="B5" s="172"/>
      <c r="C5" s="172"/>
      <c r="D5" s="172"/>
      <c r="E5" s="172"/>
      <c r="F5" s="172"/>
    </row>
    <row r="6" spans="1:6">
      <c r="A6" s="192" t="s">
        <v>114</v>
      </c>
      <c r="B6" s="193"/>
      <c r="C6" s="194"/>
      <c r="D6" s="193" t="s">
        <v>115</v>
      </c>
      <c r="E6" s="193"/>
      <c r="F6" s="193"/>
    </row>
    <row r="7" spans="1:6">
      <c r="A7" s="195" t="s">
        <v>116</v>
      </c>
      <c r="B7" s="195"/>
      <c r="C7" s="196"/>
      <c r="D7" s="196" t="s">
        <v>116</v>
      </c>
      <c r="E7" s="196"/>
      <c r="F7" s="196"/>
    </row>
    <row r="8" spans="1:6">
      <c r="A8" s="479" t="s">
        <v>226</v>
      </c>
      <c r="B8" s="479"/>
      <c r="C8" s="197"/>
      <c r="D8" s="480"/>
      <c r="E8" s="480"/>
      <c r="F8" s="480"/>
    </row>
    <row r="9" spans="1:6">
      <c r="A9" s="195" t="s">
        <v>117</v>
      </c>
      <c r="B9" s="195"/>
      <c r="C9" s="196"/>
      <c r="D9" s="196" t="s">
        <v>117</v>
      </c>
      <c r="E9" s="196"/>
      <c r="F9" s="196"/>
    </row>
    <row r="10" spans="1:6">
      <c r="A10" s="479" t="s">
        <v>227</v>
      </c>
      <c r="B10" s="479"/>
      <c r="C10" s="197"/>
      <c r="D10" s="480" t="str">
        <f>A10</f>
        <v>IND. JOVIDA S.A. DE C.V.</v>
      </c>
      <c r="E10" s="480"/>
      <c r="F10" s="480"/>
    </row>
    <row r="11" spans="1:6">
      <c r="A11" s="200" t="s">
        <v>118</v>
      </c>
      <c r="B11" s="200"/>
      <c r="C11" s="198"/>
      <c r="D11" s="198" t="s">
        <v>118</v>
      </c>
      <c r="E11" s="198"/>
      <c r="F11" s="198"/>
    </row>
    <row r="12" spans="1:6">
      <c r="A12" s="481" t="s">
        <v>228</v>
      </c>
      <c r="B12" s="481"/>
      <c r="C12" s="199"/>
      <c r="D12" s="482" t="str">
        <f>A12</f>
        <v>ZONA FRANCA INDL. SAN BARTOLO,EDIF 19-20 POL.J, ILOPANGO, SAN SALVADOR</v>
      </c>
      <c r="E12" s="483"/>
      <c r="F12" s="483"/>
    </row>
    <row r="13" spans="1:6">
      <c r="A13" s="481"/>
      <c r="B13" s="481"/>
      <c r="C13" s="198"/>
      <c r="D13" s="483"/>
      <c r="E13" s="483"/>
      <c r="F13" s="483"/>
    </row>
    <row r="14" spans="1:6">
      <c r="A14" s="200" t="s">
        <v>119</v>
      </c>
      <c r="B14" s="200"/>
      <c r="C14" s="198"/>
      <c r="D14" s="198" t="s">
        <v>119</v>
      </c>
      <c r="E14" s="198"/>
      <c r="F14" s="198"/>
    </row>
    <row r="15" spans="1:6">
      <c r="A15" s="479" t="s">
        <v>229</v>
      </c>
      <c r="B15" s="479"/>
      <c r="C15" s="197"/>
      <c r="D15" s="484" t="str">
        <f>A15</f>
        <v>2213-8000</v>
      </c>
      <c r="E15" s="484"/>
      <c r="F15" s="484"/>
    </row>
    <row r="16" spans="1:6">
      <c r="A16" s="200" t="s">
        <v>120</v>
      </c>
      <c r="B16" s="200"/>
      <c r="C16" s="198"/>
      <c r="D16" s="198" t="s">
        <v>120</v>
      </c>
      <c r="E16" s="198"/>
      <c r="F16" s="198"/>
    </row>
    <row r="17" spans="1:6">
      <c r="A17" s="176" t="s">
        <v>230</v>
      </c>
      <c r="B17" s="175"/>
      <c r="C17" s="197"/>
      <c r="D17" s="485" t="str">
        <f>A17</f>
        <v>customers2@jovidasal.com</v>
      </c>
      <c r="E17" s="486"/>
      <c r="F17" s="486"/>
    </row>
    <row r="18" spans="1:6">
      <c r="A18" s="201"/>
      <c r="B18" s="199"/>
      <c r="C18" s="199"/>
      <c r="D18" s="199"/>
      <c r="E18" s="199"/>
      <c r="F18" s="199"/>
    </row>
    <row r="19" spans="1:6">
      <c r="A19" s="202" t="s">
        <v>121</v>
      </c>
      <c r="B19" s="203"/>
      <c r="C19" s="204"/>
      <c r="D19" s="202" t="s">
        <v>122</v>
      </c>
      <c r="E19" s="204"/>
      <c r="F19" s="204" t="s">
        <v>123</v>
      </c>
    </row>
    <row r="20" spans="1:6">
      <c r="A20" s="177"/>
      <c r="B20" s="178"/>
      <c r="C20" s="179"/>
      <c r="D20" s="474"/>
      <c r="E20" s="475"/>
      <c r="F20" s="180"/>
    </row>
    <row r="21" spans="1:6">
      <c r="A21" s="205" t="s">
        <v>124</v>
      </c>
      <c r="B21" s="487" t="s">
        <v>125</v>
      </c>
      <c r="C21" s="488"/>
      <c r="D21" s="205" t="s">
        <v>126</v>
      </c>
      <c r="E21" s="205" t="s">
        <v>127</v>
      </c>
      <c r="F21" s="205" t="s">
        <v>128</v>
      </c>
    </row>
    <row r="22" spans="1:6">
      <c r="A22" s="181" t="s">
        <v>242</v>
      </c>
      <c r="B22" s="489" t="s">
        <v>211</v>
      </c>
      <c r="C22" s="490"/>
      <c r="D22" s="403">
        <v>40</v>
      </c>
      <c r="E22" s="182">
        <v>1.8</v>
      </c>
      <c r="F22" s="182">
        <f>+D22*E22</f>
        <v>72</v>
      </c>
    </row>
    <row r="23" spans="1:6">
      <c r="A23" s="181" t="s">
        <v>243</v>
      </c>
      <c r="B23" s="489" t="s">
        <v>211</v>
      </c>
      <c r="C23" s="490"/>
      <c r="D23" s="403">
        <v>40</v>
      </c>
      <c r="E23" s="182">
        <v>1.8</v>
      </c>
      <c r="F23" s="182">
        <f>+D23*E23</f>
        <v>72</v>
      </c>
    </row>
    <row r="24" spans="1:6">
      <c r="A24" s="181" t="s">
        <v>244</v>
      </c>
      <c r="B24" s="489" t="s">
        <v>211</v>
      </c>
      <c r="C24" s="490"/>
      <c r="D24" s="403">
        <v>40</v>
      </c>
      <c r="E24" s="182">
        <v>1.8</v>
      </c>
      <c r="F24" s="182">
        <f t="shared" ref="F24:F25" si="0">+D24*E24</f>
        <v>72</v>
      </c>
    </row>
    <row r="25" spans="1:6">
      <c r="A25" s="181" t="s">
        <v>245</v>
      </c>
      <c r="B25" s="489" t="s">
        <v>211</v>
      </c>
      <c r="C25" s="490"/>
      <c r="D25" s="403">
        <v>40</v>
      </c>
      <c r="E25" s="182">
        <v>1.8</v>
      </c>
      <c r="F25" s="182">
        <f t="shared" si="0"/>
        <v>72</v>
      </c>
    </row>
    <row r="26" spans="1:6">
      <c r="A26" s="173"/>
      <c r="B26" s="489"/>
      <c r="C26" s="490"/>
      <c r="D26" s="403"/>
      <c r="E26" s="182"/>
      <c r="F26" s="182"/>
    </row>
    <row r="27" spans="1:6">
      <c r="A27" s="173"/>
      <c r="B27" s="489"/>
      <c r="C27" s="490"/>
      <c r="D27" s="403"/>
      <c r="E27" s="182"/>
      <c r="F27" s="182"/>
    </row>
    <row r="28" spans="1:6">
      <c r="A28" s="173"/>
      <c r="B28" s="489"/>
      <c r="C28" s="490"/>
      <c r="D28" s="403"/>
      <c r="E28" s="182"/>
      <c r="F28" s="182"/>
    </row>
    <row r="29" spans="1:6">
      <c r="A29" s="173"/>
      <c r="B29" s="489"/>
      <c r="C29" s="490"/>
      <c r="D29" s="403"/>
      <c r="E29" s="182"/>
      <c r="F29" s="182"/>
    </row>
    <row r="30" spans="1:6">
      <c r="A30" s="173"/>
      <c r="B30" s="503"/>
      <c r="C30" s="504"/>
      <c r="D30" s="173"/>
      <c r="E30" s="183"/>
      <c r="F30" s="184" t="str">
        <f t="shared" ref="F30:F31" si="1">IF(D30*E30=0,"",(D30*E30))</f>
        <v/>
      </c>
    </row>
    <row r="31" spans="1:6">
      <c r="A31" s="173"/>
      <c r="B31" s="503"/>
      <c r="C31" s="504"/>
      <c r="D31" s="173"/>
      <c r="E31" s="183"/>
      <c r="F31" s="184" t="str">
        <f t="shared" si="1"/>
        <v/>
      </c>
    </row>
    <row r="32" spans="1:6">
      <c r="A32" s="505"/>
      <c r="B32" s="506"/>
      <c r="C32" s="506"/>
      <c r="D32" s="506"/>
      <c r="E32" s="506"/>
      <c r="F32" s="507"/>
    </row>
    <row r="33" spans="1:6">
      <c r="A33" s="495" t="s">
        <v>129</v>
      </c>
      <c r="B33" s="495"/>
      <c r="C33" s="496"/>
      <c r="D33" s="497" t="s">
        <v>130</v>
      </c>
      <c r="E33" s="498"/>
      <c r="F33" s="185">
        <f>SUM(F22:F31)</f>
        <v>288</v>
      </c>
    </row>
    <row r="34" spans="1:6">
      <c r="A34" s="499" t="s">
        <v>247</v>
      </c>
      <c r="B34" s="499"/>
      <c r="C34" s="500"/>
      <c r="D34" s="186" t="s">
        <v>131</v>
      </c>
      <c r="E34" s="187"/>
      <c r="F34" s="188"/>
    </row>
    <row r="35" spans="1:6">
      <c r="A35" s="499"/>
      <c r="B35" s="499"/>
      <c r="C35" s="500"/>
      <c r="D35" s="186" t="s">
        <v>132</v>
      </c>
      <c r="E35" s="187"/>
      <c r="F35" s="188"/>
    </row>
    <row r="36" spans="1:6">
      <c r="A36" s="499"/>
      <c r="B36" s="499"/>
      <c r="C36" s="500"/>
      <c r="D36" s="501" t="s">
        <v>133</v>
      </c>
      <c r="E36" s="502"/>
      <c r="F36" s="188"/>
    </row>
    <row r="37" spans="1:6">
      <c r="A37" s="499"/>
      <c r="B37" s="499"/>
      <c r="C37" s="500"/>
      <c r="D37" s="501" t="s">
        <v>134</v>
      </c>
      <c r="E37" s="502"/>
      <c r="F37" s="188"/>
    </row>
    <row r="38" spans="1:6">
      <c r="A38" s="499"/>
      <c r="B38" s="499"/>
      <c r="C38" s="500"/>
      <c r="D38" s="497" t="s">
        <v>135</v>
      </c>
      <c r="E38" s="498"/>
      <c r="F38" s="185">
        <f>F33+F35+F36+F37-F34</f>
        <v>288</v>
      </c>
    </row>
    <row r="39" spans="1:6">
      <c r="A39" s="508"/>
      <c r="B39" s="508"/>
      <c r="C39" s="508"/>
      <c r="D39" s="508"/>
      <c r="E39" s="508"/>
      <c r="F39" s="508"/>
    </row>
    <row r="44" spans="1:6">
      <c r="A44" s="206" t="s">
        <v>136</v>
      </c>
      <c r="B44" s="189"/>
      <c r="D44" t="s">
        <v>141</v>
      </c>
      <c r="E44" s="189"/>
      <c r="F44" s="189"/>
    </row>
    <row r="45" spans="1:6">
      <c r="B45" s="161" t="s">
        <v>138</v>
      </c>
      <c r="E45" s="512" t="s">
        <v>246</v>
      </c>
      <c r="F45" s="512"/>
    </row>
    <row r="46" spans="1:6">
      <c r="B46" s="190" t="s">
        <v>232</v>
      </c>
      <c r="E46" s="510" t="s">
        <v>231</v>
      </c>
      <c r="F46" s="510"/>
    </row>
    <row r="49" spans="2:4">
      <c r="B49" s="207" t="s">
        <v>137</v>
      </c>
      <c r="C49" s="189"/>
      <c r="D49" s="189"/>
    </row>
    <row r="50" spans="2:4">
      <c r="C50" s="512" t="s">
        <v>109</v>
      </c>
      <c r="D50" s="512"/>
    </row>
    <row r="51" spans="2:4">
      <c r="C51" s="510" t="s">
        <v>140</v>
      </c>
      <c r="D51" s="510"/>
    </row>
  </sheetData>
  <mergeCells count="35">
    <mergeCell ref="A39:F39"/>
    <mergeCell ref="E45:F45"/>
    <mergeCell ref="E46:F46"/>
    <mergeCell ref="C50:D50"/>
    <mergeCell ref="C51:D51"/>
    <mergeCell ref="A33:C33"/>
    <mergeCell ref="D33:E33"/>
    <mergeCell ref="A34:C38"/>
    <mergeCell ref="D36:E36"/>
    <mergeCell ref="D37:E37"/>
    <mergeCell ref="D38:E38"/>
    <mergeCell ref="A32:F32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D20:E20"/>
    <mergeCell ref="A1:B4"/>
    <mergeCell ref="C1:F2"/>
    <mergeCell ref="A8:B8"/>
    <mergeCell ref="D8:F8"/>
    <mergeCell ref="A10:B10"/>
    <mergeCell ref="D10:F10"/>
    <mergeCell ref="A12:B13"/>
    <mergeCell ref="D12:F13"/>
    <mergeCell ref="A15:B15"/>
    <mergeCell ref="D15:F15"/>
    <mergeCell ref="D17:F17"/>
  </mergeCells>
  <hyperlinks>
    <hyperlink ref="A17" r:id="rId1" xr:uid="{C0789945-24DE-4D3D-998B-7029C9F6F1F6}"/>
  </hyperlinks>
  <pageMargins left="1.02" right="0.25" top="0.75" bottom="0.75" header="0.3" footer="0.3"/>
  <pageSetup scale="80" orientation="portrait" horizontalDpi="0" verticalDpi="0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12ABE-1AEF-49C9-9550-E26FC4172B8F}">
  <dimension ref="A1:F55"/>
  <sheetViews>
    <sheetView topLeftCell="A9" zoomScaleNormal="100" workbookViewId="0">
      <selection activeCell="E49" sqref="E49:F50"/>
    </sheetView>
  </sheetViews>
  <sheetFormatPr baseColWidth="10" defaultRowHeight="14.4"/>
  <cols>
    <col min="1" max="1" width="19.109375" customWidth="1"/>
    <col min="2" max="2" width="29" customWidth="1"/>
    <col min="3" max="3" width="13.5546875" customWidth="1"/>
    <col min="4" max="4" width="12.5546875" customWidth="1"/>
    <col min="5" max="5" width="15.6640625" customWidth="1"/>
    <col min="6" max="6" width="18.109375" customWidth="1"/>
  </cols>
  <sheetData>
    <row r="1" spans="1:6">
      <c r="A1" s="476"/>
      <c r="B1" s="477"/>
      <c r="C1" s="478" t="s">
        <v>111</v>
      </c>
      <c r="D1" s="478"/>
      <c r="E1" s="478"/>
      <c r="F1" s="478"/>
    </row>
    <row r="2" spans="1:6">
      <c r="A2" s="477"/>
      <c r="B2" s="477"/>
      <c r="C2" s="478"/>
      <c r="D2" s="478"/>
      <c r="E2" s="478"/>
      <c r="F2" s="478"/>
    </row>
    <row r="3" spans="1:6">
      <c r="A3" s="477"/>
      <c r="B3" s="477"/>
      <c r="C3" s="170"/>
      <c r="D3" s="171"/>
      <c r="E3" s="191" t="s">
        <v>112</v>
      </c>
      <c r="F3" s="191" t="s">
        <v>113</v>
      </c>
    </row>
    <row r="4" spans="1:6" ht="93" customHeight="1">
      <c r="A4" s="477"/>
      <c r="B4" s="477"/>
      <c r="C4" s="170"/>
      <c r="D4" s="172"/>
      <c r="E4" s="430">
        <v>45695</v>
      </c>
      <c r="F4" s="174"/>
    </row>
    <row r="5" spans="1:6">
      <c r="A5" s="175"/>
      <c r="B5" s="172"/>
      <c r="C5" s="172"/>
      <c r="D5" s="172"/>
      <c r="E5" s="172"/>
      <c r="F5" s="172"/>
    </row>
    <row r="6" spans="1:6">
      <c r="A6" s="192" t="s">
        <v>114</v>
      </c>
      <c r="B6" s="193"/>
      <c r="C6" s="194"/>
      <c r="D6" s="193" t="s">
        <v>115</v>
      </c>
      <c r="E6" s="193"/>
      <c r="F6" s="193"/>
    </row>
    <row r="7" spans="1:6">
      <c r="A7" s="195" t="s">
        <v>116</v>
      </c>
      <c r="B7" s="195"/>
      <c r="C7" s="196"/>
      <c r="D7" s="196" t="s">
        <v>116</v>
      </c>
      <c r="E7" s="196"/>
      <c r="F7" s="196"/>
    </row>
    <row r="8" spans="1:6">
      <c r="A8" s="479" t="s">
        <v>283</v>
      </c>
      <c r="B8" s="479"/>
      <c r="C8" s="197"/>
      <c r="D8" s="480"/>
      <c r="E8" s="480"/>
      <c r="F8" s="480"/>
    </row>
    <row r="9" spans="1:6">
      <c r="A9" s="195" t="s">
        <v>117</v>
      </c>
      <c r="B9" s="195"/>
      <c r="C9" s="196"/>
      <c r="D9" s="196" t="s">
        <v>117</v>
      </c>
      <c r="E9" s="196"/>
      <c r="F9" s="196"/>
    </row>
    <row r="10" spans="1:6">
      <c r="A10" s="479" t="s">
        <v>284</v>
      </c>
      <c r="B10" s="479"/>
      <c r="C10" s="197"/>
      <c r="D10" s="480" t="str">
        <f>A10</f>
        <v>Brands &amp; Trims</v>
      </c>
      <c r="E10" s="480"/>
      <c r="F10" s="480"/>
    </row>
    <row r="11" spans="1:6">
      <c r="A11" s="200" t="s">
        <v>118</v>
      </c>
      <c r="B11" s="200"/>
      <c r="C11" s="198"/>
      <c r="D11" s="198" t="s">
        <v>118</v>
      </c>
      <c r="E11" s="198"/>
      <c r="F11" s="198"/>
    </row>
    <row r="12" spans="1:6">
      <c r="A12" s="481" t="s">
        <v>285</v>
      </c>
      <c r="B12" s="481"/>
      <c r="C12" s="199"/>
      <c r="D12" s="482" t="str">
        <f>A12</f>
        <v>3a Calle 1-76 Zona 3 Boca del Monte                                           Villa Canales, Guatemala CA</v>
      </c>
      <c r="E12" s="483"/>
      <c r="F12" s="483"/>
    </row>
    <row r="13" spans="1:6">
      <c r="A13" s="481"/>
      <c r="B13" s="481"/>
      <c r="C13" s="198"/>
      <c r="D13" s="483"/>
      <c r="E13" s="483"/>
      <c r="F13" s="483"/>
    </row>
    <row r="14" spans="1:6">
      <c r="A14" s="200" t="s">
        <v>119</v>
      </c>
      <c r="B14" s="200"/>
      <c r="C14" s="198"/>
      <c r="D14" s="198" t="s">
        <v>119</v>
      </c>
      <c r="E14" s="198"/>
      <c r="F14" s="198"/>
    </row>
    <row r="15" spans="1:6">
      <c r="A15" s="479" t="s">
        <v>286</v>
      </c>
      <c r="B15" s="479"/>
      <c r="C15" s="197"/>
      <c r="D15" s="484" t="str">
        <f>A15</f>
        <v>503 77970833</v>
      </c>
      <c r="E15" s="484"/>
      <c r="F15" s="484"/>
    </row>
    <row r="16" spans="1:6">
      <c r="A16" s="200" t="s">
        <v>120</v>
      </c>
      <c r="B16" s="200"/>
      <c r="C16" s="198"/>
      <c r="D16" s="198" t="s">
        <v>120</v>
      </c>
      <c r="E16" s="198"/>
      <c r="F16" s="198"/>
    </row>
    <row r="17" spans="1:6">
      <c r="A17" s="176" t="s">
        <v>287</v>
      </c>
      <c r="B17" s="175"/>
      <c r="C17" s="197"/>
      <c r="D17" s="485" t="str">
        <f>A17</f>
        <v>marteaga@actexlabels.com</v>
      </c>
      <c r="E17" s="486"/>
      <c r="F17" s="486"/>
    </row>
    <row r="18" spans="1:6">
      <c r="A18" s="201"/>
      <c r="B18" s="199"/>
      <c r="C18" s="199"/>
      <c r="D18" s="199"/>
      <c r="E18" s="199"/>
      <c r="F18" s="199"/>
    </row>
    <row r="19" spans="1:6">
      <c r="A19" s="202" t="s">
        <v>121</v>
      </c>
      <c r="B19" s="203"/>
      <c r="C19" s="204"/>
      <c r="D19" s="202" t="s">
        <v>122</v>
      </c>
      <c r="E19" s="204"/>
      <c r="F19" s="204" t="s">
        <v>123</v>
      </c>
    </row>
    <row r="20" spans="1:6">
      <c r="A20" s="177"/>
      <c r="B20" s="178"/>
      <c r="C20" s="179"/>
      <c r="D20" s="474"/>
      <c r="E20" s="475"/>
      <c r="F20" s="180"/>
    </row>
    <row r="21" spans="1:6">
      <c r="A21" s="205" t="s">
        <v>124</v>
      </c>
      <c r="B21" s="487" t="s">
        <v>125</v>
      </c>
      <c r="C21" s="488"/>
      <c r="D21" s="205" t="s">
        <v>126</v>
      </c>
      <c r="E21" s="205" t="s">
        <v>127</v>
      </c>
      <c r="F21" s="205" t="s">
        <v>128</v>
      </c>
    </row>
    <row r="22" spans="1:6">
      <c r="A22" s="181" t="s">
        <v>288</v>
      </c>
      <c r="B22" s="489" t="s">
        <v>292</v>
      </c>
      <c r="C22" s="490"/>
      <c r="D22" s="403">
        <v>7344</v>
      </c>
      <c r="E22" s="431">
        <f>16.58/1000</f>
        <v>1.6579999999999998E-2</v>
      </c>
      <c r="F22" s="182">
        <f>+D22*E22</f>
        <v>121.76351999999999</v>
      </c>
    </row>
    <row r="23" spans="1:6">
      <c r="A23" s="181" t="s">
        <v>289</v>
      </c>
      <c r="B23" s="489" t="s">
        <v>293</v>
      </c>
      <c r="C23" s="490"/>
      <c r="D23" s="403">
        <v>7272</v>
      </c>
      <c r="E23" s="431">
        <f>13.5/1000</f>
        <v>1.35E-2</v>
      </c>
      <c r="F23" s="182">
        <f>+D23*E23</f>
        <v>98.171999999999997</v>
      </c>
    </row>
    <row r="24" spans="1:6">
      <c r="A24" s="181" t="s">
        <v>298</v>
      </c>
      <c r="B24" s="489" t="s">
        <v>294</v>
      </c>
      <c r="C24" s="490"/>
      <c r="D24" s="403">
        <v>679</v>
      </c>
      <c r="E24" s="431">
        <v>0.06</v>
      </c>
      <c r="F24" s="182">
        <f t="shared" ref="F24:F34" si="0">+D24*E24</f>
        <v>40.74</v>
      </c>
    </row>
    <row r="25" spans="1:6" ht="14.4" customHeight="1">
      <c r="A25" s="181" t="s">
        <v>299</v>
      </c>
      <c r="B25" s="489" t="s">
        <v>295</v>
      </c>
      <c r="C25" s="490"/>
      <c r="D25" s="403">
        <v>1139</v>
      </c>
      <c r="E25" s="431">
        <v>4.4999999999999998E-2</v>
      </c>
      <c r="F25" s="182">
        <f t="shared" si="0"/>
        <v>51.254999999999995</v>
      </c>
    </row>
    <row r="26" spans="1:6">
      <c r="A26" s="181" t="s">
        <v>300</v>
      </c>
      <c r="B26" s="489" t="s">
        <v>296</v>
      </c>
      <c r="C26" s="490"/>
      <c r="D26" s="403">
        <v>679</v>
      </c>
      <c r="E26" s="431">
        <v>0.06</v>
      </c>
      <c r="F26" s="182">
        <f t="shared" si="0"/>
        <v>40.74</v>
      </c>
    </row>
    <row r="27" spans="1:6">
      <c r="A27" s="181" t="s">
        <v>301</v>
      </c>
      <c r="B27" s="489" t="s">
        <v>297</v>
      </c>
      <c r="C27" s="490"/>
      <c r="D27" s="403">
        <v>4775</v>
      </c>
      <c r="E27" s="431">
        <v>4.4999999999999998E-2</v>
      </c>
      <c r="F27" s="182">
        <f t="shared" si="0"/>
        <v>214.875</v>
      </c>
    </row>
    <row r="28" spans="1:6">
      <c r="A28" s="173"/>
      <c r="B28" s="409"/>
      <c r="C28" s="410"/>
      <c r="D28" s="403"/>
      <c r="E28" s="182"/>
      <c r="F28" s="182">
        <f t="shared" si="0"/>
        <v>0</v>
      </c>
    </row>
    <row r="29" spans="1:6">
      <c r="A29" s="173"/>
      <c r="B29" s="409"/>
      <c r="C29" s="410"/>
      <c r="D29" s="403"/>
      <c r="E29" s="182"/>
      <c r="F29" s="182">
        <f t="shared" si="0"/>
        <v>0</v>
      </c>
    </row>
    <row r="30" spans="1:6">
      <c r="A30" s="173"/>
      <c r="B30" s="409"/>
      <c r="C30" s="410"/>
      <c r="D30" s="403"/>
      <c r="E30" s="182"/>
      <c r="F30" s="182">
        <f t="shared" si="0"/>
        <v>0</v>
      </c>
    </row>
    <row r="31" spans="1:6">
      <c r="A31" s="173"/>
      <c r="B31" s="489"/>
      <c r="C31" s="490"/>
      <c r="D31" s="403"/>
      <c r="E31" s="182"/>
      <c r="F31" s="182">
        <f t="shared" si="0"/>
        <v>0</v>
      </c>
    </row>
    <row r="32" spans="1:6">
      <c r="A32" s="173"/>
      <c r="B32" s="489"/>
      <c r="C32" s="490"/>
      <c r="D32" s="403"/>
      <c r="E32" s="182"/>
      <c r="F32" s="182">
        <f t="shared" si="0"/>
        <v>0</v>
      </c>
    </row>
    <row r="33" spans="1:6">
      <c r="A33" s="173"/>
      <c r="B33" s="489"/>
      <c r="C33" s="490"/>
      <c r="D33" s="403"/>
      <c r="E33" s="182"/>
      <c r="F33" s="182">
        <f t="shared" si="0"/>
        <v>0</v>
      </c>
    </row>
    <row r="34" spans="1:6">
      <c r="A34" s="173"/>
      <c r="B34" s="503"/>
      <c r="C34" s="504"/>
      <c r="D34" s="173"/>
      <c r="E34" s="183"/>
      <c r="F34" s="182">
        <f t="shared" si="0"/>
        <v>0</v>
      </c>
    </row>
    <row r="35" spans="1:6">
      <c r="A35" s="173"/>
      <c r="B35" s="503"/>
      <c r="C35" s="504"/>
      <c r="D35" s="173"/>
      <c r="E35" s="183"/>
      <c r="F35" s="184" t="str">
        <f t="shared" ref="F35" si="1">IF(D35*E35=0,"",(D35*E35))</f>
        <v/>
      </c>
    </row>
    <row r="36" spans="1:6">
      <c r="A36" s="505"/>
      <c r="B36" s="506"/>
      <c r="C36" s="506"/>
      <c r="D36" s="506"/>
      <c r="E36" s="506"/>
      <c r="F36" s="507"/>
    </row>
    <row r="37" spans="1:6">
      <c r="A37" s="495" t="s">
        <v>129</v>
      </c>
      <c r="B37" s="495"/>
      <c r="C37" s="496"/>
      <c r="D37" s="497" t="s">
        <v>130</v>
      </c>
      <c r="E37" s="498"/>
      <c r="F37" s="185">
        <f>SUM(F22:F35)</f>
        <v>567.54552000000001</v>
      </c>
    </row>
    <row r="38" spans="1:6">
      <c r="A38" s="499" t="s">
        <v>290</v>
      </c>
      <c r="B38" s="499"/>
      <c r="C38" s="500"/>
      <c r="D38" s="186" t="s">
        <v>131</v>
      </c>
      <c r="E38" s="187"/>
      <c r="F38" s="188"/>
    </row>
    <row r="39" spans="1:6">
      <c r="A39" s="499"/>
      <c r="B39" s="499"/>
      <c r="C39" s="500"/>
      <c r="D39" s="186" t="s">
        <v>132</v>
      </c>
      <c r="E39" s="187"/>
      <c r="F39" s="188"/>
    </row>
    <row r="40" spans="1:6">
      <c r="A40" s="499"/>
      <c r="B40" s="499"/>
      <c r="C40" s="500"/>
      <c r="D40" s="501" t="s">
        <v>133</v>
      </c>
      <c r="E40" s="502"/>
      <c r="F40" s="188"/>
    </row>
    <row r="41" spans="1:6">
      <c r="A41" s="499"/>
      <c r="B41" s="499"/>
      <c r="C41" s="500"/>
      <c r="D41" s="501" t="s">
        <v>134</v>
      </c>
      <c r="E41" s="502"/>
      <c r="F41" s="188"/>
    </row>
    <row r="42" spans="1:6">
      <c r="A42" s="499"/>
      <c r="B42" s="499"/>
      <c r="C42" s="500"/>
      <c r="D42" s="497" t="s">
        <v>135</v>
      </c>
      <c r="E42" s="498"/>
      <c r="F42" s="185">
        <f>F37+F39+F40+F41-F38</f>
        <v>567.54552000000001</v>
      </c>
    </row>
    <row r="43" spans="1:6">
      <c r="A43" s="508"/>
      <c r="B43" s="508"/>
      <c r="C43" s="508"/>
      <c r="D43" s="508"/>
      <c r="E43" s="508"/>
      <c r="F43" s="508"/>
    </row>
    <row r="48" spans="1:6">
      <c r="A48" s="206" t="s">
        <v>136</v>
      </c>
      <c r="B48" s="189"/>
      <c r="D48" t="s">
        <v>141</v>
      </c>
      <c r="E48" s="189"/>
      <c r="F48" s="189"/>
    </row>
    <row r="49" spans="2:6">
      <c r="B49" s="161" t="s">
        <v>138</v>
      </c>
      <c r="E49" s="512" t="s">
        <v>291</v>
      </c>
      <c r="F49" s="512"/>
    </row>
    <row r="50" spans="2:6">
      <c r="B50" s="190" t="s">
        <v>139</v>
      </c>
      <c r="E50" s="510" t="s">
        <v>221</v>
      </c>
      <c r="F50" s="510"/>
    </row>
    <row r="53" spans="2:6">
      <c r="B53" s="207" t="s">
        <v>137</v>
      </c>
      <c r="C53" s="189"/>
      <c r="D53" s="189"/>
    </row>
    <row r="54" spans="2:6">
      <c r="C54" s="512" t="s">
        <v>109</v>
      </c>
      <c r="D54" s="512"/>
    </row>
    <row r="55" spans="2:6">
      <c r="C55" s="510" t="s">
        <v>140</v>
      </c>
      <c r="D55" s="510"/>
    </row>
  </sheetData>
  <mergeCells count="36">
    <mergeCell ref="D20:E20"/>
    <mergeCell ref="A1:B4"/>
    <mergeCell ref="C1:F2"/>
    <mergeCell ref="A8:B8"/>
    <mergeCell ref="D8:F8"/>
    <mergeCell ref="A10:B10"/>
    <mergeCell ref="D10:F10"/>
    <mergeCell ref="A12:B13"/>
    <mergeCell ref="D12:F13"/>
    <mergeCell ref="A15:B15"/>
    <mergeCell ref="D15:F15"/>
    <mergeCell ref="D17:F17"/>
    <mergeCell ref="A36:F36"/>
    <mergeCell ref="B21:C21"/>
    <mergeCell ref="B22:C22"/>
    <mergeCell ref="B23:C23"/>
    <mergeCell ref="B24:C24"/>
    <mergeCell ref="B25:C25"/>
    <mergeCell ref="B26:C26"/>
    <mergeCell ref="B31:C31"/>
    <mergeCell ref="B32:C32"/>
    <mergeCell ref="B33:C33"/>
    <mergeCell ref="B34:C34"/>
    <mergeCell ref="B35:C35"/>
    <mergeCell ref="B27:C27"/>
    <mergeCell ref="A37:C37"/>
    <mergeCell ref="D37:E37"/>
    <mergeCell ref="A38:C42"/>
    <mergeCell ref="D40:E40"/>
    <mergeCell ref="D41:E41"/>
    <mergeCell ref="D42:E42"/>
    <mergeCell ref="A43:F43"/>
    <mergeCell ref="E49:F49"/>
    <mergeCell ref="E50:F50"/>
    <mergeCell ref="C54:D54"/>
    <mergeCell ref="C55:D55"/>
  </mergeCells>
  <hyperlinks>
    <hyperlink ref="A17" r:id="rId1" xr:uid="{A70A6BA7-17EE-4984-84D9-1E090AA2E425}"/>
  </hyperlinks>
  <pageMargins left="1.02" right="0.25" top="0.75" bottom="0.75" header="0.3" footer="0.3"/>
  <pageSetup scale="77" orientation="portrait" horizontalDpi="0" verticalDpi="0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DA2EF-0046-44AB-8E03-35CC26DE92F8}">
  <dimension ref="A1:F51"/>
  <sheetViews>
    <sheetView topLeftCell="A22" zoomScaleNormal="100" workbookViewId="0">
      <selection activeCell="G26" sqref="G26"/>
    </sheetView>
  </sheetViews>
  <sheetFormatPr baseColWidth="10" defaultRowHeight="14.4"/>
  <cols>
    <col min="1" max="1" width="19.109375" customWidth="1"/>
    <col min="2" max="2" width="29" customWidth="1"/>
    <col min="3" max="3" width="13.5546875" customWidth="1"/>
    <col min="4" max="4" width="12.5546875" customWidth="1"/>
    <col min="5" max="5" width="15.6640625" customWidth="1"/>
    <col min="6" max="6" width="18.109375" customWidth="1"/>
  </cols>
  <sheetData>
    <row r="1" spans="1:6">
      <c r="A1" s="476"/>
      <c r="B1" s="477"/>
      <c r="C1" s="478" t="s">
        <v>111</v>
      </c>
      <c r="D1" s="478"/>
      <c r="E1" s="478"/>
      <c r="F1" s="478"/>
    </row>
    <row r="2" spans="1:6">
      <c r="A2" s="477"/>
      <c r="B2" s="477"/>
      <c r="C2" s="478"/>
      <c r="D2" s="478"/>
      <c r="E2" s="478"/>
      <c r="F2" s="478"/>
    </row>
    <row r="3" spans="1:6">
      <c r="A3" s="477"/>
      <c r="B3" s="477"/>
      <c r="C3" s="170"/>
      <c r="D3" s="171"/>
      <c r="E3" s="191" t="s">
        <v>112</v>
      </c>
      <c r="F3" s="191" t="s">
        <v>113</v>
      </c>
    </row>
    <row r="4" spans="1:6" ht="93" customHeight="1">
      <c r="A4" s="477"/>
      <c r="B4" s="477"/>
      <c r="C4" s="170"/>
      <c r="D4" s="172"/>
      <c r="E4" s="173"/>
      <c r="F4" s="174"/>
    </row>
    <row r="5" spans="1:6">
      <c r="A5" s="175"/>
      <c r="B5" s="172"/>
      <c r="C5" s="172"/>
      <c r="D5" s="172"/>
      <c r="E5" s="172"/>
      <c r="F5" s="172"/>
    </row>
    <row r="6" spans="1:6">
      <c r="A6" s="192" t="s">
        <v>114</v>
      </c>
      <c r="B6" s="193"/>
      <c r="C6" s="194"/>
      <c r="D6" s="193" t="s">
        <v>115</v>
      </c>
      <c r="E6" s="193"/>
      <c r="F6" s="193"/>
    </row>
    <row r="7" spans="1:6">
      <c r="A7" s="195" t="s">
        <v>116</v>
      </c>
      <c r="B7" s="195"/>
      <c r="C7" s="196"/>
      <c r="D7" s="196" t="s">
        <v>116</v>
      </c>
      <c r="E7" s="196"/>
      <c r="F7" s="196"/>
    </row>
    <row r="8" spans="1:6">
      <c r="A8" s="479"/>
      <c r="B8" s="479"/>
      <c r="C8" s="197"/>
      <c r="D8" s="480"/>
      <c r="E8" s="480"/>
      <c r="F8" s="480"/>
    </row>
    <row r="9" spans="1:6">
      <c r="A9" s="195" t="s">
        <v>117</v>
      </c>
      <c r="B9" s="195"/>
      <c r="C9" s="196"/>
      <c r="D9" s="196" t="s">
        <v>117</v>
      </c>
      <c r="E9" s="196"/>
      <c r="F9" s="196"/>
    </row>
    <row r="10" spans="1:6">
      <c r="A10" s="479"/>
      <c r="B10" s="479"/>
      <c r="C10" s="197"/>
      <c r="D10" s="480">
        <f>A10</f>
        <v>0</v>
      </c>
      <c r="E10" s="480"/>
      <c r="F10" s="480"/>
    </row>
    <row r="11" spans="1:6">
      <c r="A11" s="200" t="s">
        <v>118</v>
      </c>
      <c r="B11" s="200"/>
      <c r="C11" s="198"/>
      <c r="D11" s="198" t="s">
        <v>118</v>
      </c>
      <c r="E11" s="198"/>
      <c r="F11" s="198"/>
    </row>
    <row r="12" spans="1:6">
      <c r="A12" s="481"/>
      <c r="B12" s="481"/>
      <c r="C12" s="199"/>
      <c r="D12" s="482">
        <f>A12</f>
        <v>0</v>
      </c>
      <c r="E12" s="483"/>
      <c r="F12" s="483"/>
    </row>
    <row r="13" spans="1:6">
      <c r="A13" s="481"/>
      <c r="B13" s="481"/>
      <c r="C13" s="198"/>
      <c r="D13" s="483"/>
      <c r="E13" s="483"/>
      <c r="F13" s="483"/>
    </row>
    <row r="14" spans="1:6">
      <c r="A14" s="200" t="s">
        <v>119</v>
      </c>
      <c r="B14" s="200"/>
      <c r="C14" s="198"/>
      <c r="D14" s="198" t="s">
        <v>119</v>
      </c>
      <c r="E14" s="198"/>
      <c r="F14" s="198"/>
    </row>
    <row r="15" spans="1:6">
      <c r="A15" s="479"/>
      <c r="B15" s="479"/>
      <c r="C15" s="197"/>
      <c r="D15" s="484">
        <f>A15</f>
        <v>0</v>
      </c>
      <c r="E15" s="484"/>
      <c r="F15" s="484"/>
    </row>
    <row r="16" spans="1:6">
      <c r="A16" s="200" t="s">
        <v>120</v>
      </c>
      <c r="B16" s="200"/>
      <c r="C16" s="198"/>
      <c r="D16" s="198" t="s">
        <v>120</v>
      </c>
      <c r="E16" s="198"/>
      <c r="F16" s="198"/>
    </row>
    <row r="17" spans="1:6">
      <c r="A17" s="176"/>
      <c r="B17" s="175"/>
      <c r="C17" s="197"/>
      <c r="D17" s="485">
        <f>A17</f>
        <v>0</v>
      </c>
      <c r="E17" s="486"/>
      <c r="F17" s="486"/>
    </row>
    <row r="18" spans="1:6">
      <c r="A18" s="201"/>
      <c r="B18" s="199"/>
      <c r="C18" s="199"/>
      <c r="D18" s="199"/>
      <c r="E18" s="199"/>
      <c r="F18" s="199"/>
    </row>
    <row r="19" spans="1:6">
      <c r="A19" s="202" t="s">
        <v>121</v>
      </c>
      <c r="B19" s="203"/>
      <c r="C19" s="204"/>
      <c r="D19" s="202" t="s">
        <v>122</v>
      </c>
      <c r="E19" s="204"/>
      <c r="F19" s="204" t="s">
        <v>123</v>
      </c>
    </row>
    <row r="20" spans="1:6">
      <c r="A20" s="177"/>
      <c r="B20" s="178"/>
      <c r="C20" s="179"/>
      <c r="D20" s="474"/>
      <c r="E20" s="475"/>
      <c r="F20" s="180"/>
    </row>
    <row r="21" spans="1:6">
      <c r="A21" s="205" t="s">
        <v>124</v>
      </c>
      <c r="B21" s="487" t="s">
        <v>125</v>
      </c>
      <c r="C21" s="488"/>
      <c r="D21" s="205" t="s">
        <v>126</v>
      </c>
      <c r="E21" s="205" t="s">
        <v>127</v>
      </c>
      <c r="F21" s="205" t="s">
        <v>128</v>
      </c>
    </row>
    <row r="22" spans="1:6">
      <c r="A22" s="181"/>
      <c r="B22" s="489"/>
      <c r="C22" s="490"/>
      <c r="D22" s="403"/>
      <c r="E22" s="182"/>
      <c r="F22" s="182">
        <f>+D22*E22</f>
        <v>0</v>
      </c>
    </row>
    <row r="23" spans="1:6">
      <c r="A23" s="181"/>
      <c r="B23" s="489"/>
      <c r="C23" s="490"/>
      <c r="D23" s="403"/>
      <c r="E23" s="182"/>
      <c r="F23" s="182">
        <f>+D23*E23</f>
        <v>0</v>
      </c>
    </row>
    <row r="24" spans="1:6">
      <c r="A24" s="181"/>
      <c r="B24" s="489"/>
      <c r="C24" s="490"/>
      <c r="D24" s="403"/>
      <c r="E24" s="182"/>
      <c r="F24" s="182">
        <f t="shared" ref="F24:F25" si="0">+D24*E24</f>
        <v>0</v>
      </c>
    </row>
    <row r="25" spans="1:6">
      <c r="A25" s="181"/>
      <c r="B25" s="489"/>
      <c r="C25" s="490"/>
      <c r="D25" s="403"/>
      <c r="E25" s="182"/>
      <c r="F25" s="182">
        <f t="shared" si="0"/>
        <v>0</v>
      </c>
    </row>
    <row r="26" spans="1:6">
      <c r="A26" s="173"/>
      <c r="B26" s="489"/>
      <c r="C26" s="490"/>
      <c r="D26" s="403"/>
      <c r="E26" s="182"/>
      <c r="F26" s="182"/>
    </row>
    <row r="27" spans="1:6">
      <c r="A27" s="173"/>
      <c r="B27" s="489"/>
      <c r="C27" s="490"/>
      <c r="D27" s="403"/>
      <c r="E27" s="182"/>
      <c r="F27" s="182"/>
    </row>
    <row r="28" spans="1:6">
      <c r="A28" s="173"/>
      <c r="B28" s="489"/>
      <c r="C28" s="490"/>
      <c r="D28" s="403"/>
      <c r="E28" s="182"/>
      <c r="F28" s="182"/>
    </row>
    <row r="29" spans="1:6">
      <c r="A29" s="173"/>
      <c r="B29" s="489"/>
      <c r="C29" s="490"/>
      <c r="D29" s="403"/>
      <c r="E29" s="182"/>
      <c r="F29" s="182"/>
    </row>
    <row r="30" spans="1:6">
      <c r="A30" s="173"/>
      <c r="B30" s="503"/>
      <c r="C30" s="504"/>
      <c r="D30" s="173"/>
      <c r="E30" s="183"/>
      <c r="F30" s="184" t="str">
        <f t="shared" ref="F30:F31" si="1">IF(D30*E30=0,"",(D30*E30))</f>
        <v/>
      </c>
    </row>
    <row r="31" spans="1:6">
      <c r="A31" s="173"/>
      <c r="B31" s="503"/>
      <c r="C31" s="504"/>
      <c r="D31" s="173"/>
      <c r="E31" s="183"/>
      <c r="F31" s="184" t="str">
        <f t="shared" si="1"/>
        <v/>
      </c>
    </row>
    <row r="32" spans="1:6">
      <c r="A32" s="505"/>
      <c r="B32" s="506"/>
      <c r="C32" s="506"/>
      <c r="D32" s="506"/>
      <c r="E32" s="506"/>
      <c r="F32" s="507"/>
    </row>
    <row r="33" spans="1:6">
      <c r="A33" s="495" t="s">
        <v>129</v>
      </c>
      <c r="B33" s="495"/>
      <c r="C33" s="496"/>
      <c r="D33" s="497" t="s">
        <v>130</v>
      </c>
      <c r="E33" s="498"/>
      <c r="F33" s="185">
        <f>SUM(F22:F31)</f>
        <v>0</v>
      </c>
    </row>
    <row r="34" spans="1:6">
      <c r="A34" s="499"/>
      <c r="B34" s="499"/>
      <c r="C34" s="500"/>
      <c r="D34" s="186" t="s">
        <v>131</v>
      </c>
      <c r="E34" s="187"/>
      <c r="F34" s="188"/>
    </row>
    <row r="35" spans="1:6">
      <c r="A35" s="499"/>
      <c r="B35" s="499"/>
      <c r="C35" s="500"/>
      <c r="D35" s="186" t="s">
        <v>132</v>
      </c>
      <c r="E35" s="187"/>
      <c r="F35" s="188"/>
    </row>
    <row r="36" spans="1:6">
      <c r="A36" s="499"/>
      <c r="B36" s="499"/>
      <c r="C36" s="500"/>
      <c r="D36" s="501" t="s">
        <v>133</v>
      </c>
      <c r="E36" s="502"/>
      <c r="F36" s="188"/>
    </row>
    <row r="37" spans="1:6">
      <c r="A37" s="499"/>
      <c r="B37" s="499"/>
      <c r="C37" s="500"/>
      <c r="D37" s="501" t="s">
        <v>134</v>
      </c>
      <c r="E37" s="502"/>
      <c r="F37" s="188"/>
    </row>
    <row r="38" spans="1:6">
      <c r="A38" s="499"/>
      <c r="B38" s="499"/>
      <c r="C38" s="500"/>
      <c r="D38" s="497" t="s">
        <v>135</v>
      </c>
      <c r="E38" s="498"/>
      <c r="F38" s="185">
        <f>F33+F35+F36+F37-F34</f>
        <v>0</v>
      </c>
    </row>
    <row r="39" spans="1:6">
      <c r="A39" s="508"/>
      <c r="B39" s="508"/>
      <c r="C39" s="508"/>
      <c r="D39" s="508"/>
      <c r="E39" s="508"/>
      <c r="F39" s="508"/>
    </row>
    <row r="44" spans="1:6">
      <c r="A44" s="206" t="s">
        <v>136</v>
      </c>
      <c r="B44" s="189"/>
      <c r="D44" t="s">
        <v>141</v>
      </c>
      <c r="E44" s="189"/>
      <c r="F44" s="189"/>
    </row>
    <row r="45" spans="1:6">
      <c r="B45" s="161" t="s">
        <v>138</v>
      </c>
      <c r="E45" s="512" t="s">
        <v>142</v>
      </c>
      <c r="F45" s="512"/>
    </row>
    <row r="46" spans="1:6">
      <c r="B46" s="190" t="s">
        <v>139</v>
      </c>
      <c r="E46" s="510" t="s">
        <v>143</v>
      </c>
      <c r="F46" s="510"/>
    </row>
    <row r="49" spans="2:4">
      <c r="B49" s="207" t="s">
        <v>137</v>
      </c>
      <c r="C49" s="189"/>
      <c r="D49" s="189"/>
    </row>
    <row r="50" spans="2:4">
      <c r="C50" s="512" t="s">
        <v>109</v>
      </c>
      <c r="D50" s="512"/>
    </row>
    <row r="51" spans="2:4">
      <c r="C51" s="510" t="s">
        <v>140</v>
      </c>
      <c r="D51" s="510"/>
    </row>
  </sheetData>
  <mergeCells count="35">
    <mergeCell ref="D20:E20"/>
    <mergeCell ref="A1:B4"/>
    <mergeCell ref="C1:F2"/>
    <mergeCell ref="A8:B8"/>
    <mergeCell ref="D8:F8"/>
    <mergeCell ref="A10:B10"/>
    <mergeCell ref="D10:F10"/>
    <mergeCell ref="A12:B13"/>
    <mergeCell ref="D12:F13"/>
    <mergeCell ref="A15:B15"/>
    <mergeCell ref="D15:F15"/>
    <mergeCell ref="D17:F17"/>
    <mergeCell ref="A32:F32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A33:C33"/>
    <mergeCell ref="D33:E33"/>
    <mergeCell ref="A34:C38"/>
    <mergeCell ref="D36:E36"/>
    <mergeCell ref="D37:E37"/>
    <mergeCell ref="D38:E38"/>
    <mergeCell ref="A39:F39"/>
    <mergeCell ref="E45:F45"/>
    <mergeCell ref="E46:F46"/>
    <mergeCell ref="C50:D50"/>
    <mergeCell ref="C51:D51"/>
  </mergeCells>
  <pageMargins left="1.02" right="0.25" top="0.75" bottom="0.75" header="0.3" footer="0.3"/>
  <pageSetup scale="80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49DD0-81A5-4931-822C-8CF9660DA888}">
  <dimension ref="A1:F51"/>
  <sheetViews>
    <sheetView topLeftCell="A19" zoomScaleNormal="100" workbookViewId="0">
      <selection activeCell="H27" sqref="H27"/>
    </sheetView>
  </sheetViews>
  <sheetFormatPr baseColWidth="10" defaultRowHeight="14.4"/>
  <cols>
    <col min="1" max="1" width="19.109375" customWidth="1"/>
    <col min="2" max="2" width="29" customWidth="1"/>
    <col min="3" max="3" width="13.5546875" customWidth="1"/>
    <col min="4" max="4" width="12.5546875" customWidth="1"/>
    <col min="5" max="5" width="15.6640625" customWidth="1"/>
    <col min="6" max="6" width="18.109375" customWidth="1"/>
  </cols>
  <sheetData>
    <row r="1" spans="1:6">
      <c r="A1" s="476"/>
      <c r="B1" s="477"/>
      <c r="C1" s="478" t="s">
        <v>111</v>
      </c>
      <c r="D1" s="478"/>
      <c r="E1" s="478"/>
      <c r="F1" s="478"/>
    </row>
    <row r="2" spans="1:6">
      <c r="A2" s="477"/>
      <c r="B2" s="477"/>
      <c r="C2" s="478"/>
      <c r="D2" s="478"/>
      <c r="E2" s="478"/>
      <c r="F2" s="478"/>
    </row>
    <row r="3" spans="1:6">
      <c r="A3" s="477"/>
      <c r="B3" s="477"/>
      <c r="C3" s="170"/>
      <c r="D3" s="171"/>
      <c r="E3" s="191" t="s">
        <v>112</v>
      </c>
      <c r="F3" s="191" t="s">
        <v>113</v>
      </c>
    </row>
    <row r="4" spans="1:6" ht="93" customHeight="1">
      <c r="A4" s="477"/>
      <c r="B4" s="477"/>
      <c r="C4" s="170"/>
      <c r="D4" s="172"/>
      <c r="E4" s="173"/>
      <c r="F4" s="174"/>
    </row>
    <row r="5" spans="1:6">
      <c r="A5" s="175"/>
      <c r="B5" s="172"/>
      <c r="C5" s="172"/>
      <c r="D5" s="172"/>
      <c r="E5" s="172"/>
      <c r="F5" s="172"/>
    </row>
    <row r="6" spans="1:6">
      <c r="A6" s="192" t="s">
        <v>114</v>
      </c>
      <c r="B6" s="193"/>
      <c r="C6" s="194"/>
      <c r="D6" s="193" t="s">
        <v>115</v>
      </c>
      <c r="E6" s="193"/>
      <c r="F6" s="193"/>
    </row>
    <row r="7" spans="1:6">
      <c r="A7" s="195" t="s">
        <v>116</v>
      </c>
      <c r="B7" s="195"/>
      <c r="C7" s="196"/>
      <c r="D7" s="196" t="s">
        <v>116</v>
      </c>
      <c r="E7" s="196"/>
      <c r="F7" s="196"/>
    </row>
    <row r="8" spans="1:6">
      <c r="A8" s="479"/>
      <c r="B8" s="479"/>
      <c r="C8" s="197"/>
      <c r="D8" s="480"/>
      <c r="E8" s="480"/>
      <c r="F8" s="480"/>
    </row>
    <row r="9" spans="1:6">
      <c r="A9" s="195" t="s">
        <v>117</v>
      </c>
      <c r="B9" s="195"/>
      <c r="C9" s="196"/>
      <c r="D9" s="196" t="s">
        <v>117</v>
      </c>
      <c r="E9" s="196"/>
      <c r="F9" s="196"/>
    </row>
    <row r="10" spans="1:6">
      <c r="A10" s="479"/>
      <c r="B10" s="479"/>
      <c r="C10" s="197"/>
      <c r="D10" s="480">
        <f>A10</f>
        <v>0</v>
      </c>
      <c r="E10" s="480"/>
      <c r="F10" s="480"/>
    </row>
    <row r="11" spans="1:6">
      <c r="A11" s="200" t="s">
        <v>118</v>
      </c>
      <c r="B11" s="200"/>
      <c r="C11" s="198"/>
      <c r="D11" s="198" t="s">
        <v>118</v>
      </c>
      <c r="E11" s="198"/>
      <c r="F11" s="198"/>
    </row>
    <row r="12" spans="1:6">
      <c r="A12" s="481"/>
      <c r="B12" s="481"/>
      <c r="C12" s="199"/>
      <c r="D12" s="482">
        <f>A12</f>
        <v>0</v>
      </c>
      <c r="E12" s="483"/>
      <c r="F12" s="483"/>
    </row>
    <row r="13" spans="1:6">
      <c r="A13" s="481"/>
      <c r="B13" s="481"/>
      <c r="C13" s="198"/>
      <c r="D13" s="483"/>
      <c r="E13" s="483"/>
      <c r="F13" s="483"/>
    </row>
    <row r="14" spans="1:6">
      <c r="A14" s="200" t="s">
        <v>119</v>
      </c>
      <c r="B14" s="200"/>
      <c r="C14" s="198"/>
      <c r="D14" s="198" t="s">
        <v>119</v>
      </c>
      <c r="E14" s="198"/>
      <c r="F14" s="198"/>
    </row>
    <row r="15" spans="1:6">
      <c r="A15" s="479"/>
      <c r="B15" s="479"/>
      <c r="C15" s="197"/>
      <c r="D15" s="484">
        <f>A15</f>
        <v>0</v>
      </c>
      <c r="E15" s="484"/>
      <c r="F15" s="484"/>
    </row>
    <row r="16" spans="1:6">
      <c r="A16" s="200" t="s">
        <v>120</v>
      </c>
      <c r="B16" s="200"/>
      <c r="C16" s="198"/>
      <c r="D16" s="198" t="s">
        <v>120</v>
      </c>
      <c r="E16" s="198"/>
      <c r="F16" s="198"/>
    </row>
    <row r="17" spans="1:6">
      <c r="A17" s="176"/>
      <c r="B17" s="175"/>
      <c r="C17" s="197"/>
      <c r="D17" s="485">
        <f>A17</f>
        <v>0</v>
      </c>
      <c r="E17" s="486"/>
      <c r="F17" s="486"/>
    </row>
    <row r="18" spans="1:6">
      <c r="A18" s="201"/>
      <c r="B18" s="199"/>
      <c r="C18" s="199"/>
      <c r="D18" s="199"/>
      <c r="E18" s="199"/>
      <c r="F18" s="199"/>
    </row>
    <row r="19" spans="1:6">
      <c r="A19" s="202" t="s">
        <v>121</v>
      </c>
      <c r="B19" s="203"/>
      <c r="C19" s="204"/>
      <c r="D19" s="202" t="s">
        <v>122</v>
      </c>
      <c r="E19" s="204"/>
      <c r="F19" s="204" t="s">
        <v>123</v>
      </c>
    </row>
    <row r="20" spans="1:6">
      <c r="A20" s="177"/>
      <c r="B20" s="178"/>
      <c r="C20" s="179"/>
      <c r="D20" s="474"/>
      <c r="E20" s="475"/>
      <c r="F20" s="180"/>
    </row>
    <row r="21" spans="1:6">
      <c r="A21" s="205" t="s">
        <v>124</v>
      </c>
      <c r="B21" s="487" t="s">
        <v>125</v>
      </c>
      <c r="C21" s="488"/>
      <c r="D21" s="205" t="s">
        <v>126</v>
      </c>
      <c r="E21" s="205" t="s">
        <v>127</v>
      </c>
      <c r="F21" s="205" t="s">
        <v>128</v>
      </c>
    </row>
    <row r="22" spans="1:6">
      <c r="A22" s="181"/>
      <c r="B22" s="489"/>
      <c r="C22" s="490"/>
      <c r="D22" s="403"/>
      <c r="E22" s="182"/>
      <c r="F22" s="182">
        <f>+D22*E22</f>
        <v>0</v>
      </c>
    </row>
    <row r="23" spans="1:6">
      <c r="A23" s="181"/>
      <c r="B23" s="489"/>
      <c r="C23" s="490"/>
      <c r="D23" s="403"/>
      <c r="E23" s="182"/>
      <c r="F23" s="182">
        <f>+D23*E23</f>
        <v>0</v>
      </c>
    </row>
    <row r="24" spans="1:6">
      <c r="A24" s="181"/>
      <c r="B24" s="489"/>
      <c r="C24" s="490"/>
      <c r="D24" s="403"/>
      <c r="E24" s="182"/>
      <c r="F24" s="182">
        <f t="shared" ref="F24:F25" si="0">+D24*E24</f>
        <v>0</v>
      </c>
    </row>
    <row r="25" spans="1:6">
      <c r="A25" s="181"/>
      <c r="B25" s="489"/>
      <c r="C25" s="490"/>
      <c r="D25" s="403"/>
      <c r="E25" s="182"/>
      <c r="F25" s="182">
        <f t="shared" si="0"/>
        <v>0</v>
      </c>
    </row>
    <row r="26" spans="1:6">
      <c r="A26" s="173"/>
      <c r="B26" s="489"/>
      <c r="C26" s="490"/>
      <c r="D26" s="403"/>
      <c r="E26" s="182"/>
      <c r="F26" s="182"/>
    </row>
    <row r="27" spans="1:6">
      <c r="A27" s="173"/>
      <c r="B27" s="489"/>
      <c r="C27" s="490"/>
      <c r="D27" s="403"/>
      <c r="E27" s="182"/>
      <c r="F27" s="182"/>
    </row>
    <row r="28" spans="1:6">
      <c r="A28" s="173"/>
      <c r="B28" s="489"/>
      <c r="C28" s="490"/>
      <c r="D28" s="403"/>
      <c r="E28" s="182"/>
      <c r="F28" s="182"/>
    </row>
    <row r="29" spans="1:6">
      <c r="A29" s="173"/>
      <c r="B29" s="489"/>
      <c r="C29" s="490"/>
      <c r="D29" s="403"/>
      <c r="E29" s="182"/>
      <c r="F29" s="182"/>
    </row>
    <row r="30" spans="1:6">
      <c r="A30" s="173"/>
      <c r="B30" s="503"/>
      <c r="C30" s="504"/>
      <c r="D30" s="173"/>
      <c r="E30" s="183"/>
      <c r="F30" s="184" t="str">
        <f t="shared" ref="F30:F31" si="1">IF(D30*E30=0,"",(D30*E30))</f>
        <v/>
      </c>
    </row>
    <row r="31" spans="1:6">
      <c r="A31" s="173"/>
      <c r="B31" s="503"/>
      <c r="C31" s="504"/>
      <c r="D31" s="173"/>
      <c r="E31" s="183"/>
      <c r="F31" s="184" t="str">
        <f t="shared" si="1"/>
        <v/>
      </c>
    </row>
    <row r="32" spans="1:6">
      <c r="A32" s="505"/>
      <c r="B32" s="506"/>
      <c r="C32" s="506"/>
      <c r="D32" s="506"/>
      <c r="E32" s="506"/>
      <c r="F32" s="507"/>
    </row>
    <row r="33" spans="1:6">
      <c r="A33" s="495" t="s">
        <v>129</v>
      </c>
      <c r="B33" s="495"/>
      <c r="C33" s="496"/>
      <c r="D33" s="497" t="s">
        <v>130</v>
      </c>
      <c r="E33" s="498"/>
      <c r="F33" s="185">
        <f>SUM(F22:F31)</f>
        <v>0</v>
      </c>
    </row>
    <row r="34" spans="1:6">
      <c r="A34" s="499"/>
      <c r="B34" s="499"/>
      <c r="C34" s="500"/>
      <c r="D34" s="186" t="s">
        <v>131</v>
      </c>
      <c r="E34" s="187"/>
      <c r="F34" s="188"/>
    </row>
    <row r="35" spans="1:6">
      <c r="A35" s="499"/>
      <c r="B35" s="499"/>
      <c r="C35" s="500"/>
      <c r="D35" s="186" t="s">
        <v>132</v>
      </c>
      <c r="E35" s="187"/>
      <c r="F35" s="188"/>
    </row>
    <row r="36" spans="1:6">
      <c r="A36" s="499"/>
      <c r="B36" s="499"/>
      <c r="C36" s="500"/>
      <c r="D36" s="501" t="s">
        <v>133</v>
      </c>
      <c r="E36" s="502"/>
      <c r="F36" s="188"/>
    </row>
    <row r="37" spans="1:6">
      <c r="A37" s="499"/>
      <c r="B37" s="499"/>
      <c r="C37" s="500"/>
      <c r="D37" s="501" t="s">
        <v>134</v>
      </c>
      <c r="E37" s="502"/>
      <c r="F37" s="188"/>
    </row>
    <row r="38" spans="1:6">
      <c r="A38" s="499"/>
      <c r="B38" s="499"/>
      <c r="C38" s="500"/>
      <c r="D38" s="497" t="s">
        <v>135</v>
      </c>
      <c r="E38" s="498"/>
      <c r="F38" s="185">
        <f>F33+F35+F36+F37-F34</f>
        <v>0</v>
      </c>
    </row>
    <row r="39" spans="1:6">
      <c r="A39" s="508"/>
      <c r="B39" s="508"/>
      <c r="C39" s="508"/>
      <c r="D39" s="508"/>
      <c r="E39" s="508"/>
      <c r="F39" s="508"/>
    </row>
    <row r="44" spans="1:6">
      <c r="A44" s="206" t="s">
        <v>136</v>
      </c>
      <c r="B44" s="189"/>
      <c r="D44" t="s">
        <v>141</v>
      </c>
      <c r="E44" s="189"/>
      <c r="F44" s="189"/>
    </row>
    <row r="45" spans="1:6">
      <c r="B45" s="161" t="s">
        <v>138</v>
      </c>
      <c r="E45" s="512" t="s">
        <v>142</v>
      </c>
      <c r="F45" s="512"/>
    </row>
    <row r="46" spans="1:6">
      <c r="B46" s="190" t="s">
        <v>139</v>
      </c>
      <c r="E46" s="510" t="s">
        <v>143</v>
      </c>
      <c r="F46" s="510"/>
    </row>
    <row r="49" spans="2:4">
      <c r="B49" s="207" t="s">
        <v>137</v>
      </c>
      <c r="C49" s="189"/>
      <c r="D49" s="189"/>
    </row>
    <row r="50" spans="2:4">
      <c r="C50" s="512" t="s">
        <v>109</v>
      </c>
      <c r="D50" s="512"/>
    </row>
    <row r="51" spans="2:4">
      <c r="C51" s="510" t="s">
        <v>140</v>
      </c>
      <c r="D51" s="510"/>
    </row>
  </sheetData>
  <mergeCells count="35">
    <mergeCell ref="D20:E20"/>
    <mergeCell ref="A1:B4"/>
    <mergeCell ref="C1:F2"/>
    <mergeCell ref="A8:B8"/>
    <mergeCell ref="D8:F8"/>
    <mergeCell ref="A10:B10"/>
    <mergeCell ref="D10:F10"/>
    <mergeCell ref="A12:B13"/>
    <mergeCell ref="D12:F13"/>
    <mergeCell ref="A15:B15"/>
    <mergeCell ref="D15:F15"/>
    <mergeCell ref="D17:F17"/>
    <mergeCell ref="A32:F32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A33:C33"/>
    <mergeCell ref="D33:E33"/>
    <mergeCell ref="A34:C38"/>
    <mergeCell ref="D36:E36"/>
    <mergeCell ref="D37:E37"/>
    <mergeCell ref="D38:E38"/>
    <mergeCell ref="A39:F39"/>
    <mergeCell ref="E45:F45"/>
    <mergeCell ref="E46:F46"/>
    <mergeCell ref="C50:D50"/>
    <mergeCell ref="C51:D51"/>
  </mergeCells>
  <pageMargins left="1.02" right="0.25" top="0.75" bottom="0.75" header="0.3" footer="0.3"/>
  <pageSetup scale="80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AAC29-0BD5-4CB8-8176-4A8E5D045AD9}">
  <dimension ref="A1:F51"/>
  <sheetViews>
    <sheetView zoomScaleNormal="100" workbookViewId="0">
      <selection activeCell="H14" sqref="H14"/>
    </sheetView>
  </sheetViews>
  <sheetFormatPr baseColWidth="10" defaultRowHeight="14.4"/>
  <cols>
    <col min="1" max="1" width="19.109375" customWidth="1"/>
    <col min="2" max="2" width="29" customWidth="1"/>
    <col min="3" max="3" width="13.5546875" customWidth="1"/>
    <col min="4" max="4" width="12.5546875" customWidth="1"/>
    <col min="5" max="5" width="15.6640625" customWidth="1"/>
    <col min="6" max="6" width="18.109375" customWidth="1"/>
  </cols>
  <sheetData>
    <row r="1" spans="1:6">
      <c r="A1" s="476"/>
      <c r="B1" s="477"/>
      <c r="C1" s="478" t="s">
        <v>111</v>
      </c>
      <c r="D1" s="478"/>
      <c r="E1" s="478"/>
      <c r="F1" s="478"/>
    </row>
    <row r="2" spans="1:6">
      <c r="A2" s="477"/>
      <c r="B2" s="477"/>
      <c r="C2" s="478"/>
      <c r="D2" s="478"/>
      <c r="E2" s="478"/>
      <c r="F2" s="478"/>
    </row>
    <row r="3" spans="1:6">
      <c r="A3" s="477"/>
      <c r="B3" s="477"/>
      <c r="C3" s="170"/>
      <c r="D3" s="171"/>
      <c r="E3" s="191" t="s">
        <v>112</v>
      </c>
      <c r="F3" s="191" t="s">
        <v>113</v>
      </c>
    </row>
    <row r="4" spans="1:6" ht="93" customHeight="1">
      <c r="A4" s="477"/>
      <c r="B4" s="477"/>
      <c r="C4" s="170"/>
      <c r="D4" s="172"/>
      <c r="E4" s="173"/>
      <c r="F4" s="174"/>
    </row>
    <row r="5" spans="1:6">
      <c r="A5" s="175"/>
      <c r="B5" s="172"/>
      <c r="C5" s="172"/>
      <c r="D5" s="172"/>
      <c r="E5" s="172"/>
      <c r="F5" s="172"/>
    </row>
    <row r="6" spans="1:6">
      <c r="A6" s="192" t="s">
        <v>114</v>
      </c>
      <c r="B6" s="193"/>
      <c r="C6" s="194"/>
      <c r="D6" s="193" t="s">
        <v>115</v>
      </c>
      <c r="E6" s="193"/>
      <c r="F6" s="193"/>
    </row>
    <row r="7" spans="1:6">
      <c r="A7" s="195" t="s">
        <v>116</v>
      </c>
      <c r="B7" s="195"/>
      <c r="C7" s="196"/>
      <c r="D7" s="196" t="s">
        <v>116</v>
      </c>
      <c r="E7" s="196"/>
      <c r="F7" s="196"/>
    </row>
    <row r="8" spans="1:6">
      <c r="A8" s="479"/>
      <c r="B8" s="479"/>
      <c r="C8" s="197"/>
      <c r="D8" s="480"/>
      <c r="E8" s="480"/>
      <c r="F8" s="480"/>
    </row>
    <row r="9" spans="1:6">
      <c r="A9" s="195" t="s">
        <v>117</v>
      </c>
      <c r="B9" s="195"/>
      <c r="C9" s="196"/>
      <c r="D9" s="196" t="s">
        <v>117</v>
      </c>
      <c r="E9" s="196"/>
      <c r="F9" s="196"/>
    </row>
    <row r="10" spans="1:6">
      <c r="A10" s="479"/>
      <c r="B10" s="479"/>
      <c r="C10" s="197"/>
      <c r="D10" s="480">
        <f>A10</f>
        <v>0</v>
      </c>
      <c r="E10" s="480"/>
      <c r="F10" s="480"/>
    </row>
    <row r="11" spans="1:6">
      <c r="A11" s="200" t="s">
        <v>118</v>
      </c>
      <c r="B11" s="200"/>
      <c r="C11" s="198"/>
      <c r="D11" s="198" t="s">
        <v>118</v>
      </c>
      <c r="E11" s="198"/>
      <c r="F11" s="198"/>
    </row>
    <row r="12" spans="1:6">
      <c r="A12" s="481"/>
      <c r="B12" s="481"/>
      <c r="C12" s="199"/>
      <c r="D12" s="482">
        <f>A12</f>
        <v>0</v>
      </c>
      <c r="E12" s="483"/>
      <c r="F12" s="483"/>
    </row>
    <row r="13" spans="1:6">
      <c r="A13" s="481"/>
      <c r="B13" s="481"/>
      <c r="C13" s="198"/>
      <c r="D13" s="483"/>
      <c r="E13" s="483"/>
      <c r="F13" s="483"/>
    </row>
    <row r="14" spans="1:6">
      <c r="A14" s="200" t="s">
        <v>119</v>
      </c>
      <c r="B14" s="200"/>
      <c r="C14" s="198"/>
      <c r="D14" s="198" t="s">
        <v>119</v>
      </c>
      <c r="E14" s="198"/>
      <c r="F14" s="198"/>
    </row>
    <row r="15" spans="1:6">
      <c r="A15" s="479"/>
      <c r="B15" s="479"/>
      <c r="C15" s="197"/>
      <c r="D15" s="484">
        <f>A15</f>
        <v>0</v>
      </c>
      <c r="E15" s="484"/>
      <c r="F15" s="484"/>
    </row>
    <row r="16" spans="1:6">
      <c r="A16" s="200" t="s">
        <v>120</v>
      </c>
      <c r="B16" s="200"/>
      <c r="C16" s="198"/>
      <c r="D16" s="198" t="s">
        <v>120</v>
      </c>
      <c r="E16" s="198"/>
      <c r="F16" s="198"/>
    </row>
    <row r="17" spans="1:6">
      <c r="A17" s="176"/>
      <c r="B17" s="175"/>
      <c r="C17" s="197"/>
      <c r="D17" s="485">
        <f>A17</f>
        <v>0</v>
      </c>
      <c r="E17" s="486"/>
      <c r="F17" s="486"/>
    </row>
    <row r="18" spans="1:6">
      <c r="A18" s="201"/>
      <c r="B18" s="199"/>
      <c r="C18" s="199"/>
      <c r="D18" s="199"/>
      <c r="E18" s="199"/>
      <c r="F18" s="199"/>
    </row>
    <row r="19" spans="1:6">
      <c r="A19" s="202" t="s">
        <v>121</v>
      </c>
      <c r="B19" s="203"/>
      <c r="C19" s="204"/>
      <c r="D19" s="202" t="s">
        <v>122</v>
      </c>
      <c r="E19" s="204"/>
      <c r="F19" s="204" t="s">
        <v>123</v>
      </c>
    </row>
    <row r="20" spans="1:6">
      <c r="A20" s="177"/>
      <c r="B20" s="178"/>
      <c r="C20" s="179"/>
      <c r="D20" s="474"/>
      <c r="E20" s="475"/>
      <c r="F20" s="180"/>
    </row>
    <row r="21" spans="1:6">
      <c r="A21" s="205" t="s">
        <v>124</v>
      </c>
      <c r="B21" s="487" t="s">
        <v>125</v>
      </c>
      <c r="C21" s="488"/>
      <c r="D21" s="205" t="s">
        <v>126</v>
      </c>
      <c r="E21" s="205" t="s">
        <v>127</v>
      </c>
      <c r="F21" s="205" t="s">
        <v>128</v>
      </c>
    </row>
    <row r="22" spans="1:6">
      <c r="A22" s="181"/>
      <c r="B22" s="489"/>
      <c r="C22" s="490"/>
      <c r="D22" s="403"/>
      <c r="E22" s="182"/>
      <c r="F22" s="182">
        <f>+D22*E22</f>
        <v>0</v>
      </c>
    </row>
    <row r="23" spans="1:6">
      <c r="A23" s="181"/>
      <c r="B23" s="489"/>
      <c r="C23" s="490"/>
      <c r="D23" s="403"/>
      <c r="E23" s="182"/>
      <c r="F23" s="182">
        <f>+D23*E23</f>
        <v>0</v>
      </c>
    </row>
    <row r="24" spans="1:6">
      <c r="A24" s="181"/>
      <c r="B24" s="489"/>
      <c r="C24" s="490"/>
      <c r="D24" s="403"/>
      <c r="E24" s="182"/>
      <c r="F24" s="182">
        <f t="shared" ref="F24:F25" si="0">+D24*E24</f>
        <v>0</v>
      </c>
    </row>
    <row r="25" spans="1:6">
      <c r="A25" s="181"/>
      <c r="B25" s="489"/>
      <c r="C25" s="490"/>
      <c r="D25" s="403"/>
      <c r="E25" s="182"/>
      <c r="F25" s="182">
        <f t="shared" si="0"/>
        <v>0</v>
      </c>
    </row>
    <row r="26" spans="1:6">
      <c r="A26" s="173"/>
      <c r="B26" s="489"/>
      <c r="C26" s="490"/>
      <c r="D26" s="403"/>
      <c r="E26" s="182"/>
      <c r="F26" s="182"/>
    </row>
    <row r="27" spans="1:6">
      <c r="A27" s="173"/>
      <c r="B27" s="489"/>
      <c r="C27" s="490"/>
      <c r="D27" s="403"/>
      <c r="E27" s="182"/>
      <c r="F27" s="182"/>
    </row>
    <row r="28" spans="1:6">
      <c r="A28" s="173"/>
      <c r="B28" s="489"/>
      <c r="C28" s="490"/>
      <c r="D28" s="403"/>
      <c r="E28" s="182"/>
      <c r="F28" s="182"/>
    </row>
    <row r="29" spans="1:6">
      <c r="A29" s="173"/>
      <c r="B29" s="489"/>
      <c r="C29" s="490"/>
      <c r="D29" s="403"/>
      <c r="E29" s="182"/>
      <c r="F29" s="182"/>
    </row>
    <row r="30" spans="1:6">
      <c r="A30" s="173"/>
      <c r="B30" s="503"/>
      <c r="C30" s="504"/>
      <c r="D30" s="173"/>
      <c r="E30" s="183"/>
      <c r="F30" s="184" t="str">
        <f t="shared" ref="F30:F31" si="1">IF(D30*E30=0,"",(D30*E30))</f>
        <v/>
      </c>
    </row>
    <row r="31" spans="1:6">
      <c r="A31" s="173"/>
      <c r="B31" s="503"/>
      <c r="C31" s="504"/>
      <c r="D31" s="173"/>
      <c r="E31" s="183"/>
      <c r="F31" s="184" t="str">
        <f t="shared" si="1"/>
        <v/>
      </c>
    </row>
    <row r="32" spans="1:6">
      <c r="A32" s="505"/>
      <c r="B32" s="506"/>
      <c r="C32" s="506"/>
      <c r="D32" s="506"/>
      <c r="E32" s="506"/>
      <c r="F32" s="507"/>
    </row>
    <row r="33" spans="1:6">
      <c r="A33" s="495" t="s">
        <v>129</v>
      </c>
      <c r="B33" s="495"/>
      <c r="C33" s="496"/>
      <c r="D33" s="497" t="s">
        <v>130</v>
      </c>
      <c r="E33" s="498"/>
      <c r="F33" s="185">
        <f>SUM(F22:F31)</f>
        <v>0</v>
      </c>
    </row>
    <row r="34" spans="1:6">
      <c r="A34" s="499"/>
      <c r="B34" s="499"/>
      <c r="C34" s="500"/>
      <c r="D34" s="186" t="s">
        <v>131</v>
      </c>
      <c r="E34" s="187"/>
      <c r="F34" s="188"/>
    </row>
    <row r="35" spans="1:6">
      <c r="A35" s="499"/>
      <c r="B35" s="499"/>
      <c r="C35" s="500"/>
      <c r="D35" s="186" t="s">
        <v>132</v>
      </c>
      <c r="E35" s="187"/>
      <c r="F35" s="188"/>
    </row>
    <row r="36" spans="1:6">
      <c r="A36" s="499"/>
      <c r="B36" s="499"/>
      <c r="C36" s="500"/>
      <c r="D36" s="501" t="s">
        <v>133</v>
      </c>
      <c r="E36" s="502"/>
      <c r="F36" s="188"/>
    </row>
    <row r="37" spans="1:6">
      <c r="A37" s="499"/>
      <c r="B37" s="499"/>
      <c r="C37" s="500"/>
      <c r="D37" s="501" t="s">
        <v>134</v>
      </c>
      <c r="E37" s="502"/>
      <c r="F37" s="188"/>
    </row>
    <row r="38" spans="1:6">
      <c r="A38" s="499"/>
      <c r="B38" s="499"/>
      <c r="C38" s="500"/>
      <c r="D38" s="497" t="s">
        <v>135</v>
      </c>
      <c r="E38" s="498"/>
      <c r="F38" s="185">
        <f>F33+F35+F36+F37-F34</f>
        <v>0</v>
      </c>
    </row>
    <row r="39" spans="1:6">
      <c r="A39" s="508"/>
      <c r="B39" s="508"/>
      <c r="C39" s="508"/>
      <c r="D39" s="508"/>
      <c r="E39" s="508"/>
      <c r="F39" s="508"/>
    </row>
    <row r="44" spans="1:6">
      <c r="A44" s="206" t="s">
        <v>136</v>
      </c>
      <c r="B44" s="189"/>
      <c r="D44" t="s">
        <v>141</v>
      </c>
      <c r="E44" s="189"/>
      <c r="F44" s="189"/>
    </row>
    <row r="45" spans="1:6">
      <c r="B45" s="161" t="s">
        <v>138</v>
      </c>
      <c r="E45" s="512" t="s">
        <v>142</v>
      </c>
      <c r="F45" s="512"/>
    </row>
    <row r="46" spans="1:6">
      <c r="B46" s="190" t="s">
        <v>139</v>
      </c>
      <c r="E46" s="510" t="s">
        <v>143</v>
      </c>
      <c r="F46" s="510"/>
    </row>
    <row r="49" spans="2:4">
      <c r="B49" s="207" t="s">
        <v>137</v>
      </c>
      <c r="C49" s="189"/>
      <c r="D49" s="189"/>
    </row>
    <row r="50" spans="2:4">
      <c r="C50" s="512" t="s">
        <v>109</v>
      </c>
      <c r="D50" s="512"/>
    </row>
    <row r="51" spans="2:4">
      <c r="C51" s="510" t="s">
        <v>140</v>
      </c>
      <c r="D51" s="510"/>
    </row>
  </sheetData>
  <mergeCells count="35">
    <mergeCell ref="D20:E20"/>
    <mergeCell ref="A1:B4"/>
    <mergeCell ref="C1:F2"/>
    <mergeCell ref="A8:B8"/>
    <mergeCell ref="D8:F8"/>
    <mergeCell ref="A10:B10"/>
    <mergeCell ref="D10:F10"/>
    <mergeCell ref="A12:B13"/>
    <mergeCell ref="D12:F13"/>
    <mergeCell ref="A15:B15"/>
    <mergeCell ref="D15:F15"/>
    <mergeCell ref="D17:F17"/>
    <mergeCell ref="A32:F32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A33:C33"/>
    <mergeCell ref="D33:E33"/>
    <mergeCell ref="A34:C38"/>
    <mergeCell ref="D36:E36"/>
    <mergeCell ref="D37:E37"/>
    <mergeCell ref="D38:E38"/>
    <mergeCell ref="A39:F39"/>
    <mergeCell ref="E45:F45"/>
    <mergeCell ref="E46:F46"/>
    <mergeCell ref="C50:D50"/>
    <mergeCell ref="C51:D51"/>
  </mergeCells>
  <pageMargins left="1.02" right="0.25" top="0.75" bottom="0.75" header="0.3" footer="0.3"/>
  <pageSetup scale="80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88010-55B7-4EB4-BE7C-D26F0C3508CB}">
  <sheetPr>
    <pageSetUpPr fitToPage="1"/>
  </sheetPr>
  <dimension ref="A2:AJ36"/>
  <sheetViews>
    <sheetView zoomScaleNormal="100" workbookViewId="0">
      <pane xSplit="5" ySplit="3" topLeftCell="F10" activePane="bottomRight" state="frozen"/>
      <selection pane="topRight" activeCell="F1" sqref="F1"/>
      <selection pane="bottomLeft" activeCell="A3" sqref="A3"/>
      <selection pane="bottomRight" activeCell="AA27" sqref="AA27"/>
    </sheetView>
  </sheetViews>
  <sheetFormatPr baseColWidth="10" defaultRowHeight="14.4" outlineLevelRow="1"/>
  <cols>
    <col min="2" max="2" width="13.33203125" style="161" customWidth="1"/>
    <col min="3" max="3" width="25.33203125" style="161" bestFit="1" customWidth="1"/>
    <col min="4" max="10" width="11.44140625" customWidth="1"/>
    <col min="11" max="14" width="11.44140625" hidden="1" customWidth="1"/>
    <col min="15" max="15" width="17.109375" hidden="1" customWidth="1"/>
    <col min="16" max="18" width="11.88671875" hidden="1" customWidth="1"/>
    <col min="19" max="20" width="11.5546875" hidden="1" customWidth="1"/>
    <col min="21" max="21" width="8.33203125" hidden="1" customWidth="1"/>
    <col min="22" max="22" width="11.44140625" style="411" hidden="1" customWidth="1"/>
    <col min="23" max="26" width="11.44140625" hidden="1" customWidth="1"/>
    <col min="27" max="28" width="11.44140625" customWidth="1"/>
    <col min="29" max="29" width="11.44140625" hidden="1" customWidth="1"/>
    <col min="30" max="34" width="11.44140625" customWidth="1"/>
    <col min="35" max="35" width="12.77734375" bestFit="1" customWidth="1"/>
  </cols>
  <sheetData>
    <row r="2" spans="1:36">
      <c r="AA2" s="161" t="s">
        <v>271</v>
      </c>
      <c r="AB2" s="161" t="s">
        <v>270</v>
      </c>
      <c r="AD2" s="161" t="s">
        <v>271</v>
      </c>
      <c r="AE2" s="161" t="s">
        <v>270</v>
      </c>
      <c r="AF2" s="161" t="s">
        <v>271</v>
      </c>
      <c r="AG2" s="161" t="s">
        <v>271</v>
      </c>
      <c r="AH2" s="161" t="s">
        <v>270</v>
      </c>
      <c r="AI2" s="161" t="s">
        <v>278</v>
      </c>
      <c r="AJ2" s="161" t="s">
        <v>270</v>
      </c>
    </row>
    <row r="3" spans="1:36" ht="43.2">
      <c r="A3" s="311" t="s">
        <v>144</v>
      </c>
      <c r="B3" s="311" t="s">
        <v>155</v>
      </c>
      <c r="C3" s="311" t="s">
        <v>170</v>
      </c>
      <c r="D3" s="311" t="s">
        <v>145</v>
      </c>
      <c r="E3" s="312" t="s">
        <v>171</v>
      </c>
      <c r="F3" s="311" t="s">
        <v>146</v>
      </c>
      <c r="G3" s="311" t="s">
        <v>147</v>
      </c>
      <c r="H3" s="311" t="s">
        <v>84</v>
      </c>
      <c r="I3" s="311" t="s">
        <v>148</v>
      </c>
      <c r="J3" s="311" t="s">
        <v>149</v>
      </c>
      <c r="K3" s="311" t="s">
        <v>150</v>
      </c>
      <c r="L3" s="313" t="s">
        <v>151</v>
      </c>
      <c r="M3" s="322" t="s">
        <v>155</v>
      </c>
      <c r="N3" s="311" t="s">
        <v>156</v>
      </c>
      <c r="O3" s="311" t="s">
        <v>173</v>
      </c>
      <c r="P3" s="311" t="s">
        <v>172</v>
      </c>
      <c r="Q3" s="311" t="s">
        <v>205</v>
      </c>
      <c r="R3" s="311" t="s">
        <v>206</v>
      </c>
      <c r="S3" s="311" t="s">
        <v>174</v>
      </c>
      <c r="T3" s="311" t="s">
        <v>184</v>
      </c>
      <c r="U3" s="311" t="s">
        <v>282</v>
      </c>
      <c r="V3" s="412" t="s">
        <v>239</v>
      </c>
      <c r="W3" s="311" t="s">
        <v>240</v>
      </c>
      <c r="X3" s="311" t="s">
        <v>236</v>
      </c>
      <c r="Y3" s="311" t="s">
        <v>279</v>
      </c>
      <c r="Z3" s="423" t="s">
        <v>281</v>
      </c>
      <c r="AA3" s="470" t="s">
        <v>195</v>
      </c>
      <c r="AB3" s="471"/>
      <c r="AC3" s="311" t="s">
        <v>194</v>
      </c>
      <c r="AD3" s="470" t="s">
        <v>185</v>
      </c>
      <c r="AE3" s="471"/>
      <c r="AF3" s="311" t="s">
        <v>186</v>
      </c>
      <c r="AG3" s="470" t="s">
        <v>188</v>
      </c>
      <c r="AH3" s="471"/>
      <c r="AI3" s="470" t="s">
        <v>187</v>
      </c>
      <c r="AJ3" s="471"/>
    </row>
    <row r="4" spans="1:36" outlineLevel="1">
      <c r="A4" s="315" t="s">
        <v>86</v>
      </c>
      <c r="B4" s="315" t="s">
        <v>160</v>
      </c>
      <c r="C4" s="162" t="s">
        <v>72</v>
      </c>
      <c r="D4" s="315" t="s">
        <v>87</v>
      </c>
      <c r="E4" s="316">
        <v>240</v>
      </c>
      <c r="F4" s="315">
        <v>24</v>
      </c>
      <c r="G4" s="315" t="s">
        <v>157</v>
      </c>
      <c r="H4" s="320" t="s">
        <v>88</v>
      </c>
      <c r="I4" s="320" t="s">
        <v>157</v>
      </c>
      <c r="J4" s="320" t="s">
        <v>158</v>
      </c>
      <c r="K4" s="315" t="s">
        <v>159</v>
      </c>
      <c r="L4" s="317">
        <v>45713</v>
      </c>
      <c r="M4" s="323" t="s">
        <v>160</v>
      </c>
      <c r="N4" s="315" t="s">
        <v>161</v>
      </c>
      <c r="O4" s="315" t="s">
        <v>233</v>
      </c>
      <c r="P4" s="316">
        <f t="shared" ref="P4:P9" si="0">+E4+2</f>
        <v>242</v>
      </c>
      <c r="Q4" s="316">
        <f>+S4/1.53</f>
        <v>50.196078431372548</v>
      </c>
      <c r="R4" s="316">
        <f>+T4/1.3</f>
        <v>3.7230769230769227</v>
      </c>
      <c r="S4" s="315">
        <f t="shared" ref="S4:S9" si="1">+E4*0.32</f>
        <v>76.8</v>
      </c>
      <c r="T4" s="315">
        <f>+P4*0.02</f>
        <v>4.84</v>
      </c>
      <c r="U4" s="315">
        <v>1</v>
      </c>
      <c r="V4" s="413">
        <f t="shared" ref="V4:V9" si="2">+E4*1.01</f>
        <v>242.4</v>
      </c>
      <c r="W4" s="413">
        <f t="shared" ref="W4:W9" si="3">+E4*1.01</f>
        <v>242.4</v>
      </c>
      <c r="X4" s="315" t="s">
        <v>237</v>
      </c>
      <c r="Y4" s="315" t="s">
        <v>280</v>
      </c>
      <c r="Z4" s="413">
        <f>+W4</f>
        <v>242.4</v>
      </c>
      <c r="AA4" s="315" t="s">
        <v>272</v>
      </c>
      <c r="AB4" s="316">
        <f t="shared" ref="AB4:AB9" si="4">1*E4</f>
        <v>240</v>
      </c>
      <c r="AC4" s="316"/>
      <c r="AD4" s="315" t="s">
        <v>274</v>
      </c>
      <c r="AE4" s="315">
        <f>+AB4/24+1</f>
        <v>11</v>
      </c>
      <c r="AF4" s="315">
        <v>89</v>
      </c>
      <c r="AG4" s="315" t="s">
        <v>276</v>
      </c>
      <c r="AH4" s="315">
        <f>(AB4*3)+2</f>
        <v>722</v>
      </c>
      <c r="AI4" s="315" t="s">
        <v>277</v>
      </c>
      <c r="AJ4" s="315">
        <f>+AE4</f>
        <v>11</v>
      </c>
    </row>
    <row r="5" spans="1:36" outlineLevel="1">
      <c r="A5" s="315" t="s">
        <v>86</v>
      </c>
      <c r="B5" s="315" t="s">
        <v>160</v>
      </c>
      <c r="C5" s="162" t="s">
        <v>72</v>
      </c>
      <c r="D5" s="315" t="s">
        <v>89</v>
      </c>
      <c r="E5" s="316">
        <v>336</v>
      </c>
      <c r="F5" s="315">
        <v>24</v>
      </c>
      <c r="G5" s="315" t="s">
        <v>157</v>
      </c>
      <c r="H5" s="320" t="s">
        <v>90</v>
      </c>
      <c r="I5" s="320" t="s">
        <v>157</v>
      </c>
      <c r="J5" s="320" t="s">
        <v>158</v>
      </c>
      <c r="K5" s="315" t="s">
        <v>159</v>
      </c>
      <c r="L5" s="317">
        <v>45713</v>
      </c>
      <c r="M5" s="323" t="s">
        <v>160</v>
      </c>
      <c r="N5" s="315" t="s">
        <v>161</v>
      </c>
      <c r="O5" s="315" t="s">
        <v>233</v>
      </c>
      <c r="P5" s="316">
        <f t="shared" si="0"/>
        <v>338</v>
      </c>
      <c r="Q5" s="316">
        <f t="shared" ref="Q5:Q30" si="5">+S5/1.53</f>
        <v>70.274509803921561</v>
      </c>
      <c r="R5" s="316">
        <f t="shared" ref="R5:R30" si="6">+T5/1.3</f>
        <v>5.1999999999999993</v>
      </c>
      <c r="S5" s="315">
        <f t="shared" si="1"/>
        <v>107.52</v>
      </c>
      <c r="T5" s="315">
        <f t="shared" ref="T5:T9" si="7">+P5*0.02</f>
        <v>6.76</v>
      </c>
      <c r="U5" s="315">
        <v>1</v>
      </c>
      <c r="V5" s="413">
        <f t="shared" si="2"/>
        <v>339.36</v>
      </c>
      <c r="W5" s="413">
        <f t="shared" si="3"/>
        <v>339.36</v>
      </c>
      <c r="X5" s="315" t="s">
        <v>237</v>
      </c>
      <c r="Y5" s="315" t="s">
        <v>280</v>
      </c>
      <c r="Z5" s="413">
        <f t="shared" ref="Z5:Z30" si="8">+W5</f>
        <v>339.36</v>
      </c>
      <c r="AA5" s="315" t="s">
        <v>272</v>
      </c>
      <c r="AB5" s="316">
        <f t="shared" si="4"/>
        <v>336</v>
      </c>
      <c r="AC5" s="315"/>
      <c r="AD5" s="315" t="s">
        <v>274</v>
      </c>
      <c r="AE5" s="315">
        <f t="shared" ref="AE5:AE30" si="9">+AB5/24+1</f>
        <v>15</v>
      </c>
      <c r="AF5" s="315">
        <v>89</v>
      </c>
      <c r="AG5" s="315" t="s">
        <v>276</v>
      </c>
      <c r="AH5" s="315">
        <f t="shared" ref="AH5:AH30" si="10">(AB5*3)+2</f>
        <v>1010</v>
      </c>
      <c r="AI5" s="315" t="s">
        <v>277</v>
      </c>
      <c r="AJ5" s="315">
        <f t="shared" ref="AJ5:AJ30" si="11">+AE5</f>
        <v>15</v>
      </c>
    </row>
    <row r="6" spans="1:36" outlineLevel="1">
      <c r="A6" s="315" t="s">
        <v>86</v>
      </c>
      <c r="B6" s="315" t="s">
        <v>160</v>
      </c>
      <c r="C6" s="162" t="s">
        <v>72</v>
      </c>
      <c r="D6" s="315" t="s">
        <v>91</v>
      </c>
      <c r="E6" s="316">
        <v>384</v>
      </c>
      <c r="F6" s="315">
        <v>24</v>
      </c>
      <c r="G6" s="315" t="s">
        <v>157</v>
      </c>
      <c r="H6" s="320" t="s">
        <v>92</v>
      </c>
      <c r="I6" s="320" t="s">
        <v>157</v>
      </c>
      <c r="J6" s="320" t="s">
        <v>158</v>
      </c>
      <c r="K6" s="315" t="s">
        <v>159</v>
      </c>
      <c r="L6" s="317">
        <v>45713</v>
      </c>
      <c r="M6" s="323" t="s">
        <v>160</v>
      </c>
      <c r="N6" s="315" t="s">
        <v>161</v>
      </c>
      <c r="O6" s="315" t="s">
        <v>233</v>
      </c>
      <c r="P6" s="316">
        <f t="shared" si="0"/>
        <v>386</v>
      </c>
      <c r="Q6" s="316">
        <f t="shared" si="5"/>
        <v>80.313725490196077</v>
      </c>
      <c r="R6" s="316">
        <f t="shared" si="6"/>
        <v>5.9384615384615378</v>
      </c>
      <c r="S6" s="315">
        <f t="shared" si="1"/>
        <v>122.88</v>
      </c>
      <c r="T6" s="315">
        <f t="shared" si="7"/>
        <v>7.72</v>
      </c>
      <c r="U6" s="315">
        <v>1</v>
      </c>
      <c r="V6" s="413">
        <f t="shared" si="2"/>
        <v>387.84000000000003</v>
      </c>
      <c r="W6" s="413">
        <f t="shared" si="3"/>
        <v>387.84000000000003</v>
      </c>
      <c r="X6" s="315" t="s">
        <v>237</v>
      </c>
      <c r="Y6" s="315" t="s">
        <v>280</v>
      </c>
      <c r="Z6" s="413">
        <f t="shared" si="8"/>
        <v>387.84000000000003</v>
      </c>
      <c r="AA6" s="315" t="s">
        <v>272</v>
      </c>
      <c r="AB6" s="316">
        <f t="shared" si="4"/>
        <v>384</v>
      </c>
      <c r="AC6" s="315"/>
      <c r="AD6" s="315" t="s">
        <v>274</v>
      </c>
      <c r="AE6" s="315">
        <f t="shared" si="9"/>
        <v>17</v>
      </c>
      <c r="AF6" s="315">
        <v>89</v>
      </c>
      <c r="AG6" s="315" t="s">
        <v>276</v>
      </c>
      <c r="AH6" s="315">
        <f t="shared" si="10"/>
        <v>1154</v>
      </c>
      <c r="AI6" s="315" t="s">
        <v>277</v>
      </c>
      <c r="AJ6" s="315">
        <f t="shared" si="11"/>
        <v>17</v>
      </c>
    </row>
    <row r="7" spans="1:36" outlineLevel="1">
      <c r="A7" s="315" t="s">
        <v>93</v>
      </c>
      <c r="B7" s="315" t="s">
        <v>160</v>
      </c>
      <c r="C7" s="162" t="s">
        <v>72</v>
      </c>
      <c r="D7" s="315" t="s">
        <v>94</v>
      </c>
      <c r="E7" s="316">
        <v>360</v>
      </c>
      <c r="F7" s="315">
        <v>24</v>
      </c>
      <c r="G7" s="315" t="s">
        <v>157</v>
      </c>
      <c r="H7" s="320" t="s">
        <v>162</v>
      </c>
      <c r="I7" s="320" t="s">
        <v>157</v>
      </c>
      <c r="J7" s="320" t="s">
        <v>158</v>
      </c>
      <c r="K7" s="315" t="s">
        <v>159</v>
      </c>
      <c r="L7" s="317">
        <v>45713</v>
      </c>
      <c r="M7" s="323" t="s">
        <v>160</v>
      </c>
      <c r="N7" s="315" t="s">
        <v>161</v>
      </c>
      <c r="O7" s="315" t="s">
        <v>233</v>
      </c>
      <c r="P7" s="316">
        <f t="shared" si="0"/>
        <v>362</v>
      </c>
      <c r="Q7" s="316">
        <f t="shared" si="5"/>
        <v>75.294117647058826</v>
      </c>
      <c r="R7" s="316">
        <f t="shared" si="6"/>
        <v>5.569230769230769</v>
      </c>
      <c r="S7" s="315">
        <f t="shared" si="1"/>
        <v>115.2</v>
      </c>
      <c r="T7" s="315">
        <f t="shared" si="7"/>
        <v>7.24</v>
      </c>
      <c r="U7" s="315">
        <v>1</v>
      </c>
      <c r="V7" s="413">
        <f t="shared" si="2"/>
        <v>363.6</v>
      </c>
      <c r="W7" s="413">
        <f t="shared" si="3"/>
        <v>363.6</v>
      </c>
      <c r="X7" s="315" t="s">
        <v>237</v>
      </c>
      <c r="Y7" s="315" t="s">
        <v>280</v>
      </c>
      <c r="Z7" s="413">
        <f t="shared" si="8"/>
        <v>363.6</v>
      </c>
      <c r="AA7" s="315" t="s">
        <v>272</v>
      </c>
      <c r="AB7" s="316">
        <f t="shared" si="4"/>
        <v>360</v>
      </c>
      <c r="AC7" s="315"/>
      <c r="AD7" s="315" t="s">
        <v>274</v>
      </c>
      <c r="AE7" s="315">
        <f t="shared" si="9"/>
        <v>16</v>
      </c>
      <c r="AF7" s="315">
        <v>89</v>
      </c>
      <c r="AG7" s="315" t="s">
        <v>276</v>
      </c>
      <c r="AH7" s="315">
        <f t="shared" si="10"/>
        <v>1082</v>
      </c>
      <c r="AI7" s="315" t="s">
        <v>277</v>
      </c>
      <c r="AJ7" s="315">
        <f t="shared" si="11"/>
        <v>16</v>
      </c>
    </row>
    <row r="8" spans="1:36" outlineLevel="1">
      <c r="A8" s="315" t="s">
        <v>93</v>
      </c>
      <c r="B8" s="315" t="s">
        <v>160</v>
      </c>
      <c r="C8" s="162" t="s">
        <v>72</v>
      </c>
      <c r="D8" s="315" t="s">
        <v>95</v>
      </c>
      <c r="E8" s="316">
        <v>264</v>
      </c>
      <c r="F8" s="315">
        <v>24</v>
      </c>
      <c r="G8" s="315" t="s">
        <v>157</v>
      </c>
      <c r="H8" s="320" t="s">
        <v>163</v>
      </c>
      <c r="I8" s="320" t="s">
        <v>157</v>
      </c>
      <c r="J8" s="320" t="s">
        <v>158</v>
      </c>
      <c r="K8" s="315" t="s">
        <v>159</v>
      </c>
      <c r="L8" s="317">
        <v>45713</v>
      </c>
      <c r="M8" s="323" t="s">
        <v>160</v>
      </c>
      <c r="N8" s="315" t="s">
        <v>161</v>
      </c>
      <c r="O8" s="315" t="s">
        <v>233</v>
      </c>
      <c r="P8" s="316">
        <f t="shared" si="0"/>
        <v>266</v>
      </c>
      <c r="Q8" s="316">
        <f t="shared" si="5"/>
        <v>55.215686274509807</v>
      </c>
      <c r="R8" s="316">
        <f t="shared" si="6"/>
        <v>4.092307692307692</v>
      </c>
      <c r="S8" s="315">
        <f t="shared" si="1"/>
        <v>84.48</v>
      </c>
      <c r="T8" s="315">
        <f t="shared" si="7"/>
        <v>5.32</v>
      </c>
      <c r="U8" s="315">
        <v>1</v>
      </c>
      <c r="V8" s="413">
        <f t="shared" si="2"/>
        <v>266.64</v>
      </c>
      <c r="W8" s="413">
        <f t="shared" si="3"/>
        <v>266.64</v>
      </c>
      <c r="X8" s="315" t="s">
        <v>237</v>
      </c>
      <c r="Y8" s="315" t="s">
        <v>280</v>
      </c>
      <c r="Z8" s="413">
        <f t="shared" si="8"/>
        <v>266.64</v>
      </c>
      <c r="AA8" s="315" t="s">
        <v>272</v>
      </c>
      <c r="AB8" s="316">
        <f t="shared" si="4"/>
        <v>264</v>
      </c>
      <c r="AC8" s="315"/>
      <c r="AD8" s="315" t="s">
        <v>274</v>
      </c>
      <c r="AE8" s="315">
        <f t="shared" si="9"/>
        <v>12</v>
      </c>
      <c r="AF8" s="315">
        <v>89</v>
      </c>
      <c r="AG8" s="315" t="s">
        <v>276</v>
      </c>
      <c r="AH8" s="315">
        <f t="shared" si="10"/>
        <v>794</v>
      </c>
      <c r="AI8" s="315" t="s">
        <v>277</v>
      </c>
      <c r="AJ8" s="315">
        <f t="shared" si="11"/>
        <v>12</v>
      </c>
    </row>
    <row r="9" spans="1:36" outlineLevel="1">
      <c r="A9" s="315" t="s">
        <v>93</v>
      </c>
      <c r="B9" s="315" t="s">
        <v>160</v>
      </c>
      <c r="C9" s="162" t="s">
        <v>72</v>
      </c>
      <c r="D9" s="315" t="s">
        <v>96</v>
      </c>
      <c r="E9" s="316">
        <v>216</v>
      </c>
      <c r="F9" s="315">
        <v>24</v>
      </c>
      <c r="G9" s="315" t="s">
        <v>157</v>
      </c>
      <c r="H9" s="320" t="s">
        <v>164</v>
      </c>
      <c r="I9" s="320" t="s">
        <v>157</v>
      </c>
      <c r="J9" s="320" t="s">
        <v>158</v>
      </c>
      <c r="K9" s="315" t="s">
        <v>159</v>
      </c>
      <c r="L9" s="317">
        <v>45713</v>
      </c>
      <c r="M9" s="323" t="s">
        <v>160</v>
      </c>
      <c r="N9" s="315" t="s">
        <v>161</v>
      </c>
      <c r="O9" s="315" t="s">
        <v>233</v>
      </c>
      <c r="P9" s="316">
        <f t="shared" si="0"/>
        <v>218</v>
      </c>
      <c r="Q9" s="316">
        <f t="shared" si="5"/>
        <v>45.176470588235297</v>
      </c>
      <c r="R9" s="316">
        <f t="shared" si="6"/>
        <v>3.3538461538461539</v>
      </c>
      <c r="S9" s="315">
        <f t="shared" si="1"/>
        <v>69.12</v>
      </c>
      <c r="T9" s="315">
        <f t="shared" si="7"/>
        <v>4.3600000000000003</v>
      </c>
      <c r="U9" s="315">
        <v>1</v>
      </c>
      <c r="V9" s="413">
        <f t="shared" si="2"/>
        <v>218.16</v>
      </c>
      <c r="W9" s="413">
        <f t="shared" si="3"/>
        <v>218.16</v>
      </c>
      <c r="X9" s="315" t="s">
        <v>237</v>
      </c>
      <c r="Y9" s="315" t="s">
        <v>280</v>
      </c>
      <c r="Z9" s="413">
        <f t="shared" si="8"/>
        <v>218.16</v>
      </c>
      <c r="AA9" s="315" t="s">
        <v>273</v>
      </c>
      <c r="AB9" s="316">
        <f t="shared" si="4"/>
        <v>216</v>
      </c>
      <c r="AC9" s="315"/>
      <c r="AD9" s="315" t="s">
        <v>275</v>
      </c>
      <c r="AE9" s="315">
        <f t="shared" si="9"/>
        <v>10</v>
      </c>
      <c r="AF9" s="315">
        <v>97</v>
      </c>
      <c r="AG9" s="315" t="s">
        <v>276</v>
      </c>
      <c r="AH9" s="315">
        <f t="shared" si="10"/>
        <v>650</v>
      </c>
      <c r="AI9" s="315" t="s">
        <v>277</v>
      </c>
      <c r="AJ9" s="315">
        <f t="shared" si="11"/>
        <v>10</v>
      </c>
    </row>
    <row r="10" spans="1:36">
      <c r="A10" s="315"/>
      <c r="B10" s="405" t="s">
        <v>189</v>
      </c>
      <c r="C10" s="162"/>
      <c r="D10" s="315"/>
      <c r="E10" s="316">
        <f>SUBTOTAL(9,E4:E9)</f>
        <v>1800</v>
      </c>
      <c r="F10" s="315"/>
      <c r="G10" s="315"/>
      <c r="H10" s="320"/>
      <c r="I10" s="320"/>
      <c r="J10" s="320"/>
      <c r="K10" s="315"/>
      <c r="L10" s="317"/>
      <c r="M10" s="323"/>
      <c r="N10" s="315"/>
      <c r="O10" s="315"/>
      <c r="P10" s="316">
        <f>SUBTOTAL(9,P4:P9)</f>
        <v>1812</v>
      </c>
      <c r="Q10" s="316">
        <f>SUBTOTAL(9,Q4:Q9)</f>
        <v>376.47058823529409</v>
      </c>
      <c r="R10" s="316">
        <f>SUBTOTAL(9,R4:R9)</f>
        <v>27.876923076923074</v>
      </c>
      <c r="S10" s="315">
        <f>SUBTOTAL(9,S4:S9)</f>
        <v>576</v>
      </c>
      <c r="T10" s="315">
        <f>SUBTOTAL(9,T4:T9)</f>
        <v>36.24</v>
      </c>
      <c r="U10" s="315"/>
      <c r="V10" s="413"/>
      <c r="W10" s="413"/>
      <c r="X10" s="315"/>
      <c r="Y10" s="315"/>
      <c r="Z10" s="315"/>
      <c r="AA10" s="315"/>
      <c r="AB10" s="316"/>
      <c r="AC10" s="315"/>
      <c r="AD10" s="315"/>
      <c r="AE10" s="315"/>
      <c r="AF10" s="315"/>
      <c r="AG10" s="315"/>
      <c r="AH10" s="315"/>
      <c r="AI10" s="315"/>
      <c r="AJ10" s="315"/>
    </row>
    <row r="11" spans="1:36" outlineLevel="1">
      <c r="A11" s="324" t="s">
        <v>97</v>
      </c>
      <c r="B11" s="324" t="s">
        <v>165</v>
      </c>
      <c r="C11" s="162" t="s">
        <v>78</v>
      </c>
      <c r="D11" s="324" t="s">
        <v>91</v>
      </c>
      <c r="E11" s="325">
        <v>192</v>
      </c>
      <c r="F11" s="324">
        <v>24</v>
      </c>
      <c r="G11" s="324" t="s">
        <v>157</v>
      </c>
      <c r="H11" s="166" t="s">
        <v>92</v>
      </c>
      <c r="I11" s="166" t="s">
        <v>157</v>
      </c>
      <c r="J11" s="166" t="s">
        <v>158</v>
      </c>
      <c r="K11" s="324" t="s">
        <v>159</v>
      </c>
      <c r="L11" s="326">
        <v>45713</v>
      </c>
      <c r="M11" s="330" t="s">
        <v>165</v>
      </c>
      <c r="N11" s="324" t="s">
        <v>161</v>
      </c>
      <c r="O11" s="324" t="s">
        <v>234</v>
      </c>
      <c r="P11" s="316">
        <f t="shared" ref="P11:P16" si="12">+E11+2</f>
        <v>194</v>
      </c>
      <c r="Q11" s="316">
        <f t="shared" si="5"/>
        <v>53.96078431372549</v>
      </c>
      <c r="R11" s="316">
        <f t="shared" si="6"/>
        <v>2.9846153846153842</v>
      </c>
      <c r="S11" s="315">
        <f t="shared" ref="S11:S16" si="13">+E11*0.43</f>
        <v>82.56</v>
      </c>
      <c r="T11" s="315">
        <f>+P11*0.02</f>
        <v>3.88</v>
      </c>
      <c r="U11" s="315">
        <v>1</v>
      </c>
      <c r="V11" s="413">
        <f t="shared" ref="V11:V16" si="14">+E11*1.01</f>
        <v>193.92000000000002</v>
      </c>
      <c r="W11" s="413">
        <f t="shared" ref="W11:W16" si="15">+E11*1.01</f>
        <v>193.92000000000002</v>
      </c>
      <c r="X11" s="315" t="s">
        <v>237</v>
      </c>
      <c r="Y11" s="315" t="s">
        <v>280</v>
      </c>
      <c r="Z11" s="413">
        <f t="shared" si="8"/>
        <v>193.92000000000002</v>
      </c>
      <c r="AA11" s="315" t="s">
        <v>272</v>
      </c>
      <c r="AB11" s="316">
        <f t="shared" ref="AB11:AB16" si="16">1*E11</f>
        <v>192</v>
      </c>
      <c r="AC11" s="324"/>
      <c r="AD11" s="315" t="s">
        <v>274</v>
      </c>
      <c r="AE11" s="315">
        <f t="shared" si="9"/>
        <v>9</v>
      </c>
      <c r="AF11" s="324">
        <v>89</v>
      </c>
      <c r="AG11" s="315" t="s">
        <v>276</v>
      </c>
      <c r="AH11" s="315">
        <f t="shared" si="10"/>
        <v>578</v>
      </c>
      <c r="AI11" s="315" t="s">
        <v>277</v>
      </c>
      <c r="AJ11" s="315">
        <f t="shared" si="11"/>
        <v>9</v>
      </c>
    </row>
    <row r="12" spans="1:36" outlineLevel="1">
      <c r="A12" s="324" t="s">
        <v>98</v>
      </c>
      <c r="B12" s="324" t="s">
        <v>165</v>
      </c>
      <c r="C12" s="162" t="s">
        <v>78</v>
      </c>
      <c r="D12" s="324" t="s">
        <v>94</v>
      </c>
      <c r="E12" s="325">
        <v>240</v>
      </c>
      <c r="F12" s="324">
        <v>24</v>
      </c>
      <c r="G12" s="324" t="s">
        <v>157</v>
      </c>
      <c r="H12" s="166" t="s">
        <v>162</v>
      </c>
      <c r="I12" s="166" t="s">
        <v>157</v>
      </c>
      <c r="J12" s="166" t="s">
        <v>158</v>
      </c>
      <c r="K12" s="324" t="s">
        <v>159</v>
      </c>
      <c r="L12" s="326">
        <v>45713</v>
      </c>
      <c r="M12" s="330" t="s">
        <v>165</v>
      </c>
      <c r="N12" s="324" t="s">
        <v>161</v>
      </c>
      <c r="O12" s="324" t="s">
        <v>234</v>
      </c>
      <c r="P12" s="316">
        <f t="shared" si="12"/>
        <v>242</v>
      </c>
      <c r="Q12" s="316">
        <f t="shared" si="5"/>
        <v>67.450980392156865</v>
      </c>
      <c r="R12" s="316">
        <f t="shared" si="6"/>
        <v>3.7230769230769227</v>
      </c>
      <c r="S12" s="315">
        <f t="shared" si="13"/>
        <v>103.2</v>
      </c>
      <c r="T12" s="315">
        <f t="shared" ref="T12:T16" si="17">+P12*0.02</f>
        <v>4.84</v>
      </c>
      <c r="U12" s="315">
        <v>1</v>
      </c>
      <c r="V12" s="413">
        <f t="shared" si="14"/>
        <v>242.4</v>
      </c>
      <c r="W12" s="413">
        <f t="shared" si="15"/>
        <v>242.4</v>
      </c>
      <c r="X12" s="315" t="s">
        <v>237</v>
      </c>
      <c r="Y12" s="315" t="s">
        <v>280</v>
      </c>
      <c r="Z12" s="413">
        <f t="shared" si="8"/>
        <v>242.4</v>
      </c>
      <c r="AA12" s="315" t="s">
        <v>272</v>
      </c>
      <c r="AB12" s="316">
        <f t="shared" si="16"/>
        <v>240</v>
      </c>
      <c r="AC12" s="324"/>
      <c r="AD12" s="315" t="s">
        <v>274</v>
      </c>
      <c r="AE12" s="315">
        <f t="shared" si="9"/>
        <v>11</v>
      </c>
      <c r="AF12" s="324">
        <v>89</v>
      </c>
      <c r="AG12" s="315" t="s">
        <v>276</v>
      </c>
      <c r="AH12" s="315">
        <f t="shared" si="10"/>
        <v>722</v>
      </c>
      <c r="AI12" s="315" t="s">
        <v>277</v>
      </c>
      <c r="AJ12" s="315">
        <f t="shared" si="11"/>
        <v>11</v>
      </c>
    </row>
    <row r="13" spans="1:36" outlineLevel="1">
      <c r="A13" s="324" t="s">
        <v>98</v>
      </c>
      <c r="B13" s="324" t="s">
        <v>165</v>
      </c>
      <c r="C13" s="162" t="s">
        <v>78</v>
      </c>
      <c r="D13" s="324" t="s">
        <v>95</v>
      </c>
      <c r="E13" s="325">
        <v>288</v>
      </c>
      <c r="F13" s="324">
        <v>24</v>
      </c>
      <c r="G13" s="324" t="s">
        <v>157</v>
      </c>
      <c r="H13" s="166" t="s">
        <v>163</v>
      </c>
      <c r="I13" s="166" t="s">
        <v>157</v>
      </c>
      <c r="J13" s="166" t="s">
        <v>158</v>
      </c>
      <c r="K13" s="324" t="s">
        <v>159</v>
      </c>
      <c r="L13" s="326">
        <v>45713</v>
      </c>
      <c r="M13" s="330" t="s">
        <v>165</v>
      </c>
      <c r="N13" s="324" t="s">
        <v>161</v>
      </c>
      <c r="O13" s="324" t="s">
        <v>234</v>
      </c>
      <c r="P13" s="316">
        <f t="shared" si="12"/>
        <v>290</v>
      </c>
      <c r="Q13" s="316">
        <f t="shared" si="5"/>
        <v>80.941176470588232</v>
      </c>
      <c r="R13" s="316">
        <f t="shared" si="6"/>
        <v>4.4615384615384617</v>
      </c>
      <c r="S13" s="315">
        <f t="shared" si="13"/>
        <v>123.84</v>
      </c>
      <c r="T13" s="315">
        <f t="shared" si="17"/>
        <v>5.8</v>
      </c>
      <c r="U13" s="315">
        <v>1</v>
      </c>
      <c r="V13" s="413">
        <f t="shared" si="14"/>
        <v>290.88</v>
      </c>
      <c r="W13" s="413">
        <f t="shared" si="15"/>
        <v>290.88</v>
      </c>
      <c r="X13" s="315" t="s">
        <v>237</v>
      </c>
      <c r="Y13" s="315" t="s">
        <v>280</v>
      </c>
      <c r="Z13" s="413">
        <f t="shared" si="8"/>
        <v>290.88</v>
      </c>
      <c r="AA13" s="315" t="s">
        <v>272</v>
      </c>
      <c r="AB13" s="316">
        <f t="shared" si="16"/>
        <v>288</v>
      </c>
      <c r="AC13" s="324"/>
      <c r="AD13" s="315" t="s">
        <v>274</v>
      </c>
      <c r="AE13" s="315">
        <f t="shared" si="9"/>
        <v>13</v>
      </c>
      <c r="AF13" s="324">
        <v>89</v>
      </c>
      <c r="AG13" s="315" t="s">
        <v>276</v>
      </c>
      <c r="AH13" s="315">
        <f t="shared" si="10"/>
        <v>866</v>
      </c>
      <c r="AI13" s="315" t="s">
        <v>277</v>
      </c>
      <c r="AJ13" s="315">
        <f t="shared" si="11"/>
        <v>13</v>
      </c>
    </row>
    <row r="14" spans="1:36" outlineLevel="1">
      <c r="A14" s="324" t="s">
        <v>98</v>
      </c>
      <c r="B14" s="324" t="s">
        <v>165</v>
      </c>
      <c r="C14" s="162" t="s">
        <v>78</v>
      </c>
      <c r="D14" s="324" t="s">
        <v>96</v>
      </c>
      <c r="E14" s="325">
        <v>408</v>
      </c>
      <c r="F14" s="324">
        <v>24</v>
      </c>
      <c r="G14" s="324" t="s">
        <v>157</v>
      </c>
      <c r="H14" s="166" t="s">
        <v>164</v>
      </c>
      <c r="I14" s="166" t="s">
        <v>157</v>
      </c>
      <c r="J14" s="166" t="s">
        <v>158</v>
      </c>
      <c r="K14" s="324" t="s">
        <v>159</v>
      </c>
      <c r="L14" s="326">
        <v>45713</v>
      </c>
      <c r="M14" s="330" t="s">
        <v>165</v>
      </c>
      <c r="N14" s="324" t="s">
        <v>161</v>
      </c>
      <c r="O14" s="324" t="s">
        <v>234</v>
      </c>
      <c r="P14" s="316">
        <f t="shared" si="12"/>
        <v>410</v>
      </c>
      <c r="Q14" s="316">
        <f t="shared" si="5"/>
        <v>114.66666666666666</v>
      </c>
      <c r="R14" s="316">
        <f t="shared" si="6"/>
        <v>6.3076923076923066</v>
      </c>
      <c r="S14" s="315">
        <f t="shared" si="13"/>
        <v>175.44</v>
      </c>
      <c r="T14" s="315">
        <f t="shared" si="17"/>
        <v>8.1999999999999993</v>
      </c>
      <c r="U14" s="315">
        <v>1</v>
      </c>
      <c r="V14" s="413">
        <f t="shared" si="14"/>
        <v>412.08</v>
      </c>
      <c r="W14" s="413">
        <f t="shared" si="15"/>
        <v>412.08</v>
      </c>
      <c r="X14" s="315" t="s">
        <v>237</v>
      </c>
      <c r="Y14" s="315" t="s">
        <v>280</v>
      </c>
      <c r="Z14" s="413">
        <f t="shared" si="8"/>
        <v>412.08</v>
      </c>
      <c r="AA14" s="315" t="s">
        <v>273</v>
      </c>
      <c r="AB14" s="316">
        <f t="shared" si="16"/>
        <v>408</v>
      </c>
      <c r="AC14" s="324"/>
      <c r="AD14" s="315" t="s">
        <v>275</v>
      </c>
      <c r="AE14" s="315">
        <f t="shared" si="9"/>
        <v>18</v>
      </c>
      <c r="AF14" s="324">
        <v>97</v>
      </c>
      <c r="AG14" s="315" t="s">
        <v>276</v>
      </c>
      <c r="AH14" s="315">
        <f t="shared" si="10"/>
        <v>1226</v>
      </c>
      <c r="AI14" s="315" t="s">
        <v>277</v>
      </c>
      <c r="AJ14" s="315">
        <f t="shared" si="11"/>
        <v>18</v>
      </c>
    </row>
    <row r="15" spans="1:36" outlineLevel="1">
      <c r="A15" s="324" t="s">
        <v>99</v>
      </c>
      <c r="B15" s="324" t="s">
        <v>165</v>
      </c>
      <c r="C15" s="162" t="s">
        <v>78</v>
      </c>
      <c r="D15" s="324" t="s">
        <v>100</v>
      </c>
      <c r="E15" s="325">
        <v>384</v>
      </c>
      <c r="F15" s="324">
        <v>24</v>
      </c>
      <c r="G15" s="324" t="s">
        <v>157</v>
      </c>
      <c r="H15" s="166" t="s">
        <v>166</v>
      </c>
      <c r="I15" s="166" t="s">
        <v>157</v>
      </c>
      <c r="J15" s="166" t="s">
        <v>158</v>
      </c>
      <c r="K15" s="324" t="s">
        <v>159</v>
      </c>
      <c r="L15" s="326">
        <v>45713</v>
      </c>
      <c r="M15" s="330" t="s">
        <v>165</v>
      </c>
      <c r="N15" s="324" t="s">
        <v>161</v>
      </c>
      <c r="O15" s="324" t="s">
        <v>234</v>
      </c>
      <c r="P15" s="316">
        <f t="shared" si="12"/>
        <v>386</v>
      </c>
      <c r="Q15" s="316">
        <f t="shared" si="5"/>
        <v>107.92156862745098</v>
      </c>
      <c r="R15" s="316">
        <f t="shared" si="6"/>
        <v>5.9384615384615378</v>
      </c>
      <c r="S15" s="315">
        <f t="shared" si="13"/>
        <v>165.12</v>
      </c>
      <c r="T15" s="315">
        <f t="shared" si="17"/>
        <v>7.72</v>
      </c>
      <c r="U15" s="315">
        <v>1</v>
      </c>
      <c r="V15" s="413">
        <f t="shared" si="14"/>
        <v>387.84000000000003</v>
      </c>
      <c r="W15" s="413">
        <f t="shared" si="15"/>
        <v>387.84000000000003</v>
      </c>
      <c r="X15" s="324" t="s">
        <v>238</v>
      </c>
      <c r="Y15" s="315" t="s">
        <v>280</v>
      </c>
      <c r="Z15" s="413">
        <f t="shared" si="8"/>
        <v>387.84000000000003</v>
      </c>
      <c r="AA15" s="315" t="s">
        <v>273</v>
      </c>
      <c r="AB15" s="316">
        <f t="shared" si="16"/>
        <v>384</v>
      </c>
      <c r="AC15" s="324"/>
      <c r="AD15" s="315" t="s">
        <v>275</v>
      </c>
      <c r="AE15" s="315">
        <f t="shared" si="9"/>
        <v>17</v>
      </c>
      <c r="AF15" s="324">
        <v>97</v>
      </c>
      <c r="AG15" s="315" t="s">
        <v>276</v>
      </c>
      <c r="AH15" s="315">
        <f t="shared" si="10"/>
        <v>1154</v>
      </c>
      <c r="AI15" s="315" t="s">
        <v>277</v>
      </c>
      <c r="AJ15" s="315">
        <f t="shared" si="11"/>
        <v>17</v>
      </c>
    </row>
    <row r="16" spans="1:36" outlineLevel="1">
      <c r="A16" s="324" t="s">
        <v>99</v>
      </c>
      <c r="B16" s="324" t="s">
        <v>165</v>
      </c>
      <c r="C16" s="162" t="s">
        <v>78</v>
      </c>
      <c r="D16" s="324" t="s">
        <v>101</v>
      </c>
      <c r="E16" s="325">
        <v>288</v>
      </c>
      <c r="F16" s="324">
        <v>24</v>
      </c>
      <c r="G16" s="324" t="s">
        <v>157</v>
      </c>
      <c r="H16" s="166" t="s">
        <v>167</v>
      </c>
      <c r="I16" s="166" t="s">
        <v>157</v>
      </c>
      <c r="J16" s="166" t="s">
        <v>158</v>
      </c>
      <c r="K16" s="324" t="s">
        <v>159</v>
      </c>
      <c r="L16" s="326">
        <v>45713</v>
      </c>
      <c r="M16" s="330" t="s">
        <v>165</v>
      </c>
      <c r="N16" s="324" t="s">
        <v>161</v>
      </c>
      <c r="O16" s="324" t="s">
        <v>234</v>
      </c>
      <c r="P16" s="316">
        <f t="shared" si="12"/>
        <v>290</v>
      </c>
      <c r="Q16" s="316">
        <f t="shared" si="5"/>
        <v>80.941176470588232</v>
      </c>
      <c r="R16" s="316">
        <f t="shared" si="6"/>
        <v>4.4615384615384617</v>
      </c>
      <c r="S16" s="315">
        <f t="shared" si="13"/>
        <v>123.84</v>
      </c>
      <c r="T16" s="315">
        <f t="shared" si="17"/>
        <v>5.8</v>
      </c>
      <c r="U16" s="315">
        <v>1</v>
      </c>
      <c r="V16" s="413">
        <f t="shared" si="14"/>
        <v>290.88</v>
      </c>
      <c r="W16" s="413">
        <f t="shared" si="15"/>
        <v>290.88</v>
      </c>
      <c r="X16" s="324" t="s">
        <v>238</v>
      </c>
      <c r="Y16" s="315" t="s">
        <v>280</v>
      </c>
      <c r="Z16" s="413">
        <f t="shared" si="8"/>
        <v>290.88</v>
      </c>
      <c r="AA16" s="315" t="s">
        <v>273</v>
      </c>
      <c r="AB16" s="316">
        <f t="shared" si="16"/>
        <v>288</v>
      </c>
      <c r="AC16" s="324"/>
      <c r="AD16" s="315" t="s">
        <v>275</v>
      </c>
      <c r="AE16" s="315">
        <f t="shared" si="9"/>
        <v>13</v>
      </c>
      <c r="AF16" s="324">
        <v>97</v>
      </c>
      <c r="AG16" s="315" t="s">
        <v>276</v>
      </c>
      <c r="AH16" s="315">
        <f t="shared" si="10"/>
        <v>866</v>
      </c>
      <c r="AI16" s="315" t="s">
        <v>277</v>
      </c>
      <c r="AJ16" s="315">
        <f t="shared" si="11"/>
        <v>13</v>
      </c>
    </row>
    <row r="17" spans="1:36">
      <c r="A17" s="324"/>
      <c r="B17" s="393" t="s">
        <v>190</v>
      </c>
      <c r="C17" s="162"/>
      <c r="D17" s="324"/>
      <c r="E17" s="325">
        <f>SUBTOTAL(9,E11:E16)</f>
        <v>1800</v>
      </c>
      <c r="F17" s="324"/>
      <c r="G17" s="324"/>
      <c r="H17" s="166"/>
      <c r="I17" s="166"/>
      <c r="J17" s="166"/>
      <c r="K17" s="324"/>
      <c r="L17" s="326"/>
      <c r="M17" s="330"/>
      <c r="N17" s="324"/>
      <c r="O17" s="324"/>
      <c r="P17" s="316">
        <f>SUBTOTAL(9,P11:P16)</f>
        <v>1812</v>
      </c>
      <c r="Q17" s="316">
        <f>SUBTOTAL(9,Q11:Q16)</f>
        <v>505.88235294117646</v>
      </c>
      <c r="R17" s="316">
        <f>SUBTOTAL(9,R11:R16)</f>
        <v>27.876923076923077</v>
      </c>
      <c r="S17" s="315">
        <f>SUBTOTAL(9,S11:S16)</f>
        <v>774.00000000000011</v>
      </c>
      <c r="T17" s="315">
        <f>SUBTOTAL(9,T11:T16)</f>
        <v>36.239999999999995</v>
      </c>
      <c r="U17" s="315"/>
      <c r="V17" s="413"/>
      <c r="W17" s="413"/>
      <c r="X17" s="324"/>
      <c r="Y17" s="324"/>
      <c r="Z17" s="324"/>
      <c r="AA17" s="324"/>
      <c r="AB17" s="316"/>
      <c r="AC17" s="324"/>
      <c r="AD17" s="315"/>
      <c r="AE17" s="315"/>
      <c r="AF17" s="324"/>
      <c r="AG17" s="324"/>
      <c r="AH17" s="324"/>
      <c r="AI17" s="324"/>
      <c r="AJ17" s="324"/>
    </row>
    <row r="18" spans="1:36" outlineLevel="1">
      <c r="A18" s="324" t="s">
        <v>102</v>
      </c>
      <c r="B18" s="324" t="s">
        <v>168</v>
      </c>
      <c r="C18" s="162" t="s">
        <v>79</v>
      </c>
      <c r="D18" s="324" t="s">
        <v>87</v>
      </c>
      <c r="E18" s="325">
        <v>240</v>
      </c>
      <c r="F18" s="324">
        <v>24</v>
      </c>
      <c r="G18" s="324" t="s">
        <v>157</v>
      </c>
      <c r="H18" s="166" t="s">
        <v>88</v>
      </c>
      <c r="I18" s="166" t="s">
        <v>157</v>
      </c>
      <c r="J18" s="166" t="s">
        <v>158</v>
      </c>
      <c r="K18" s="324" t="s">
        <v>159</v>
      </c>
      <c r="L18" s="326">
        <v>45713</v>
      </c>
      <c r="M18" s="330" t="s">
        <v>168</v>
      </c>
      <c r="N18" s="324" t="s">
        <v>161</v>
      </c>
      <c r="O18" s="324" t="s">
        <v>220</v>
      </c>
      <c r="P18" s="316">
        <f t="shared" ref="P18:P23" si="18">+E18+2</f>
        <v>242</v>
      </c>
      <c r="Q18" s="316">
        <f t="shared" si="5"/>
        <v>50.196078431372548</v>
      </c>
      <c r="R18" s="316">
        <f t="shared" si="6"/>
        <v>3.7230769230769227</v>
      </c>
      <c r="S18" s="315">
        <f t="shared" ref="S18:S23" si="19">+E18*0.32</f>
        <v>76.8</v>
      </c>
      <c r="T18" s="315">
        <f t="shared" ref="T18:T23" si="20">+P18*0.02</f>
        <v>4.84</v>
      </c>
      <c r="U18" s="315">
        <v>1</v>
      </c>
      <c r="V18" s="413">
        <f t="shared" ref="V18:V23" si="21">+E18*1.01</f>
        <v>242.4</v>
      </c>
      <c r="W18" s="413">
        <f t="shared" ref="W18:W23" si="22">+E18*1.01</f>
        <v>242.4</v>
      </c>
      <c r="X18" s="315" t="s">
        <v>237</v>
      </c>
      <c r="Y18" s="315" t="s">
        <v>280</v>
      </c>
      <c r="Z18" s="413">
        <f t="shared" si="8"/>
        <v>242.4</v>
      </c>
      <c r="AA18" s="315" t="s">
        <v>272</v>
      </c>
      <c r="AB18" s="316">
        <f t="shared" ref="AB18:AB23" si="23">1*E18</f>
        <v>240</v>
      </c>
      <c r="AC18" s="324"/>
      <c r="AD18" s="315" t="s">
        <v>274</v>
      </c>
      <c r="AE18" s="315">
        <f t="shared" si="9"/>
        <v>11</v>
      </c>
      <c r="AF18" s="315">
        <v>89</v>
      </c>
      <c r="AG18" s="315" t="s">
        <v>276</v>
      </c>
      <c r="AH18" s="315">
        <f t="shared" si="10"/>
        <v>722</v>
      </c>
      <c r="AI18" s="315" t="s">
        <v>277</v>
      </c>
      <c r="AJ18" s="315">
        <f t="shared" si="11"/>
        <v>11</v>
      </c>
    </row>
    <row r="19" spans="1:36" outlineLevel="1">
      <c r="A19" s="324" t="s">
        <v>102</v>
      </c>
      <c r="B19" s="324" t="s">
        <v>168</v>
      </c>
      <c r="C19" s="162" t="s">
        <v>79</v>
      </c>
      <c r="D19" s="324" t="s">
        <v>89</v>
      </c>
      <c r="E19" s="325">
        <v>336</v>
      </c>
      <c r="F19" s="324">
        <v>24</v>
      </c>
      <c r="G19" s="324" t="s">
        <v>157</v>
      </c>
      <c r="H19" s="166" t="s">
        <v>90</v>
      </c>
      <c r="I19" s="166" t="s">
        <v>157</v>
      </c>
      <c r="J19" s="166" t="s">
        <v>158</v>
      </c>
      <c r="K19" s="324" t="s">
        <v>159</v>
      </c>
      <c r="L19" s="326">
        <v>45713</v>
      </c>
      <c r="M19" s="330" t="s">
        <v>168</v>
      </c>
      <c r="N19" s="324" t="s">
        <v>161</v>
      </c>
      <c r="O19" s="324" t="s">
        <v>220</v>
      </c>
      <c r="P19" s="316">
        <f t="shared" si="18"/>
        <v>338</v>
      </c>
      <c r="Q19" s="316">
        <f t="shared" si="5"/>
        <v>70.274509803921561</v>
      </c>
      <c r="R19" s="316">
        <f t="shared" si="6"/>
        <v>5.1999999999999993</v>
      </c>
      <c r="S19" s="315">
        <f t="shared" si="19"/>
        <v>107.52</v>
      </c>
      <c r="T19" s="315">
        <f t="shared" si="20"/>
        <v>6.76</v>
      </c>
      <c r="U19" s="315">
        <v>1</v>
      </c>
      <c r="V19" s="413">
        <f t="shared" si="21"/>
        <v>339.36</v>
      </c>
      <c r="W19" s="413">
        <f t="shared" si="22"/>
        <v>339.36</v>
      </c>
      <c r="X19" s="315" t="s">
        <v>237</v>
      </c>
      <c r="Y19" s="315" t="s">
        <v>280</v>
      </c>
      <c r="Z19" s="413">
        <f t="shared" si="8"/>
        <v>339.36</v>
      </c>
      <c r="AA19" s="315" t="s">
        <v>272</v>
      </c>
      <c r="AB19" s="316">
        <f t="shared" si="23"/>
        <v>336</v>
      </c>
      <c r="AC19" s="324"/>
      <c r="AD19" s="315" t="s">
        <v>274</v>
      </c>
      <c r="AE19" s="315">
        <f t="shared" si="9"/>
        <v>15</v>
      </c>
      <c r="AF19" s="315">
        <v>89</v>
      </c>
      <c r="AG19" s="315" t="s">
        <v>276</v>
      </c>
      <c r="AH19" s="315">
        <f t="shared" si="10"/>
        <v>1010</v>
      </c>
      <c r="AI19" s="315" t="s">
        <v>277</v>
      </c>
      <c r="AJ19" s="315">
        <f t="shared" si="11"/>
        <v>15</v>
      </c>
    </row>
    <row r="20" spans="1:36" outlineLevel="1">
      <c r="A20" s="324" t="s">
        <v>102</v>
      </c>
      <c r="B20" s="324" t="s">
        <v>168</v>
      </c>
      <c r="C20" s="162" t="s">
        <v>79</v>
      </c>
      <c r="D20" s="324" t="s">
        <v>91</v>
      </c>
      <c r="E20" s="325">
        <v>384</v>
      </c>
      <c r="F20" s="324">
        <v>24</v>
      </c>
      <c r="G20" s="324" t="s">
        <v>157</v>
      </c>
      <c r="H20" s="166" t="s">
        <v>92</v>
      </c>
      <c r="I20" s="166" t="s">
        <v>157</v>
      </c>
      <c r="J20" s="166" t="s">
        <v>158</v>
      </c>
      <c r="K20" s="324" t="s">
        <v>159</v>
      </c>
      <c r="L20" s="326">
        <v>45713</v>
      </c>
      <c r="M20" s="330" t="s">
        <v>168</v>
      </c>
      <c r="N20" s="324" t="s">
        <v>161</v>
      </c>
      <c r="O20" s="324" t="s">
        <v>220</v>
      </c>
      <c r="P20" s="316">
        <f t="shared" si="18"/>
        <v>386</v>
      </c>
      <c r="Q20" s="316">
        <f t="shared" si="5"/>
        <v>80.313725490196077</v>
      </c>
      <c r="R20" s="316">
        <f t="shared" si="6"/>
        <v>5.9384615384615378</v>
      </c>
      <c r="S20" s="315">
        <f t="shared" si="19"/>
        <v>122.88</v>
      </c>
      <c r="T20" s="315">
        <f t="shared" si="20"/>
        <v>7.72</v>
      </c>
      <c r="U20" s="315">
        <v>1</v>
      </c>
      <c r="V20" s="413">
        <f t="shared" si="21"/>
        <v>387.84000000000003</v>
      </c>
      <c r="W20" s="413">
        <f t="shared" si="22"/>
        <v>387.84000000000003</v>
      </c>
      <c r="X20" s="315" t="s">
        <v>237</v>
      </c>
      <c r="Y20" s="315" t="s">
        <v>280</v>
      </c>
      <c r="Z20" s="413">
        <f t="shared" si="8"/>
        <v>387.84000000000003</v>
      </c>
      <c r="AA20" s="315" t="s">
        <v>272</v>
      </c>
      <c r="AB20" s="316">
        <f t="shared" si="23"/>
        <v>384</v>
      </c>
      <c r="AC20" s="324"/>
      <c r="AD20" s="315" t="s">
        <v>274</v>
      </c>
      <c r="AE20" s="315">
        <f t="shared" si="9"/>
        <v>17</v>
      </c>
      <c r="AF20" s="315">
        <v>89</v>
      </c>
      <c r="AG20" s="315" t="s">
        <v>276</v>
      </c>
      <c r="AH20" s="315">
        <f t="shared" si="10"/>
        <v>1154</v>
      </c>
      <c r="AI20" s="315" t="s">
        <v>277</v>
      </c>
      <c r="AJ20" s="315">
        <f t="shared" si="11"/>
        <v>17</v>
      </c>
    </row>
    <row r="21" spans="1:36" outlineLevel="1">
      <c r="A21" s="324" t="s">
        <v>103</v>
      </c>
      <c r="B21" s="324" t="s">
        <v>168</v>
      </c>
      <c r="C21" s="162" t="s">
        <v>79</v>
      </c>
      <c r="D21" s="324" t="s">
        <v>94</v>
      </c>
      <c r="E21" s="325">
        <v>360</v>
      </c>
      <c r="F21" s="324">
        <v>24</v>
      </c>
      <c r="G21" s="324" t="s">
        <v>157</v>
      </c>
      <c r="H21" s="166" t="s">
        <v>162</v>
      </c>
      <c r="I21" s="166" t="s">
        <v>157</v>
      </c>
      <c r="J21" s="166" t="s">
        <v>158</v>
      </c>
      <c r="K21" s="324" t="s">
        <v>159</v>
      </c>
      <c r="L21" s="326">
        <v>45713</v>
      </c>
      <c r="M21" s="330" t="s">
        <v>168</v>
      </c>
      <c r="N21" s="324" t="s">
        <v>161</v>
      </c>
      <c r="O21" s="324" t="s">
        <v>220</v>
      </c>
      <c r="P21" s="316">
        <f t="shared" si="18"/>
        <v>362</v>
      </c>
      <c r="Q21" s="316">
        <f t="shared" si="5"/>
        <v>75.294117647058826</v>
      </c>
      <c r="R21" s="316">
        <f t="shared" si="6"/>
        <v>5.569230769230769</v>
      </c>
      <c r="S21" s="315">
        <f t="shared" si="19"/>
        <v>115.2</v>
      </c>
      <c r="T21" s="315">
        <f t="shared" si="20"/>
        <v>7.24</v>
      </c>
      <c r="U21" s="315">
        <v>1</v>
      </c>
      <c r="V21" s="413">
        <f t="shared" si="21"/>
        <v>363.6</v>
      </c>
      <c r="W21" s="413">
        <f t="shared" si="22"/>
        <v>363.6</v>
      </c>
      <c r="X21" s="315" t="s">
        <v>237</v>
      </c>
      <c r="Y21" s="315" t="s">
        <v>280</v>
      </c>
      <c r="Z21" s="413">
        <f t="shared" si="8"/>
        <v>363.6</v>
      </c>
      <c r="AA21" s="315" t="s">
        <v>272</v>
      </c>
      <c r="AB21" s="316">
        <f t="shared" si="23"/>
        <v>360</v>
      </c>
      <c r="AC21" s="324"/>
      <c r="AD21" s="315" t="s">
        <v>274</v>
      </c>
      <c r="AE21" s="315">
        <f t="shared" si="9"/>
        <v>16</v>
      </c>
      <c r="AF21" s="315">
        <v>89</v>
      </c>
      <c r="AG21" s="315" t="s">
        <v>276</v>
      </c>
      <c r="AH21" s="315">
        <f t="shared" si="10"/>
        <v>1082</v>
      </c>
      <c r="AI21" s="315" t="s">
        <v>277</v>
      </c>
      <c r="AJ21" s="315">
        <f t="shared" si="11"/>
        <v>16</v>
      </c>
    </row>
    <row r="22" spans="1:36" outlineLevel="1">
      <c r="A22" s="324" t="s">
        <v>103</v>
      </c>
      <c r="B22" s="324" t="s">
        <v>168</v>
      </c>
      <c r="C22" s="162" t="s">
        <v>79</v>
      </c>
      <c r="D22" s="324" t="s">
        <v>95</v>
      </c>
      <c r="E22" s="325">
        <v>264</v>
      </c>
      <c r="F22" s="324">
        <v>24</v>
      </c>
      <c r="G22" s="324" t="s">
        <v>157</v>
      </c>
      <c r="H22" s="166" t="s">
        <v>163</v>
      </c>
      <c r="I22" s="166" t="s">
        <v>157</v>
      </c>
      <c r="J22" s="166" t="s">
        <v>158</v>
      </c>
      <c r="K22" s="324" t="s">
        <v>159</v>
      </c>
      <c r="L22" s="326">
        <v>45713</v>
      </c>
      <c r="M22" s="330" t="s">
        <v>168</v>
      </c>
      <c r="N22" s="324" t="s">
        <v>161</v>
      </c>
      <c r="O22" s="324" t="s">
        <v>220</v>
      </c>
      <c r="P22" s="316">
        <f t="shared" si="18"/>
        <v>266</v>
      </c>
      <c r="Q22" s="316">
        <f t="shared" si="5"/>
        <v>55.215686274509807</v>
      </c>
      <c r="R22" s="316">
        <f t="shared" si="6"/>
        <v>4.092307692307692</v>
      </c>
      <c r="S22" s="315">
        <f t="shared" si="19"/>
        <v>84.48</v>
      </c>
      <c r="T22" s="315">
        <f t="shared" si="20"/>
        <v>5.32</v>
      </c>
      <c r="U22" s="315">
        <v>1</v>
      </c>
      <c r="V22" s="413">
        <f t="shared" si="21"/>
        <v>266.64</v>
      </c>
      <c r="W22" s="413">
        <f t="shared" si="22"/>
        <v>266.64</v>
      </c>
      <c r="X22" s="315" t="s">
        <v>237</v>
      </c>
      <c r="Y22" s="315" t="s">
        <v>280</v>
      </c>
      <c r="Z22" s="413">
        <f t="shared" si="8"/>
        <v>266.64</v>
      </c>
      <c r="AA22" s="315" t="s">
        <v>272</v>
      </c>
      <c r="AB22" s="316">
        <f t="shared" si="23"/>
        <v>264</v>
      </c>
      <c r="AC22" s="324"/>
      <c r="AD22" s="315" t="s">
        <v>274</v>
      </c>
      <c r="AE22" s="315">
        <f t="shared" si="9"/>
        <v>12</v>
      </c>
      <c r="AF22" s="315">
        <v>89</v>
      </c>
      <c r="AG22" s="315" t="s">
        <v>276</v>
      </c>
      <c r="AH22" s="315">
        <f t="shared" si="10"/>
        <v>794</v>
      </c>
      <c r="AI22" s="315" t="s">
        <v>277</v>
      </c>
      <c r="AJ22" s="315">
        <f t="shared" si="11"/>
        <v>12</v>
      </c>
    </row>
    <row r="23" spans="1:36" outlineLevel="1">
      <c r="A23" s="324" t="s">
        <v>103</v>
      </c>
      <c r="B23" s="324" t="s">
        <v>168</v>
      </c>
      <c r="C23" s="162" t="s">
        <v>79</v>
      </c>
      <c r="D23" s="324" t="s">
        <v>96</v>
      </c>
      <c r="E23" s="325">
        <v>216</v>
      </c>
      <c r="F23" s="324">
        <v>24</v>
      </c>
      <c r="G23" s="324" t="s">
        <v>157</v>
      </c>
      <c r="H23" s="166" t="s">
        <v>164</v>
      </c>
      <c r="I23" s="166" t="s">
        <v>157</v>
      </c>
      <c r="J23" s="166" t="s">
        <v>158</v>
      </c>
      <c r="K23" s="324" t="s">
        <v>159</v>
      </c>
      <c r="L23" s="326">
        <v>45713</v>
      </c>
      <c r="M23" s="330" t="s">
        <v>168</v>
      </c>
      <c r="N23" s="324" t="s">
        <v>161</v>
      </c>
      <c r="O23" s="324" t="s">
        <v>220</v>
      </c>
      <c r="P23" s="316">
        <f t="shared" si="18"/>
        <v>218</v>
      </c>
      <c r="Q23" s="316">
        <f t="shared" si="5"/>
        <v>45.176470588235297</v>
      </c>
      <c r="R23" s="316">
        <f t="shared" si="6"/>
        <v>3.3538461538461539</v>
      </c>
      <c r="S23" s="315">
        <f t="shared" si="19"/>
        <v>69.12</v>
      </c>
      <c r="T23" s="315">
        <f t="shared" si="20"/>
        <v>4.3600000000000003</v>
      </c>
      <c r="U23" s="315">
        <v>1</v>
      </c>
      <c r="V23" s="413">
        <f t="shared" si="21"/>
        <v>218.16</v>
      </c>
      <c r="W23" s="413">
        <f t="shared" si="22"/>
        <v>218.16</v>
      </c>
      <c r="X23" s="315" t="s">
        <v>237</v>
      </c>
      <c r="Y23" s="315" t="s">
        <v>280</v>
      </c>
      <c r="Z23" s="413">
        <f t="shared" si="8"/>
        <v>218.16</v>
      </c>
      <c r="AA23" s="315" t="s">
        <v>273</v>
      </c>
      <c r="AB23" s="316">
        <f t="shared" si="23"/>
        <v>216</v>
      </c>
      <c r="AC23" s="324"/>
      <c r="AD23" s="315" t="s">
        <v>275</v>
      </c>
      <c r="AE23" s="315">
        <f t="shared" si="9"/>
        <v>10</v>
      </c>
      <c r="AF23" s="315">
        <v>97</v>
      </c>
      <c r="AG23" s="315" t="s">
        <v>276</v>
      </c>
      <c r="AH23" s="315">
        <f t="shared" si="10"/>
        <v>650</v>
      </c>
      <c r="AI23" s="315" t="s">
        <v>277</v>
      </c>
      <c r="AJ23" s="315">
        <f t="shared" si="11"/>
        <v>10</v>
      </c>
    </row>
    <row r="24" spans="1:36">
      <c r="A24" s="324"/>
      <c r="B24" s="393" t="s">
        <v>191</v>
      </c>
      <c r="C24" s="162"/>
      <c r="D24" s="324"/>
      <c r="E24" s="325">
        <f>SUBTOTAL(9,E18:E23)</f>
        <v>1800</v>
      </c>
      <c r="F24" s="324"/>
      <c r="G24" s="324"/>
      <c r="H24" s="166"/>
      <c r="I24" s="166"/>
      <c r="J24" s="166"/>
      <c r="K24" s="324"/>
      <c r="L24" s="326"/>
      <c r="M24" s="330"/>
      <c r="N24" s="324"/>
      <c r="O24" s="324"/>
      <c r="P24" s="316">
        <f>SUBTOTAL(9,P18:P23)</f>
        <v>1812</v>
      </c>
      <c r="Q24" s="316">
        <f>SUBTOTAL(9,Q18:Q23)</f>
        <v>376.47058823529409</v>
      </c>
      <c r="R24" s="316">
        <f>SUBTOTAL(9,R18:R23)</f>
        <v>27.876923076923074</v>
      </c>
      <c r="S24" s="315">
        <f>SUBTOTAL(9,S18:S23)</f>
        <v>576</v>
      </c>
      <c r="T24" s="315">
        <f>SUBTOTAL(9,T18:T23)</f>
        <v>36.24</v>
      </c>
      <c r="U24" s="315"/>
      <c r="V24" s="413"/>
      <c r="W24" s="413"/>
      <c r="X24" s="324"/>
      <c r="Y24" s="324"/>
      <c r="Z24" s="324"/>
      <c r="AA24" s="324"/>
      <c r="AB24" s="316"/>
      <c r="AC24" s="324"/>
      <c r="AD24" s="315"/>
      <c r="AE24" s="315"/>
      <c r="AF24" s="324"/>
      <c r="AG24" s="324"/>
      <c r="AH24" s="324"/>
      <c r="AI24" s="324"/>
      <c r="AJ24" s="324"/>
    </row>
    <row r="25" spans="1:36" outlineLevel="1">
      <c r="A25" s="324" t="s">
        <v>104</v>
      </c>
      <c r="B25" s="324" t="s">
        <v>169</v>
      </c>
      <c r="C25" s="162" t="s">
        <v>80</v>
      </c>
      <c r="D25" s="324" t="s">
        <v>91</v>
      </c>
      <c r="E25" s="325">
        <v>192</v>
      </c>
      <c r="F25" s="324">
        <v>24</v>
      </c>
      <c r="G25" s="324" t="s">
        <v>157</v>
      </c>
      <c r="H25" s="166" t="s">
        <v>92</v>
      </c>
      <c r="I25" s="166" t="s">
        <v>157</v>
      </c>
      <c r="J25" s="166" t="s">
        <v>158</v>
      </c>
      <c r="K25" s="324" t="s">
        <v>159</v>
      </c>
      <c r="L25" s="326">
        <v>45713</v>
      </c>
      <c r="M25" s="330" t="s">
        <v>169</v>
      </c>
      <c r="N25" s="324" t="s">
        <v>161</v>
      </c>
      <c r="O25" s="324" t="s">
        <v>235</v>
      </c>
      <c r="P25" s="316">
        <f>+E25+2</f>
        <v>194</v>
      </c>
      <c r="Q25" s="316">
        <f t="shared" si="5"/>
        <v>53.96078431372549</v>
      </c>
      <c r="R25" s="316">
        <f t="shared" si="6"/>
        <v>2.9846153846153842</v>
      </c>
      <c r="S25" s="315">
        <f t="shared" ref="S25:S30" si="24">+E25*0.43</f>
        <v>82.56</v>
      </c>
      <c r="T25" s="315">
        <f t="shared" ref="T25:T30" si="25">+P25*0.02</f>
        <v>3.88</v>
      </c>
      <c r="U25" s="315">
        <v>3</v>
      </c>
      <c r="V25" s="413">
        <f t="shared" ref="V25:V30" si="26">+E25*1.01</f>
        <v>193.92000000000002</v>
      </c>
      <c r="W25" s="413">
        <f t="shared" ref="W25:W30" si="27">+E25*1.01</f>
        <v>193.92000000000002</v>
      </c>
      <c r="X25" s="315" t="s">
        <v>237</v>
      </c>
      <c r="Y25" s="315" t="s">
        <v>280</v>
      </c>
      <c r="Z25" s="413">
        <f t="shared" si="8"/>
        <v>193.92000000000002</v>
      </c>
      <c r="AA25" s="315" t="s">
        <v>272</v>
      </c>
      <c r="AB25" s="316">
        <f t="shared" ref="AB25:AB30" si="28">1*E25</f>
        <v>192</v>
      </c>
      <c r="AC25" s="324"/>
      <c r="AD25" s="315" t="s">
        <v>274</v>
      </c>
      <c r="AE25" s="315">
        <f t="shared" si="9"/>
        <v>9</v>
      </c>
      <c r="AF25" s="324">
        <v>89</v>
      </c>
      <c r="AG25" s="315" t="s">
        <v>276</v>
      </c>
      <c r="AH25" s="315">
        <f t="shared" si="10"/>
        <v>578</v>
      </c>
      <c r="AI25" s="315" t="s">
        <v>277</v>
      </c>
      <c r="AJ25" s="315">
        <f t="shared" si="11"/>
        <v>9</v>
      </c>
    </row>
    <row r="26" spans="1:36" outlineLevel="1">
      <c r="A26" s="324" t="s">
        <v>105</v>
      </c>
      <c r="B26" s="324" t="s">
        <v>169</v>
      </c>
      <c r="C26" s="162" t="s">
        <v>80</v>
      </c>
      <c r="D26" s="324" t="s">
        <v>94</v>
      </c>
      <c r="E26" s="325">
        <v>240</v>
      </c>
      <c r="F26" s="324">
        <v>24</v>
      </c>
      <c r="G26" s="324" t="s">
        <v>157</v>
      </c>
      <c r="H26" s="166" t="s">
        <v>162</v>
      </c>
      <c r="I26" s="166" t="s">
        <v>157</v>
      </c>
      <c r="J26" s="166" t="s">
        <v>158</v>
      </c>
      <c r="K26" s="324" t="s">
        <v>159</v>
      </c>
      <c r="L26" s="326">
        <v>45713</v>
      </c>
      <c r="M26" s="330" t="s">
        <v>169</v>
      </c>
      <c r="N26" s="324" t="s">
        <v>161</v>
      </c>
      <c r="O26" s="324" t="s">
        <v>235</v>
      </c>
      <c r="P26" s="316">
        <f t="shared" ref="P26:P30" si="29">+E26+2</f>
        <v>242</v>
      </c>
      <c r="Q26" s="316">
        <f t="shared" si="5"/>
        <v>67.450980392156865</v>
      </c>
      <c r="R26" s="316">
        <f t="shared" si="6"/>
        <v>3.7230769230769227</v>
      </c>
      <c r="S26" s="315">
        <f t="shared" si="24"/>
        <v>103.2</v>
      </c>
      <c r="T26" s="315">
        <f t="shared" si="25"/>
        <v>4.84</v>
      </c>
      <c r="U26" s="315">
        <v>3</v>
      </c>
      <c r="V26" s="413">
        <f t="shared" si="26"/>
        <v>242.4</v>
      </c>
      <c r="W26" s="413">
        <f t="shared" si="27"/>
        <v>242.4</v>
      </c>
      <c r="X26" s="315" t="s">
        <v>237</v>
      </c>
      <c r="Y26" s="315" t="s">
        <v>280</v>
      </c>
      <c r="Z26" s="413">
        <f t="shared" si="8"/>
        <v>242.4</v>
      </c>
      <c r="AA26" s="315" t="s">
        <v>272</v>
      </c>
      <c r="AB26" s="316">
        <f t="shared" si="28"/>
        <v>240</v>
      </c>
      <c r="AC26" s="324"/>
      <c r="AD26" s="315" t="s">
        <v>274</v>
      </c>
      <c r="AE26" s="315">
        <f t="shared" si="9"/>
        <v>11</v>
      </c>
      <c r="AF26" s="324">
        <v>89</v>
      </c>
      <c r="AG26" s="315" t="s">
        <v>276</v>
      </c>
      <c r="AH26" s="315">
        <f t="shared" si="10"/>
        <v>722</v>
      </c>
      <c r="AI26" s="315" t="s">
        <v>277</v>
      </c>
      <c r="AJ26" s="315">
        <f t="shared" si="11"/>
        <v>11</v>
      </c>
    </row>
    <row r="27" spans="1:36" outlineLevel="1">
      <c r="A27" s="324" t="s">
        <v>105</v>
      </c>
      <c r="B27" s="324" t="s">
        <v>169</v>
      </c>
      <c r="C27" s="162" t="s">
        <v>80</v>
      </c>
      <c r="D27" s="324" t="s">
        <v>95</v>
      </c>
      <c r="E27" s="325">
        <v>288</v>
      </c>
      <c r="F27" s="324">
        <v>24</v>
      </c>
      <c r="G27" s="324" t="s">
        <v>157</v>
      </c>
      <c r="H27" s="166" t="s">
        <v>163</v>
      </c>
      <c r="I27" s="166" t="s">
        <v>157</v>
      </c>
      <c r="J27" s="166" t="s">
        <v>158</v>
      </c>
      <c r="K27" s="324" t="s">
        <v>159</v>
      </c>
      <c r="L27" s="326">
        <v>45713</v>
      </c>
      <c r="M27" s="330" t="s">
        <v>169</v>
      </c>
      <c r="N27" s="324" t="s">
        <v>161</v>
      </c>
      <c r="O27" s="324" t="s">
        <v>235</v>
      </c>
      <c r="P27" s="316">
        <f t="shared" si="29"/>
        <v>290</v>
      </c>
      <c r="Q27" s="316">
        <f t="shared" si="5"/>
        <v>80.941176470588232</v>
      </c>
      <c r="R27" s="316">
        <f t="shared" si="6"/>
        <v>4.4615384615384617</v>
      </c>
      <c r="S27" s="315">
        <f t="shared" si="24"/>
        <v>123.84</v>
      </c>
      <c r="T27" s="315">
        <f t="shared" si="25"/>
        <v>5.8</v>
      </c>
      <c r="U27" s="315">
        <v>3</v>
      </c>
      <c r="V27" s="413">
        <f t="shared" si="26"/>
        <v>290.88</v>
      </c>
      <c r="W27" s="413">
        <f t="shared" si="27"/>
        <v>290.88</v>
      </c>
      <c r="X27" s="315" t="s">
        <v>237</v>
      </c>
      <c r="Y27" s="315" t="s">
        <v>280</v>
      </c>
      <c r="Z27" s="413">
        <f t="shared" si="8"/>
        <v>290.88</v>
      </c>
      <c r="AA27" s="315" t="s">
        <v>272</v>
      </c>
      <c r="AB27" s="316">
        <f t="shared" si="28"/>
        <v>288</v>
      </c>
      <c r="AC27" s="324"/>
      <c r="AD27" s="315" t="s">
        <v>274</v>
      </c>
      <c r="AE27" s="315">
        <f t="shared" si="9"/>
        <v>13</v>
      </c>
      <c r="AF27" s="324">
        <v>89</v>
      </c>
      <c r="AG27" s="315" t="s">
        <v>276</v>
      </c>
      <c r="AH27" s="315">
        <f t="shared" si="10"/>
        <v>866</v>
      </c>
      <c r="AI27" s="315" t="s">
        <v>277</v>
      </c>
      <c r="AJ27" s="315">
        <f t="shared" si="11"/>
        <v>13</v>
      </c>
    </row>
    <row r="28" spans="1:36" outlineLevel="1">
      <c r="A28" s="324" t="s">
        <v>105</v>
      </c>
      <c r="B28" s="324" t="s">
        <v>169</v>
      </c>
      <c r="C28" s="162" t="s">
        <v>80</v>
      </c>
      <c r="D28" s="324" t="s">
        <v>96</v>
      </c>
      <c r="E28" s="325">
        <v>408</v>
      </c>
      <c r="F28" s="324">
        <v>24</v>
      </c>
      <c r="G28" s="324" t="s">
        <v>157</v>
      </c>
      <c r="H28" s="166" t="s">
        <v>164</v>
      </c>
      <c r="I28" s="166" t="s">
        <v>157</v>
      </c>
      <c r="J28" s="166" t="s">
        <v>158</v>
      </c>
      <c r="K28" s="324" t="s">
        <v>159</v>
      </c>
      <c r="L28" s="326">
        <v>45713</v>
      </c>
      <c r="M28" s="330" t="s">
        <v>169</v>
      </c>
      <c r="N28" s="324" t="s">
        <v>161</v>
      </c>
      <c r="O28" s="324" t="s">
        <v>235</v>
      </c>
      <c r="P28" s="316">
        <f t="shared" si="29"/>
        <v>410</v>
      </c>
      <c r="Q28" s="316">
        <f t="shared" si="5"/>
        <v>114.66666666666666</v>
      </c>
      <c r="R28" s="316">
        <f t="shared" si="6"/>
        <v>6.3076923076923066</v>
      </c>
      <c r="S28" s="315">
        <f t="shared" si="24"/>
        <v>175.44</v>
      </c>
      <c r="T28" s="315">
        <f t="shared" si="25"/>
        <v>8.1999999999999993</v>
      </c>
      <c r="U28" s="315">
        <v>3</v>
      </c>
      <c r="V28" s="413">
        <f t="shared" si="26"/>
        <v>412.08</v>
      </c>
      <c r="W28" s="413">
        <f t="shared" si="27"/>
        <v>412.08</v>
      </c>
      <c r="X28" s="315" t="s">
        <v>237</v>
      </c>
      <c r="Y28" s="315" t="s">
        <v>280</v>
      </c>
      <c r="Z28" s="413">
        <f t="shared" si="8"/>
        <v>412.08</v>
      </c>
      <c r="AA28" s="315" t="s">
        <v>273</v>
      </c>
      <c r="AB28" s="316">
        <f t="shared" si="28"/>
        <v>408</v>
      </c>
      <c r="AC28" s="324"/>
      <c r="AD28" s="315" t="s">
        <v>275</v>
      </c>
      <c r="AE28" s="315">
        <f t="shared" si="9"/>
        <v>18</v>
      </c>
      <c r="AF28" s="324">
        <v>97</v>
      </c>
      <c r="AG28" s="315" t="s">
        <v>276</v>
      </c>
      <c r="AH28" s="315">
        <f t="shared" si="10"/>
        <v>1226</v>
      </c>
      <c r="AI28" s="315" t="s">
        <v>277</v>
      </c>
      <c r="AJ28" s="315">
        <f t="shared" si="11"/>
        <v>18</v>
      </c>
    </row>
    <row r="29" spans="1:36" outlineLevel="1">
      <c r="A29" s="324" t="s">
        <v>106</v>
      </c>
      <c r="B29" s="324" t="s">
        <v>169</v>
      </c>
      <c r="C29" s="162" t="s">
        <v>80</v>
      </c>
      <c r="D29" s="324" t="s">
        <v>100</v>
      </c>
      <c r="E29" s="325">
        <v>384</v>
      </c>
      <c r="F29" s="324">
        <v>24</v>
      </c>
      <c r="G29" s="324" t="s">
        <v>157</v>
      </c>
      <c r="H29" s="166" t="s">
        <v>166</v>
      </c>
      <c r="I29" s="166" t="s">
        <v>157</v>
      </c>
      <c r="J29" s="166" t="s">
        <v>158</v>
      </c>
      <c r="K29" s="324" t="s">
        <v>159</v>
      </c>
      <c r="L29" s="326">
        <v>45713</v>
      </c>
      <c r="M29" s="330" t="s">
        <v>169</v>
      </c>
      <c r="N29" s="324" t="s">
        <v>161</v>
      </c>
      <c r="O29" s="324" t="s">
        <v>235</v>
      </c>
      <c r="P29" s="316">
        <f t="shared" si="29"/>
        <v>386</v>
      </c>
      <c r="Q29" s="316">
        <f t="shared" si="5"/>
        <v>107.92156862745098</v>
      </c>
      <c r="R29" s="316">
        <f t="shared" si="6"/>
        <v>5.9384615384615378</v>
      </c>
      <c r="S29" s="315">
        <f t="shared" si="24"/>
        <v>165.12</v>
      </c>
      <c r="T29" s="315">
        <f t="shared" si="25"/>
        <v>7.72</v>
      </c>
      <c r="U29" s="315">
        <v>3</v>
      </c>
      <c r="V29" s="413">
        <f t="shared" si="26"/>
        <v>387.84000000000003</v>
      </c>
      <c r="W29" s="413">
        <f t="shared" si="27"/>
        <v>387.84000000000003</v>
      </c>
      <c r="X29" s="324" t="s">
        <v>238</v>
      </c>
      <c r="Y29" s="315" t="s">
        <v>280</v>
      </c>
      <c r="Z29" s="413">
        <f t="shared" si="8"/>
        <v>387.84000000000003</v>
      </c>
      <c r="AA29" s="315" t="s">
        <v>273</v>
      </c>
      <c r="AB29" s="316">
        <f t="shared" si="28"/>
        <v>384</v>
      </c>
      <c r="AC29" s="324"/>
      <c r="AD29" s="315" t="s">
        <v>275</v>
      </c>
      <c r="AE29" s="315">
        <f t="shared" si="9"/>
        <v>17</v>
      </c>
      <c r="AF29" s="324">
        <v>97</v>
      </c>
      <c r="AG29" s="315" t="s">
        <v>276</v>
      </c>
      <c r="AH29" s="315">
        <f t="shared" si="10"/>
        <v>1154</v>
      </c>
      <c r="AI29" s="315" t="s">
        <v>277</v>
      </c>
      <c r="AJ29" s="315">
        <f t="shared" si="11"/>
        <v>17</v>
      </c>
    </row>
    <row r="30" spans="1:36" outlineLevel="1">
      <c r="A30" s="324" t="s">
        <v>106</v>
      </c>
      <c r="B30" s="324" t="s">
        <v>169</v>
      </c>
      <c r="C30" s="162" t="s">
        <v>80</v>
      </c>
      <c r="D30" s="324" t="s">
        <v>101</v>
      </c>
      <c r="E30" s="325">
        <v>288</v>
      </c>
      <c r="F30" s="324">
        <v>24</v>
      </c>
      <c r="G30" s="324" t="s">
        <v>157</v>
      </c>
      <c r="H30" s="166" t="s">
        <v>167</v>
      </c>
      <c r="I30" s="166" t="s">
        <v>157</v>
      </c>
      <c r="J30" s="166" t="s">
        <v>158</v>
      </c>
      <c r="K30" s="324" t="s">
        <v>159</v>
      </c>
      <c r="L30" s="326">
        <v>45713</v>
      </c>
      <c r="M30" s="330" t="s">
        <v>169</v>
      </c>
      <c r="N30" s="324" t="s">
        <v>161</v>
      </c>
      <c r="O30" s="324" t="s">
        <v>235</v>
      </c>
      <c r="P30" s="316">
        <f t="shared" si="29"/>
        <v>290</v>
      </c>
      <c r="Q30" s="316">
        <f t="shared" si="5"/>
        <v>80.941176470588232</v>
      </c>
      <c r="R30" s="316">
        <f t="shared" si="6"/>
        <v>4.4615384615384617</v>
      </c>
      <c r="S30" s="315">
        <f t="shared" si="24"/>
        <v>123.84</v>
      </c>
      <c r="T30" s="315">
        <f t="shared" si="25"/>
        <v>5.8</v>
      </c>
      <c r="U30" s="315">
        <v>3</v>
      </c>
      <c r="V30" s="413">
        <f t="shared" si="26"/>
        <v>290.88</v>
      </c>
      <c r="W30" s="413">
        <f t="shared" si="27"/>
        <v>290.88</v>
      </c>
      <c r="X30" s="324" t="s">
        <v>238</v>
      </c>
      <c r="Y30" s="315" t="s">
        <v>280</v>
      </c>
      <c r="Z30" s="413">
        <f t="shared" si="8"/>
        <v>290.88</v>
      </c>
      <c r="AA30" s="315" t="s">
        <v>273</v>
      </c>
      <c r="AB30" s="316">
        <f t="shared" si="28"/>
        <v>288</v>
      </c>
      <c r="AC30" s="324"/>
      <c r="AD30" s="315" t="s">
        <v>275</v>
      </c>
      <c r="AE30" s="315">
        <f t="shared" si="9"/>
        <v>13</v>
      </c>
      <c r="AF30" s="324">
        <v>97</v>
      </c>
      <c r="AG30" s="315" t="s">
        <v>276</v>
      </c>
      <c r="AH30" s="315">
        <f t="shared" si="10"/>
        <v>866</v>
      </c>
      <c r="AI30" s="315" t="s">
        <v>277</v>
      </c>
      <c r="AJ30" s="315">
        <f t="shared" si="11"/>
        <v>13</v>
      </c>
    </row>
    <row r="31" spans="1:36">
      <c r="A31" s="7"/>
      <c r="B31" s="402" t="s">
        <v>192</v>
      </c>
      <c r="D31" s="7"/>
      <c r="E31" s="394">
        <f>SUBTOTAL(9,E25:E30)</f>
        <v>1800</v>
      </c>
      <c r="F31" s="7"/>
      <c r="G31" s="7"/>
      <c r="H31" s="395"/>
      <c r="I31" s="395"/>
      <c r="J31" s="395"/>
      <c r="K31" s="7"/>
      <c r="L31" s="396"/>
      <c r="M31" s="1"/>
      <c r="N31" s="7"/>
      <c r="O31" s="7"/>
      <c r="P31" s="400">
        <f>SUBTOTAL(9,P25:P30)</f>
        <v>1812</v>
      </c>
      <c r="Q31" s="400">
        <f>SUBTOTAL(9,Q25:Q30)</f>
        <v>505.88235294117646</v>
      </c>
      <c r="R31" s="400">
        <f>SUBTOTAL(9,R25:R30)</f>
        <v>27.876923076923077</v>
      </c>
      <c r="S31" s="401">
        <f>SUBTOTAL(9,S25:S30)</f>
        <v>774.00000000000011</v>
      </c>
      <c r="T31" s="401">
        <f>SUBTOTAL(9,T25:T30)</f>
        <v>36.239999999999995</v>
      </c>
      <c r="U31" s="401"/>
      <c r="V31" s="414"/>
      <c r="W31" s="401"/>
      <c r="X31" s="7"/>
      <c r="Y31" s="7"/>
      <c r="Z31" s="7"/>
      <c r="AA31" s="7"/>
      <c r="AB31" s="400"/>
      <c r="AC31" s="7"/>
      <c r="AD31" s="401"/>
      <c r="AE31" s="401"/>
      <c r="AF31" s="7"/>
      <c r="AG31" s="7"/>
      <c r="AH31" s="7"/>
      <c r="AI31" s="7"/>
    </row>
    <row r="32" spans="1:36">
      <c r="A32" s="7"/>
      <c r="B32" s="402" t="s">
        <v>193</v>
      </c>
      <c r="D32" s="7"/>
      <c r="E32" s="394">
        <f>SUBTOTAL(9,E4:E30)</f>
        <v>7200</v>
      </c>
      <c r="F32" s="7"/>
      <c r="G32" s="7"/>
      <c r="H32" s="395"/>
      <c r="I32" s="395"/>
      <c r="J32" s="395"/>
      <c r="K32" s="7"/>
      <c r="L32" s="396"/>
      <c r="M32" s="1"/>
      <c r="N32" s="7"/>
      <c r="O32" s="7"/>
      <c r="P32" s="400">
        <f>SUBTOTAL(9,P4:P30)</f>
        <v>7248</v>
      </c>
      <c r="Q32" s="400">
        <f>SUBTOTAL(9,Q4:Q30)</f>
        <v>1764.7058823529414</v>
      </c>
      <c r="R32" s="400">
        <f>SUBTOTAL(9,R4:R30)</f>
        <v>111.50769230769231</v>
      </c>
      <c r="S32" s="401">
        <f>SUBTOTAL(9,S4:S30)</f>
        <v>2700</v>
      </c>
      <c r="T32" s="401">
        <f>SUBTOTAL(9,T4:T30)</f>
        <v>144.96</v>
      </c>
      <c r="U32" s="401"/>
      <c r="V32" s="414"/>
      <c r="W32" s="401"/>
      <c r="X32" s="7"/>
      <c r="Y32" s="7"/>
      <c r="Z32" s="7"/>
      <c r="AA32" s="7"/>
      <c r="AB32" s="400"/>
      <c r="AC32" s="7"/>
      <c r="AD32" s="401"/>
      <c r="AE32" s="401"/>
      <c r="AF32" s="7"/>
      <c r="AG32" s="7"/>
      <c r="AH32" s="7"/>
      <c r="AI32" s="7"/>
    </row>
    <row r="33" spans="1:36">
      <c r="P33" s="400"/>
      <c r="Q33" s="400"/>
      <c r="R33" s="400"/>
    </row>
    <row r="35" spans="1:36">
      <c r="A35" s="433"/>
      <c r="B35" s="434"/>
      <c r="C35" s="434"/>
      <c r="D35" s="433"/>
      <c r="E35" s="433"/>
      <c r="F35" s="433"/>
      <c r="G35" s="433"/>
      <c r="H35" s="433"/>
      <c r="I35" s="433"/>
      <c r="J35" s="433"/>
      <c r="K35" s="433"/>
      <c r="L35" s="433"/>
      <c r="M35" s="433"/>
      <c r="N35" s="433"/>
      <c r="O35" s="433"/>
      <c r="P35" s="433"/>
      <c r="Q35" s="433"/>
      <c r="R35" s="433"/>
      <c r="S35" s="433"/>
      <c r="T35" s="433"/>
      <c r="U35" s="433"/>
      <c r="V35" s="435"/>
      <c r="W35" s="433"/>
      <c r="X35" s="433"/>
      <c r="Y35" s="433"/>
      <c r="Z35" s="433"/>
      <c r="AA35" s="432" t="s">
        <v>272</v>
      </c>
      <c r="AB35" s="433">
        <v>4608</v>
      </c>
      <c r="AC35" s="433"/>
      <c r="AD35" s="432" t="s">
        <v>274</v>
      </c>
      <c r="AE35" s="433">
        <v>208</v>
      </c>
      <c r="AF35" s="432">
        <v>2200</v>
      </c>
      <c r="AG35" s="432" t="s">
        <v>276</v>
      </c>
      <c r="AH35" s="432">
        <v>21648</v>
      </c>
      <c r="AI35" s="432" t="s">
        <v>277</v>
      </c>
      <c r="AJ35" s="432">
        <v>348</v>
      </c>
    </row>
    <row r="36" spans="1:36">
      <c r="A36" s="433"/>
      <c r="B36" s="434"/>
      <c r="C36" s="434"/>
      <c r="D36" s="433"/>
      <c r="E36" s="433"/>
      <c r="F36" s="433"/>
      <c r="G36" s="433"/>
      <c r="H36" s="433"/>
      <c r="I36" s="433"/>
      <c r="J36" s="433"/>
      <c r="K36" s="433"/>
      <c r="L36" s="433"/>
      <c r="M36" s="433"/>
      <c r="N36" s="433"/>
      <c r="O36" s="433"/>
      <c r="P36" s="433"/>
      <c r="Q36" s="433"/>
      <c r="R36" s="433"/>
      <c r="S36" s="433"/>
      <c r="T36" s="433"/>
      <c r="U36" s="433"/>
      <c r="V36" s="435"/>
      <c r="W36" s="433"/>
      <c r="X36" s="433"/>
      <c r="Y36" s="433"/>
      <c r="Z36" s="433"/>
      <c r="AA36" s="432" t="s">
        <v>273</v>
      </c>
      <c r="AB36" s="433">
        <v>2592</v>
      </c>
      <c r="AC36" s="433"/>
      <c r="AD36" s="432" t="s">
        <v>275</v>
      </c>
      <c r="AE36" s="433">
        <v>116</v>
      </c>
      <c r="AF36" s="433"/>
      <c r="AG36" s="433"/>
      <c r="AH36" s="433"/>
      <c r="AI36" s="433"/>
      <c r="AJ36" s="433"/>
    </row>
  </sheetData>
  <autoFilter ref="A2:AI33" xr:uid="{2A9B1B9C-D43C-4F88-969C-D8AE321BC818}"/>
  <mergeCells count="4">
    <mergeCell ref="AA3:AB3"/>
    <mergeCell ref="AD3:AE3"/>
    <mergeCell ref="AG3:AH3"/>
    <mergeCell ref="AI3:AJ3"/>
  </mergeCells>
  <pageMargins left="0.12" right="0.11811023622047245" top="0.74803149606299213" bottom="0.74803149606299213" header="0.31496062992125984" footer="0.31496062992125984"/>
  <pageSetup scale="6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19F9-16A3-4503-AFA1-D214589525D5}">
  <dimension ref="A1:R54"/>
  <sheetViews>
    <sheetView zoomScale="77" zoomScaleNormal="77" workbookViewId="0">
      <selection activeCell="J14" sqref="J14"/>
    </sheetView>
  </sheetViews>
  <sheetFormatPr baseColWidth="10" defaultColWidth="9.109375" defaultRowHeight="14.4"/>
  <cols>
    <col min="1" max="1" width="45.88671875" style="1" customWidth="1"/>
    <col min="2" max="2" width="26.88671875" style="1" customWidth="1"/>
    <col min="3" max="3" width="16.33203125" style="1" customWidth="1"/>
    <col min="4" max="4" width="12.5546875" style="7" customWidth="1"/>
    <col min="5" max="5" width="10.44140625" style="148" customWidth="1"/>
    <col min="6" max="6" width="20.6640625" style="1" customWidth="1"/>
    <col min="7" max="7" width="14.5546875" style="1" customWidth="1"/>
    <col min="8" max="8" width="6.88671875" style="1" customWidth="1"/>
    <col min="9" max="9" width="14.33203125" style="149" customWidth="1"/>
    <col min="10" max="10" width="15.5546875" style="1" customWidth="1"/>
    <col min="11" max="11" width="14" style="1" customWidth="1"/>
    <col min="12" max="12" width="17.33203125" style="1" hidden="1" customWidth="1"/>
    <col min="13" max="13" width="11.5546875" style="1" bestFit="1" customWidth="1"/>
    <col min="14" max="14" width="11.5546875" style="1" customWidth="1"/>
    <col min="15" max="15" width="9.5546875" style="1" hidden="1" customWidth="1"/>
    <col min="16" max="17" width="0" style="1" hidden="1" customWidth="1"/>
    <col min="18" max="18" width="11.109375" style="1" hidden="1" customWidth="1"/>
    <col min="19" max="253" width="9.109375" style="1"/>
    <col min="254" max="254" width="45.88671875" style="1" customWidth="1"/>
    <col min="255" max="255" width="26.88671875" style="1" customWidth="1"/>
    <col min="256" max="256" width="16.33203125" style="1" customWidth="1"/>
    <col min="257" max="257" width="12.5546875" style="1" customWidth="1"/>
    <col min="258" max="258" width="10.44140625" style="1" customWidth="1"/>
    <col min="259" max="259" width="20.6640625" style="1" customWidth="1"/>
    <col min="260" max="260" width="14.5546875" style="1" customWidth="1"/>
    <col min="261" max="261" width="6.88671875" style="1" customWidth="1"/>
    <col min="262" max="262" width="14.33203125" style="1" customWidth="1"/>
    <col min="263" max="263" width="15.5546875" style="1" customWidth="1"/>
    <col min="264" max="264" width="14" style="1" customWidth="1"/>
    <col min="265" max="265" width="25.44140625" style="1" customWidth="1"/>
    <col min="266" max="509" width="9.109375" style="1"/>
    <col min="510" max="510" width="45.88671875" style="1" customWidth="1"/>
    <col min="511" max="511" width="26.88671875" style="1" customWidth="1"/>
    <col min="512" max="512" width="16.33203125" style="1" customWidth="1"/>
    <col min="513" max="513" width="12.5546875" style="1" customWidth="1"/>
    <col min="514" max="514" width="10.44140625" style="1" customWidth="1"/>
    <col min="515" max="515" width="20.6640625" style="1" customWidth="1"/>
    <col min="516" max="516" width="14.5546875" style="1" customWidth="1"/>
    <col min="517" max="517" width="6.88671875" style="1" customWidth="1"/>
    <col min="518" max="518" width="14.33203125" style="1" customWidth="1"/>
    <col min="519" max="519" width="15.5546875" style="1" customWidth="1"/>
    <col min="520" max="520" width="14" style="1" customWidth="1"/>
    <col min="521" max="521" width="25.44140625" style="1" customWidth="1"/>
    <col min="522" max="765" width="9.109375" style="1"/>
    <col min="766" max="766" width="45.88671875" style="1" customWidth="1"/>
    <col min="767" max="767" width="26.88671875" style="1" customWidth="1"/>
    <col min="768" max="768" width="16.33203125" style="1" customWidth="1"/>
    <col min="769" max="769" width="12.5546875" style="1" customWidth="1"/>
    <col min="770" max="770" width="10.44140625" style="1" customWidth="1"/>
    <col min="771" max="771" width="20.6640625" style="1" customWidth="1"/>
    <col min="772" max="772" width="14.5546875" style="1" customWidth="1"/>
    <col min="773" max="773" width="6.88671875" style="1" customWidth="1"/>
    <col min="774" max="774" width="14.33203125" style="1" customWidth="1"/>
    <col min="775" max="775" width="15.5546875" style="1" customWidth="1"/>
    <col min="776" max="776" width="14" style="1" customWidth="1"/>
    <col min="777" max="777" width="25.44140625" style="1" customWidth="1"/>
    <col min="778" max="1021" width="9.109375" style="1"/>
    <col min="1022" max="1022" width="45.88671875" style="1" customWidth="1"/>
    <col min="1023" max="1023" width="26.88671875" style="1" customWidth="1"/>
    <col min="1024" max="1024" width="16.33203125" style="1" customWidth="1"/>
    <col min="1025" max="1025" width="12.5546875" style="1" customWidth="1"/>
    <col min="1026" max="1026" width="10.44140625" style="1" customWidth="1"/>
    <col min="1027" max="1027" width="20.6640625" style="1" customWidth="1"/>
    <col min="1028" max="1028" width="14.5546875" style="1" customWidth="1"/>
    <col min="1029" max="1029" width="6.88671875" style="1" customWidth="1"/>
    <col min="1030" max="1030" width="14.33203125" style="1" customWidth="1"/>
    <col min="1031" max="1031" width="15.5546875" style="1" customWidth="1"/>
    <col min="1032" max="1032" width="14" style="1" customWidth="1"/>
    <col min="1033" max="1033" width="25.44140625" style="1" customWidth="1"/>
    <col min="1034" max="1277" width="9.109375" style="1"/>
    <col min="1278" max="1278" width="45.88671875" style="1" customWidth="1"/>
    <col min="1279" max="1279" width="26.88671875" style="1" customWidth="1"/>
    <col min="1280" max="1280" width="16.33203125" style="1" customWidth="1"/>
    <col min="1281" max="1281" width="12.5546875" style="1" customWidth="1"/>
    <col min="1282" max="1282" width="10.44140625" style="1" customWidth="1"/>
    <col min="1283" max="1283" width="20.6640625" style="1" customWidth="1"/>
    <col min="1284" max="1284" width="14.5546875" style="1" customWidth="1"/>
    <col min="1285" max="1285" width="6.88671875" style="1" customWidth="1"/>
    <col min="1286" max="1286" width="14.33203125" style="1" customWidth="1"/>
    <col min="1287" max="1287" width="15.5546875" style="1" customWidth="1"/>
    <col min="1288" max="1288" width="14" style="1" customWidth="1"/>
    <col min="1289" max="1289" width="25.44140625" style="1" customWidth="1"/>
    <col min="1290" max="1533" width="9.109375" style="1"/>
    <col min="1534" max="1534" width="45.88671875" style="1" customWidth="1"/>
    <col min="1535" max="1535" width="26.88671875" style="1" customWidth="1"/>
    <col min="1536" max="1536" width="16.33203125" style="1" customWidth="1"/>
    <col min="1537" max="1537" width="12.5546875" style="1" customWidth="1"/>
    <col min="1538" max="1538" width="10.44140625" style="1" customWidth="1"/>
    <col min="1539" max="1539" width="20.6640625" style="1" customWidth="1"/>
    <col min="1540" max="1540" width="14.5546875" style="1" customWidth="1"/>
    <col min="1541" max="1541" width="6.88671875" style="1" customWidth="1"/>
    <col min="1542" max="1542" width="14.33203125" style="1" customWidth="1"/>
    <col min="1543" max="1543" width="15.5546875" style="1" customWidth="1"/>
    <col min="1544" max="1544" width="14" style="1" customWidth="1"/>
    <col min="1545" max="1545" width="25.44140625" style="1" customWidth="1"/>
    <col min="1546" max="1789" width="9.109375" style="1"/>
    <col min="1790" max="1790" width="45.88671875" style="1" customWidth="1"/>
    <col min="1791" max="1791" width="26.88671875" style="1" customWidth="1"/>
    <col min="1792" max="1792" width="16.33203125" style="1" customWidth="1"/>
    <col min="1793" max="1793" width="12.5546875" style="1" customWidth="1"/>
    <col min="1794" max="1794" width="10.44140625" style="1" customWidth="1"/>
    <col min="1795" max="1795" width="20.6640625" style="1" customWidth="1"/>
    <col min="1796" max="1796" width="14.5546875" style="1" customWidth="1"/>
    <col min="1797" max="1797" width="6.88671875" style="1" customWidth="1"/>
    <col min="1798" max="1798" width="14.33203125" style="1" customWidth="1"/>
    <col min="1799" max="1799" width="15.5546875" style="1" customWidth="1"/>
    <col min="1800" max="1800" width="14" style="1" customWidth="1"/>
    <col min="1801" max="1801" width="25.44140625" style="1" customWidth="1"/>
    <col min="1802" max="2045" width="9.109375" style="1"/>
    <col min="2046" max="2046" width="45.88671875" style="1" customWidth="1"/>
    <col min="2047" max="2047" width="26.88671875" style="1" customWidth="1"/>
    <col min="2048" max="2048" width="16.33203125" style="1" customWidth="1"/>
    <col min="2049" max="2049" width="12.5546875" style="1" customWidth="1"/>
    <col min="2050" max="2050" width="10.44140625" style="1" customWidth="1"/>
    <col min="2051" max="2051" width="20.6640625" style="1" customWidth="1"/>
    <col min="2052" max="2052" width="14.5546875" style="1" customWidth="1"/>
    <col min="2053" max="2053" width="6.88671875" style="1" customWidth="1"/>
    <col min="2054" max="2054" width="14.33203125" style="1" customWidth="1"/>
    <col min="2055" max="2055" width="15.5546875" style="1" customWidth="1"/>
    <col min="2056" max="2056" width="14" style="1" customWidth="1"/>
    <col min="2057" max="2057" width="25.44140625" style="1" customWidth="1"/>
    <col min="2058" max="2301" width="9.109375" style="1"/>
    <col min="2302" max="2302" width="45.88671875" style="1" customWidth="1"/>
    <col min="2303" max="2303" width="26.88671875" style="1" customWidth="1"/>
    <col min="2304" max="2304" width="16.33203125" style="1" customWidth="1"/>
    <col min="2305" max="2305" width="12.5546875" style="1" customWidth="1"/>
    <col min="2306" max="2306" width="10.44140625" style="1" customWidth="1"/>
    <col min="2307" max="2307" width="20.6640625" style="1" customWidth="1"/>
    <col min="2308" max="2308" width="14.5546875" style="1" customWidth="1"/>
    <col min="2309" max="2309" width="6.88671875" style="1" customWidth="1"/>
    <col min="2310" max="2310" width="14.33203125" style="1" customWidth="1"/>
    <col min="2311" max="2311" width="15.5546875" style="1" customWidth="1"/>
    <col min="2312" max="2312" width="14" style="1" customWidth="1"/>
    <col min="2313" max="2313" width="25.44140625" style="1" customWidth="1"/>
    <col min="2314" max="2557" width="9.109375" style="1"/>
    <col min="2558" max="2558" width="45.88671875" style="1" customWidth="1"/>
    <col min="2559" max="2559" width="26.88671875" style="1" customWidth="1"/>
    <col min="2560" max="2560" width="16.33203125" style="1" customWidth="1"/>
    <col min="2561" max="2561" width="12.5546875" style="1" customWidth="1"/>
    <col min="2562" max="2562" width="10.44140625" style="1" customWidth="1"/>
    <col min="2563" max="2563" width="20.6640625" style="1" customWidth="1"/>
    <col min="2564" max="2564" width="14.5546875" style="1" customWidth="1"/>
    <col min="2565" max="2565" width="6.88671875" style="1" customWidth="1"/>
    <col min="2566" max="2566" width="14.33203125" style="1" customWidth="1"/>
    <col min="2567" max="2567" width="15.5546875" style="1" customWidth="1"/>
    <col min="2568" max="2568" width="14" style="1" customWidth="1"/>
    <col min="2569" max="2569" width="25.44140625" style="1" customWidth="1"/>
    <col min="2570" max="2813" width="9.109375" style="1"/>
    <col min="2814" max="2814" width="45.88671875" style="1" customWidth="1"/>
    <col min="2815" max="2815" width="26.88671875" style="1" customWidth="1"/>
    <col min="2816" max="2816" width="16.33203125" style="1" customWidth="1"/>
    <col min="2817" max="2817" width="12.5546875" style="1" customWidth="1"/>
    <col min="2818" max="2818" width="10.44140625" style="1" customWidth="1"/>
    <col min="2819" max="2819" width="20.6640625" style="1" customWidth="1"/>
    <col min="2820" max="2820" width="14.5546875" style="1" customWidth="1"/>
    <col min="2821" max="2821" width="6.88671875" style="1" customWidth="1"/>
    <col min="2822" max="2822" width="14.33203125" style="1" customWidth="1"/>
    <col min="2823" max="2823" width="15.5546875" style="1" customWidth="1"/>
    <col min="2824" max="2824" width="14" style="1" customWidth="1"/>
    <col min="2825" max="2825" width="25.44140625" style="1" customWidth="1"/>
    <col min="2826" max="3069" width="9.109375" style="1"/>
    <col min="3070" max="3070" width="45.88671875" style="1" customWidth="1"/>
    <col min="3071" max="3071" width="26.88671875" style="1" customWidth="1"/>
    <col min="3072" max="3072" width="16.33203125" style="1" customWidth="1"/>
    <col min="3073" max="3073" width="12.5546875" style="1" customWidth="1"/>
    <col min="3074" max="3074" width="10.44140625" style="1" customWidth="1"/>
    <col min="3075" max="3075" width="20.6640625" style="1" customWidth="1"/>
    <col min="3076" max="3076" width="14.5546875" style="1" customWidth="1"/>
    <col min="3077" max="3077" width="6.88671875" style="1" customWidth="1"/>
    <col min="3078" max="3078" width="14.33203125" style="1" customWidth="1"/>
    <col min="3079" max="3079" width="15.5546875" style="1" customWidth="1"/>
    <col min="3080" max="3080" width="14" style="1" customWidth="1"/>
    <col min="3081" max="3081" width="25.44140625" style="1" customWidth="1"/>
    <col min="3082" max="3325" width="9.109375" style="1"/>
    <col min="3326" max="3326" width="45.88671875" style="1" customWidth="1"/>
    <col min="3327" max="3327" width="26.88671875" style="1" customWidth="1"/>
    <col min="3328" max="3328" width="16.33203125" style="1" customWidth="1"/>
    <col min="3329" max="3329" width="12.5546875" style="1" customWidth="1"/>
    <col min="3330" max="3330" width="10.44140625" style="1" customWidth="1"/>
    <col min="3331" max="3331" width="20.6640625" style="1" customWidth="1"/>
    <col min="3332" max="3332" width="14.5546875" style="1" customWidth="1"/>
    <col min="3333" max="3333" width="6.88671875" style="1" customWidth="1"/>
    <col min="3334" max="3334" width="14.33203125" style="1" customWidth="1"/>
    <col min="3335" max="3335" width="15.5546875" style="1" customWidth="1"/>
    <col min="3336" max="3336" width="14" style="1" customWidth="1"/>
    <col min="3337" max="3337" width="25.44140625" style="1" customWidth="1"/>
    <col min="3338" max="3581" width="9.109375" style="1"/>
    <col min="3582" max="3582" width="45.88671875" style="1" customWidth="1"/>
    <col min="3583" max="3583" width="26.88671875" style="1" customWidth="1"/>
    <col min="3584" max="3584" width="16.33203125" style="1" customWidth="1"/>
    <col min="3585" max="3585" width="12.5546875" style="1" customWidth="1"/>
    <col min="3586" max="3586" width="10.44140625" style="1" customWidth="1"/>
    <col min="3587" max="3587" width="20.6640625" style="1" customWidth="1"/>
    <col min="3588" max="3588" width="14.5546875" style="1" customWidth="1"/>
    <col min="3589" max="3589" width="6.88671875" style="1" customWidth="1"/>
    <col min="3590" max="3590" width="14.33203125" style="1" customWidth="1"/>
    <col min="3591" max="3591" width="15.5546875" style="1" customWidth="1"/>
    <col min="3592" max="3592" width="14" style="1" customWidth="1"/>
    <col min="3593" max="3593" width="25.44140625" style="1" customWidth="1"/>
    <col min="3594" max="3837" width="9.109375" style="1"/>
    <col min="3838" max="3838" width="45.88671875" style="1" customWidth="1"/>
    <col min="3839" max="3839" width="26.88671875" style="1" customWidth="1"/>
    <col min="3840" max="3840" width="16.33203125" style="1" customWidth="1"/>
    <col min="3841" max="3841" width="12.5546875" style="1" customWidth="1"/>
    <col min="3842" max="3842" width="10.44140625" style="1" customWidth="1"/>
    <col min="3843" max="3843" width="20.6640625" style="1" customWidth="1"/>
    <col min="3844" max="3844" width="14.5546875" style="1" customWidth="1"/>
    <col min="3845" max="3845" width="6.88671875" style="1" customWidth="1"/>
    <col min="3846" max="3846" width="14.33203125" style="1" customWidth="1"/>
    <col min="3847" max="3847" width="15.5546875" style="1" customWidth="1"/>
    <col min="3848" max="3848" width="14" style="1" customWidth="1"/>
    <col min="3849" max="3849" width="25.44140625" style="1" customWidth="1"/>
    <col min="3850" max="4093" width="9.109375" style="1"/>
    <col min="4094" max="4094" width="45.88671875" style="1" customWidth="1"/>
    <col min="4095" max="4095" width="26.88671875" style="1" customWidth="1"/>
    <col min="4096" max="4096" width="16.33203125" style="1" customWidth="1"/>
    <col min="4097" max="4097" width="12.5546875" style="1" customWidth="1"/>
    <col min="4098" max="4098" width="10.44140625" style="1" customWidth="1"/>
    <col min="4099" max="4099" width="20.6640625" style="1" customWidth="1"/>
    <col min="4100" max="4100" width="14.5546875" style="1" customWidth="1"/>
    <col min="4101" max="4101" width="6.88671875" style="1" customWidth="1"/>
    <col min="4102" max="4102" width="14.33203125" style="1" customWidth="1"/>
    <col min="4103" max="4103" width="15.5546875" style="1" customWidth="1"/>
    <col min="4104" max="4104" width="14" style="1" customWidth="1"/>
    <col min="4105" max="4105" width="25.44140625" style="1" customWidth="1"/>
    <col min="4106" max="4349" width="9.109375" style="1"/>
    <col min="4350" max="4350" width="45.88671875" style="1" customWidth="1"/>
    <col min="4351" max="4351" width="26.88671875" style="1" customWidth="1"/>
    <col min="4352" max="4352" width="16.33203125" style="1" customWidth="1"/>
    <col min="4353" max="4353" width="12.5546875" style="1" customWidth="1"/>
    <col min="4354" max="4354" width="10.44140625" style="1" customWidth="1"/>
    <col min="4355" max="4355" width="20.6640625" style="1" customWidth="1"/>
    <col min="4356" max="4356" width="14.5546875" style="1" customWidth="1"/>
    <col min="4357" max="4357" width="6.88671875" style="1" customWidth="1"/>
    <col min="4358" max="4358" width="14.33203125" style="1" customWidth="1"/>
    <col min="4359" max="4359" width="15.5546875" style="1" customWidth="1"/>
    <col min="4360" max="4360" width="14" style="1" customWidth="1"/>
    <col min="4361" max="4361" width="25.44140625" style="1" customWidth="1"/>
    <col min="4362" max="4605" width="9.109375" style="1"/>
    <col min="4606" max="4606" width="45.88671875" style="1" customWidth="1"/>
    <col min="4607" max="4607" width="26.88671875" style="1" customWidth="1"/>
    <col min="4608" max="4608" width="16.33203125" style="1" customWidth="1"/>
    <col min="4609" max="4609" width="12.5546875" style="1" customWidth="1"/>
    <col min="4610" max="4610" width="10.44140625" style="1" customWidth="1"/>
    <col min="4611" max="4611" width="20.6640625" style="1" customWidth="1"/>
    <col min="4612" max="4612" width="14.5546875" style="1" customWidth="1"/>
    <col min="4613" max="4613" width="6.88671875" style="1" customWidth="1"/>
    <col min="4614" max="4614" width="14.33203125" style="1" customWidth="1"/>
    <col min="4615" max="4615" width="15.5546875" style="1" customWidth="1"/>
    <col min="4616" max="4616" width="14" style="1" customWidth="1"/>
    <col min="4617" max="4617" width="25.44140625" style="1" customWidth="1"/>
    <col min="4618" max="4861" width="9.109375" style="1"/>
    <col min="4862" max="4862" width="45.88671875" style="1" customWidth="1"/>
    <col min="4863" max="4863" width="26.88671875" style="1" customWidth="1"/>
    <col min="4864" max="4864" width="16.33203125" style="1" customWidth="1"/>
    <col min="4865" max="4865" width="12.5546875" style="1" customWidth="1"/>
    <col min="4866" max="4866" width="10.44140625" style="1" customWidth="1"/>
    <col min="4867" max="4867" width="20.6640625" style="1" customWidth="1"/>
    <col min="4868" max="4868" width="14.5546875" style="1" customWidth="1"/>
    <col min="4869" max="4869" width="6.88671875" style="1" customWidth="1"/>
    <col min="4870" max="4870" width="14.33203125" style="1" customWidth="1"/>
    <col min="4871" max="4871" width="15.5546875" style="1" customWidth="1"/>
    <col min="4872" max="4872" width="14" style="1" customWidth="1"/>
    <col min="4873" max="4873" width="25.44140625" style="1" customWidth="1"/>
    <col min="4874" max="5117" width="9.109375" style="1"/>
    <col min="5118" max="5118" width="45.88671875" style="1" customWidth="1"/>
    <col min="5119" max="5119" width="26.88671875" style="1" customWidth="1"/>
    <col min="5120" max="5120" width="16.33203125" style="1" customWidth="1"/>
    <col min="5121" max="5121" width="12.5546875" style="1" customWidth="1"/>
    <col min="5122" max="5122" width="10.44140625" style="1" customWidth="1"/>
    <col min="5123" max="5123" width="20.6640625" style="1" customWidth="1"/>
    <col min="5124" max="5124" width="14.5546875" style="1" customWidth="1"/>
    <col min="5125" max="5125" width="6.88671875" style="1" customWidth="1"/>
    <col min="5126" max="5126" width="14.33203125" style="1" customWidth="1"/>
    <col min="5127" max="5127" width="15.5546875" style="1" customWidth="1"/>
    <col min="5128" max="5128" width="14" style="1" customWidth="1"/>
    <col min="5129" max="5129" width="25.44140625" style="1" customWidth="1"/>
    <col min="5130" max="5373" width="9.109375" style="1"/>
    <col min="5374" max="5374" width="45.88671875" style="1" customWidth="1"/>
    <col min="5375" max="5375" width="26.88671875" style="1" customWidth="1"/>
    <col min="5376" max="5376" width="16.33203125" style="1" customWidth="1"/>
    <col min="5377" max="5377" width="12.5546875" style="1" customWidth="1"/>
    <col min="5378" max="5378" width="10.44140625" style="1" customWidth="1"/>
    <col min="5379" max="5379" width="20.6640625" style="1" customWidth="1"/>
    <col min="5380" max="5380" width="14.5546875" style="1" customWidth="1"/>
    <col min="5381" max="5381" width="6.88671875" style="1" customWidth="1"/>
    <col min="5382" max="5382" width="14.33203125" style="1" customWidth="1"/>
    <col min="5383" max="5383" width="15.5546875" style="1" customWidth="1"/>
    <col min="5384" max="5384" width="14" style="1" customWidth="1"/>
    <col min="5385" max="5385" width="25.44140625" style="1" customWidth="1"/>
    <col min="5386" max="5629" width="9.109375" style="1"/>
    <col min="5630" max="5630" width="45.88671875" style="1" customWidth="1"/>
    <col min="5631" max="5631" width="26.88671875" style="1" customWidth="1"/>
    <col min="5632" max="5632" width="16.33203125" style="1" customWidth="1"/>
    <col min="5633" max="5633" width="12.5546875" style="1" customWidth="1"/>
    <col min="5634" max="5634" width="10.44140625" style="1" customWidth="1"/>
    <col min="5635" max="5635" width="20.6640625" style="1" customWidth="1"/>
    <col min="5636" max="5636" width="14.5546875" style="1" customWidth="1"/>
    <col min="5637" max="5637" width="6.88671875" style="1" customWidth="1"/>
    <col min="5638" max="5638" width="14.33203125" style="1" customWidth="1"/>
    <col min="5639" max="5639" width="15.5546875" style="1" customWidth="1"/>
    <col min="5640" max="5640" width="14" style="1" customWidth="1"/>
    <col min="5641" max="5641" width="25.44140625" style="1" customWidth="1"/>
    <col min="5642" max="5885" width="9.109375" style="1"/>
    <col min="5886" max="5886" width="45.88671875" style="1" customWidth="1"/>
    <col min="5887" max="5887" width="26.88671875" style="1" customWidth="1"/>
    <col min="5888" max="5888" width="16.33203125" style="1" customWidth="1"/>
    <col min="5889" max="5889" width="12.5546875" style="1" customWidth="1"/>
    <col min="5890" max="5890" width="10.44140625" style="1" customWidth="1"/>
    <col min="5891" max="5891" width="20.6640625" style="1" customWidth="1"/>
    <col min="5892" max="5892" width="14.5546875" style="1" customWidth="1"/>
    <col min="5893" max="5893" width="6.88671875" style="1" customWidth="1"/>
    <col min="5894" max="5894" width="14.33203125" style="1" customWidth="1"/>
    <col min="5895" max="5895" width="15.5546875" style="1" customWidth="1"/>
    <col min="5896" max="5896" width="14" style="1" customWidth="1"/>
    <col min="5897" max="5897" width="25.44140625" style="1" customWidth="1"/>
    <col min="5898" max="6141" width="9.109375" style="1"/>
    <col min="6142" max="6142" width="45.88671875" style="1" customWidth="1"/>
    <col min="6143" max="6143" width="26.88671875" style="1" customWidth="1"/>
    <col min="6144" max="6144" width="16.33203125" style="1" customWidth="1"/>
    <col min="6145" max="6145" width="12.5546875" style="1" customWidth="1"/>
    <col min="6146" max="6146" width="10.44140625" style="1" customWidth="1"/>
    <col min="6147" max="6147" width="20.6640625" style="1" customWidth="1"/>
    <col min="6148" max="6148" width="14.5546875" style="1" customWidth="1"/>
    <col min="6149" max="6149" width="6.88671875" style="1" customWidth="1"/>
    <col min="6150" max="6150" width="14.33203125" style="1" customWidth="1"/>
    <col min="6151" max="6151" width="15.5546875" style="1" customWidth="1"/>
    <col min="6152" max="6152" width="14" style="1" customWidth="1"/>
    <col min="6153" max="6153" width="25.44140625" style="1" customWidth="1"/>
    <col min="6154" max="6397" width="9.109375" style="1"/>
    <col min="6398" max="6398" width="45.88671875" style="1" customWidth="1"/>
    <col min="6399" max="6399" width="26.88671875" style="1" customWidth="1"/>
    <col min="6400" max="6400" width="16.33203125" style="1" customWidth="1"/>
    <col min="6401" max="6401" width="12.5546875" style="1" customWidth="1"/>
    <col min="6402" max="6402" width="10.44140625" style="1" customWidth="1"/>
    <col min="6403" max="6403" width="20.6640625" style="1" customWidth="1"/>
    <col min="6404" max="6404" width="14.5546875" style="1" customWidth="1"/>
    <col min="6405" max="6405" width="6.88671875" style="1" customWidth="1"/>
    <col min="6406" max="6406" width="14.33203125" style="1" customWidth="1"/>
    <col min="6407" max="6407" width="15.5546875" style="1" customWidth="1"/>
    <col min="6408" max="6408" width="14" style="1" customWidth="1"/>
    <col min="6409" max="6409" width="25.44140625" style="1" customWidth="1"/>
    <col min="6410" max="6653" width="9.109375" style="1"/>
    <col min="6654" max="6654" width="45.88671875" style="1" customWidth="1"/>
    <col min="6655" max="6655" width="26.88671875" style="1" customWidth="1"/>
    <col min="6656" max="6656" width="16.33203125" style="1" customWidth="1"/>
    <col min="6657" max="6657" width="12.5546875" style="1" customWidth="1"/>
    <col min="6658" max="6658" width="10.44140625" style="1" customWidth="1"/>
    <col min="6659" max="6659" width="20.6640625" style="1" customWidth="1"/>
    <col min="6660" max="6660" width="14.5546875" style="1" customWidth="1"/>
    <col min="6661" max="6661" width="6.88671875" style="1" customWidth="1"/>
    <col min="6662" max="6662" width="14.33203125" style="1" customWidth="1"/>
    <col min="6663" max="6663" width="15.5546875" style="1" customWidth="1"/>
    <col min="6664" max="6664" width="14" style="1" customWidth="1"/>
    <col min="6665" max="6665" width="25.44140625" style="1" customWidth="1"/>
    <col min="6666" max="6909" width="9.109375" style="1"/>
    <col min="6910" max="6910" width="45.88671875" style="1" customWidth="1"/>
    <col min="6911" max="6911" width="26.88671875" style="1" customWidth="1"/>
    <col min="6912" max="6912" width="16.33203125" style="1" customWidth="1"/>
    <col min="6913" max="6913" width="12.5546875" style="1" customWidth="1"/>
    <col min="6914" max="6914" width="10.44140625" style="1" customWidth="1"/>
    <col min="6915" max="6915" width="20.6640625" style="1" customWidth="1"/>
    <col min="6916" max="6916" width="14.5546875" style="1" customWidth="1"/>
    <col min="6917" max="6917" width="6.88671875" style="1" customWidth="1"/>
    <col min="6918" max="6918" width="14.33203125" style="1" customWidth="1"/>
    <col min="6919" max="6919" width="15.5546875" style="1" customWidth="1"/>
    <col min="6920" max="6920" width="14" style="1" customWidth="1"/>
    <col min="6921" max="6921" width="25.44140625" style="1" customWidth="1"/>
    <col min="6922" max="7165" width="9.109375" style="1"/>
    <col min="7166" max="7166" width="45.88671875" style="1" customWidth="1"/>
    <col min="7167" max="7167" width="26.88671875" style="1" customWidth="1"/>
    <col min="7168" max="7168" width="16.33203125" style="1" customWidth="1"/>
    <col min="7169" max="7169" width="12.5546875" style="1" customWidth="1"/>
    <col min="7170" max="7170" width="10.44140625" style="1" customWidth="1"/>
    <col min="7171" max="7171" width="20.6640625" style="1" customWidth="1"/>
    <col min="7172" max="7172" width="14.5546875" style="1" customWidth="1"/>
    <col min="7173" max="7173" width="6.88671875" style="1" customWidth="1"/>
    <col min="7174" max="7174" width="14.33203125" style="1" customWidth="1"/>
    <col min="7175" max="7175" width="15.5546875" style="1" customWidth="1"/>
    <col min="7176" max="7176" width="14" style="1" customWidth="1"/>
    <col min="7177" max="7177" width="25.44140625" style="1" customWidth="1"/>
    <col min="7178" max="7421" width="9.109375" style="1"/>
    <col min="7422" max="7422" width="45.88671875" style="1" customWidth="1"/>
    <col min="7423" max="7423" width="26.88671875" style="1" customWidth="1"/>
    <col min="7424" max="7424" width="16.33203125" style="1" customWidth="1"/>
    <col min="7425" max="7425" width="12.5546875" style="1" customWidth="1"/>
    <col min="7426" max="7426" width="10.44140625" style="1" customWidth="1"/>
    <col min="7427" max="7427" width="20.6640625" style="1" customWidth="1"/>
    <col min="7428" max="7428" width="14.5546875" style="1" customWidth="1"/>
    <col min="7429" max="7429" width="6.88671875" style="1" customWidth="1"/>
    <col min="7430" max="7430" width="14.33203125" style="1" customWidth="1"/>
    <col min="7431" max="7431" width="15.5546875" style="1" customWidth="1"/>
    <col min="7432" max="7432" width="14" style="1" customWidth="1"/>
    <col min="7433" max="7433" width="25.44140625" style="1" customWidth="1"/>
    <col min="7434" max="7677" width="9.109375" style="1"/>
    <col min="7678" max="7678" width="45.88671875" style="1" customWidth="1"/>
    <col min="7679" max="7679" width="26.88671875" style="1" customWidth="1"/>
    <col min="7680" max="7680" width="16.33203125" style="1" customWidth="1"/>
    <col min="7681" max="7681" width="12.5546875" style="1" customWidth="1"/>
    <col min="7682" max="7682" width="10.44140625" style="1" customWidth="1"/>
    <col min="7683" max="7683" width="20.6640625" style="1" customWidth="1"/>
    <col min="7684" max="7684" width="14.5546875" style="1" customWidth="1"/>
    <col min="7685" max="7685" width="6.88671875" style="1" customWidth="1"/>
    <col min="7686" max="7686" width="14.33203125" style="1" customWidth="1"/>
    <col min="7687" max="7687" width="15.5546875" style="1" customWidth="1"/>
    <col min="7688" max="7688" width="14" style="1" customWidth="1"/>
    <col min="7689" max="7689" width="25.44140625" style="1" customWidth="1"/>
    <col min="7690" max="7933" width="9.109375" style="1"/>
    <col min="7934" max="7934" width="45.88671875" style="1" customWidth="1"/>
    <col min="7935" max="7935" width="26.88671875" style="1" customWidth="1"/>
    <col min="7936" max="7936" width="16.33203125" style="1" customWidth="1"/>
    <col min="7937" max="7937" width="12.5546875" style="1" customWidth="1"/>
    <col min="7938" max="7938" width="10.44140625" style="1" customWidth="1"/>
    <col min="7939" max="7939" width="20.6640625" style="1" customWidth="1"/>
    <col min="7940" max="7940" width="14.5546875" style="1" customWidth="1"/>
    <col min="7941" max="7941" width="6.88671875" style="1" customWidth="1"/>
    <col min="7942" max="7942" width="14.33203125" style="1" customWidth="1"/>
    <col min="7943" max="7943" width="15.5546875" style="1" customWidth="1"/>
    <col min="7944" max="7944" width="14" style="1" customWidth="1"/>
    <col min="7945" max="7945" width="25.44140625" style="1" customWidth="1"/>
    <col min="7946" max="8189" width="9.109375" style="1"/>
    <col min="8190" max="8190" width="45.88671875" style="1" customWidth="1"/>
    <col min="8191" max="8191" width="26.88671875" style="1" customWidth="1"/>
    <col min="8192" max="8192" width="16.33203125" style="1" customWidth="1"/>
    <col min="8193" max="8193" width="12.5546875" style="1" customWidth="1"/>
    <col min="8194" max="8194" width="10.44140625" style="1" customWidth="1"/>
    <col min="8195" max="8195" width="20.6640625" style="1" customWidth="1"/>
    <col min="8196" max="8196" width="14.5546875" style="1" customWidth="1"/>
    <col min="8197" max="8197" width="6.88671875" style="1" customWidth="1"/>
    <col min="8198" max="8198" width="14.33203125" style="1" customWidth="1"/>
    <col min="8199" max="8199" width="15.5546875" style="1" customWidth="1"/>
    <col min="8200" max="8200" width="14" style="1" customWidth="1"/>
    <col min="8201" max="8201" width="25.44140625" style="1" customWidth="1"/>
    <col min="8202" max="8445" width="9.109375" style="1"/>
    <col min="8446" max="8446" width="45.88671875" style="1" customWidth="1"/>
    <col min="8447" max="8447" width="26.88671875" style="1" customWidth="1"/>
    <col min="8448" max="8448" width="16.33203125" style="1" customWidth="1"/>
    <col min="8449" max="8449" width="12.5546875" style="1" customWidth="1"/>
    <col min="8450" max="8450" width="10.44140625" style="1" customWidth="1"/>
    <col min="8451" max="8451" width="20.6640625" style="1" customWidth="1"/>
    <col min="8452" max="8452" width="14.5546875" style="1" customWidth="1"/>
    <col min="8453" max="8453" width="6.88671875" style="1" customWidth="1"/>
    <col min="8454" max="8454" width="14.33203125" style="1" customWidth="1"/>
    <col min="8455" max="8455" width="15.5546875" style="1" customWidth="1"/>
    <col min="8456" max="8456" width="14" style="1" customWidth="1"/>
    <col min="8457" max="8457" width="25.44140625" style="1" customWidth="1"/>
    <col min="8458" max="8701" width="9.109375" style="1"/>
    <col min="8702" max="8702" width="45.88671875" style="1" customWidth="1"/>
    <col min="8703" max="8703" width="26.88671875" style="1" customWidth="1"/>
    <col min="8704" max="8704" width="16.33203125" style="1" customWidth="1"/>
    <col min="8705" max="8705" width="12.5546875" style="1" customWidth="1"/>
    <col min="8706" max="8706" width="10.44140625" style="1" customWidth="1"/>
    <col min="8707" max="8707" width="20.6640625" style="1" customWidth="1"/>
    <col min="8708" max="8708" width="14.5546875" style="1" customWidth="1"/>
    <col min="8709" max="8709" width="6.88671875" style="1" customWidth="1"/>
    <col min="8710" max="8710" width="14.33203125" style="1" customWidth="1"/>
    <col min="8711" max="8711" width="15.5546875" style="1" customWidth="1"/>
    <col min="8712" max="8712" width="14" style="1" customWidth="1"/>
    <col min="8713" max="8713" width="25.44140625" style="1" customWidth="1"/>
    <col min="8714" max="8957" width="9.109375" style="1"/>
    <col min="8958" max="8958" width="45.88671875" style="1" customWidth="1"/>
    <col min="8959" max="8959" width="26.88671875" style="1" customWidth="1"/>
    <col min="8960" max="8960" width="16.33203125" style="1" customWidth="1"/>
    <col min="8961" max="8961" width="12.5546875" style="1" customWidth="1"/>
    <col min="8962" max="8962" width="10.44140625" style="1" customWidth="1"/>
    <col min="8963" max="8963" width="20.6640625" style="1" customWidth="1"/>
    <col min="8964" max="8964" width="14.5546875" style="1" customWidth="1"/>
    <col min="8965" max="8965" width="6.88671875" style="1" customWidth="1"/>
    <col min="8966" max="8966" width="14.33203125" style="1" customWidth="1"/>
    <col min="8967" max="8967" width="15.5546875" style="1" customWidth="1"/>
    <col min="8968" max="8968" width="14" style="1" customWidth="1"/>
    <col min="8969" max="8969" width="25.44140625" style="1" customWidth="1"/>
    <col min="8970" max="9213" width="9.109375" style="1"/>
    <col min="9214" max="9214" width="45.88671875" style="1" customWidth="1"/>
    <col min="9215" max="9215" width="26.88671875" style="1" customWidth="1"/>
    <col min="9216" max="9216" width="16.33203125" style="1" customWidth="1"/>
    <col min="9217" max="9217" width="12.5546875" style="1" customWidth="1"/>
    <col min="9218" max="9218" width="10.44140625" style="1" customWidth="1"/>
    <col min="9219" max="9219" width="20.6640625" style="1" customWidth="1"/>
    <col min="9220" max="9220" width="14.5546875" style="1" customWidth="1"/>
    <col min="9221" max="9221" width="6.88671875" style="1" customWidth="1"/>
    <col min="9222" max="9222" width="14.33203125" style="1" customWidth="1"/>
    <col min="9223" max="9223" width="15.5546875" style="1" customWidth="1"/>
    <col min="9224" max="9224" width="14" style="1" customWidth="1"/>
    <col min="9225" max="9225" width="25.44140625" style="1" customWidth="1"/>
    <col min="9226" max="9469" width="9.109375" style="1"/>
    <col min="9470" max="9470" width="45.88671875" style="1" customWidth="1"/>
    <col min="9471" max="9471" width="26.88671875" style="1" customWidth="1"/>
    <col min="9472" max="9472" width="16.33203125" style="1" customWidth="1"/>
    <col min="9473" max="9473" width="12.5546875" style="1" customWidth="1"/>
    <col min="9474" max="9474" width="10.44140625" style="1" customWidth="1"/>
    <col min="9475" max="9475" width="20.6640625" style="1" customWidth="1"/>
    <col min="9476" max="9476" width="14.5546875" style="1" customWidth="1"/>
    <col min="9477" max="9477" width="6.88671875" style="1" customWidth="1"/>
    <col min="9478" max="9478" width="14.33203125" style="1" customWidth="1"/>
    <col min="9479" max="9479" width="15.5546875" style="1" customWidth="1"/>
    <col min="9480" max="9480" width="14" style="1" customWidth="1"/>
    <col min="9481" max="9481" width="25.44140625" style="1" customWidth="1"/>
    <col min="9482" max="9725" width="9.109375" style="1"/>
    <col min="9726" max="9726" width="45.88671875" style="1" customWidth="1"/>
    <col min="9727" max="9727" width="26.88671875" style="1" customWidth="1"/>
    <col min="9728" max="9728" width="16.33203125" style="1" customWidth="1"/>
    <col min="9729" max="9729" width="12.5546875" style="1" customWidth="1"/>
    <col min="9730" max="9730" width="10.44140625" style="1" customWidth="1"/>
    <col min="9731" max="9731" width="20.6640625" style="1" customWidth="1"/>
    <col min="9732" max="9732" width="14.5546875" style="1" customWidth="1"/>
    <col min="9733" max="9733" width="6.88671875" style="1" customWidth="1"/>
    <col min="9734" max="9734" width="14.33203125" style="1" customWidth="1"/>
    <col min="9735" max="9735" width="15.5546875" style="1" customWidth="1"/>
    <col min="9736" max="9736" width="14" style="1" customWidth="1"/>
    <col min="9737" max="9737" width="25.44140625" style="1" customWidth="1"/>
    <col min="9738" max="9981" width="9.109375" style="1"/>
    <col min="9982" max="9982" width="45.88671875" style="1" customWidth="1"/>
    <col min="9983" max="9983" width="26.88671875" style="1" customWidth="1"/>
    <col min="9984" max="9984" width="16.33203125" style="1" customWidth="1"/>
    <col min="9985" max="9985" width="12.5546875" style="1" customWidth="1"/>
    <col min="9986" max="9986" width="10.44140625" style="1" customWidth="1"/>
    <col min="9987" max="9987" width="20.6640625" style="1" customWidth="1"/>
    <col min="9988" max="9988" width="14.5546875" style="1" customWidth="1"/>
    <col min="9989" max="9989" width="6.88671875" style="1" customWidth="1"/>
    <col min="9990" max="9990" width="14.33203125" style="1" customWidth="1"/>
    <col min="9991" max="9991" width="15.5546875" style="1" customWidth="1"/>
    <col min="9992" max="9992" width="14" style="1" customWidth="1"/>
    <col min="9993" max="9993" width="25.44140625" style="1" customWidth="1"/>
    <col min="9994" max="10237" width="9.109375" style="1"/>
    <col min="10238" max="10238" width="45.88671875" style="1" customWidth="1"/>
    <col min="10239" max="10239" width="26.88671875" style="1" customWidth="1"/>
    <col min="10240" max="10240" width="16.33203125" style="1" customWidth="1"/>
    <col min="10241" max="10241" width="12.5546875" style="1" customWidth="1"/>
    <col min="10242" max="10242" width="10.44140625" style="1" customWidth="1"/>
    <col min="10243" max="10243" width="20.6640625" style="1" customWidth="1"/>
    <col min="10244" max="10244" width="14.5546875" style="1" customWidth="1"/>
    <col min="10245" max="10245" width="6.88671875" style="1" customWidth="1"/>
    <col min="10246" max="10246" width="14.33203125" style="1" customWidth="1"/>
    <col min="10247" max="10247" width="15.5546875" style="1" customWidth="1"/>
    <col min="10248" max="10248" width="14" style="1" customWidth="1"/>
    <col min="10249" max="10249" width="25.44140625" style="1" customWidth="1"/>
    <col min="10250" max="10493" width="9.109375" style="1"/>
    <col min="10494" max="10494" width="45.88671875" style="1" customWidth="1"/>
    <col min="10495" max="10495" width="26.88671875" style="1" customWidth="1"/>
    <col min="10496" max="10496" width="16.33203125" style="1" customWidth="1"/>
    <col min="10497" max="10497" width="12.5546875" style="1" customWidth="1"/>
    <col min="10498" max="10498" width="10.44140625" style="1" customWidth="1"/>
    <col min="10499" max="10499" width="20.6640625" style="1" customWidth="1"/>
    <col min="10500" max="10500" width="14.5546875" style="1" customWidth="1"/>
    <col min="10501" max="10501" width="6.88671875" style="1" customWidth="1"/>
    <col min="10502" max="10502" width="14.33203125" style="1" customWidth="1"/>
    <col min="10503" max="10503" width="15.5546875" style="1" customWidth="1"/>
    <col min="10504" max="10504" width="14" style="1" customWidth="1"/>
    <col min="10505" max="10505" width="25.44140625" style="1" customWidth="1"/>
    <col min="10506" max="10749" width="9.109375" style="1"/>
    <col min="10750" max="10750" width="45.88671875" style="1" customWidth="1"/>
    <col min="10751" max="10751" width="26.88671875" style="1" customWidth="1"/>
    <col min="10752" max="10752" width="16.33203125" style="1" customWidth="1"/>
    <col min="10753" max="10753" width="12.5546875" style="1" customWidth="1"/>
    <col min="10754" max="10754" width="10.44140625" style="1" customWidth="1"/>
    <col min="10755" max="10755" width="20.6640625" style="1" customWidth="1"/>
    <col min="10756" max="10756" width="14.5546875" style="1" customWidth="1"/>
    <col min="10757" max="10757" width="6.88671875" style="1" customWidth="1"/>
    <col min="10758" max="10758" width="14.33203125" style="1" customWidth="1"/>
    <col min="10759" max="10759" width="15.5546875" style="1" customWidth="1"/>
    <col min="10760" max="10760" width="14" style="1" customWidth="1"/>
    <col min="10761" max="10761" width="25.44140625" style="1" customWidth="1"/>
    <col min="10762" max="11005" width="9.109375" style="1"/>
    <col min="11006" max="11006" width="45.88671875" style="1" customWidth="1"/>
    <col min="11007" max="11007" width="26.88671875" style="1" customWidth="1"/>
    <col min="11008" max="11008" width="16.33203125" style="1" customWidth="1"/>
    <col min="11009" max="11009" width="12.5546875" style="1" customWidth="1"/>
    <col min="11010" max="11010" width="10.44140625" style="1" customWidth="1"/>
    <col min="11011" max="11011" width="20.6640625" style="1" customWidth="1"/>
    <col min="11012" max="11012" width="14.5546875" style="1" customWidth="1"/>
    <col min="11013" max="11013" width="6.88671875" style="1" customWidth="1"/>
    <col min="11014" max="11014" width="14.33203125" style="1" customWidth="1"/>
    <col min="11015" max="11015" width="15.5546875" style="1" customWidth="1"/>
    <col min="11016" max="11016" width="14" style="1" customWidth="1"/>
    <col min="11017" max="11017" width="25.44140625" style="1" customWidth="1"/>
    <col min="11018" max="11261" width="9.109375" style="1"/>
    <col min="11262" max="11262" width="45.88671875" style="1" customWidth="1"/>
    <col min="11263" max="11263" width="26.88671875" style="1" customWidth="1"/>
    <col min="11264" max="11264" width="16.33203125" style="1" customWidth="1"/>
    <col min="11265" max="11265" width="12.5546875" style="1" customWidth="1"/>
    <col min="11266" max="11266" width="10.44140625" style="1" customWidth="1"/>
    <col min="11267" max="11267" width="20.6640625" style="1" customWidth="1"/>
    <col min="11268" max="11268" width="14.5546875" style="1" customWidth="1"/>
    <col min="11269" max="11269" width="6.88671875" style="1" customWidth="1"/>
    <col min="11270" max="11270" width="14.33203125" style="1" customWidth="1"/>
    <col min="11271" max="11271" width="15.5546875" style="1" customWidth="1"/>
    <col min="11272" max="11272" width="14" style="1" customWidth="1"/>
    <col min="11273" max="11273" width="25.44140625" style="1" customWidth="1"/>
    <col min="11274" max="11517" width="9.109375" style="1"/>
    <col min="11518" max="11518" width="45.88671875" style="1" customWidth="1"/>
    <col min="11519" max="11519" width="26.88671875" style="1" customWidth="1"/>
    <col min="11520" max="11520" width="16.33203125" style="1" customWidth="1"/>
    <col min="11521" max="11521" width="12.5546875" style="1" customWidth="1"/>
    <col min="11522" max="11522" width="10.44140625" style="1" customWidth="1"/>
    <col min="11523" max="11523" width="20.6640625" style="1" customWidth="1"/>
    <col min="11524" max="11524" width="14.5546875" style="1" customWidth="1"/>
    <col min="11525" max="11525" width="6.88671875" style="1" customWidth="1"/>
    <col min="11526" max="11526" width="14.33203125" style="1" customWidth="1"/>
    <col min="11527" max="11527" width="15.5546875" style="1" customWidth="1"/>
    <col min="11528" max="11528" width="14" style="1" customWidth="1"/>
    <col min="11529" max="11529" width="25.44140625" style="1" customWidth="1"/>
    <col min="11530" max="11773" width="9.109375" style="1"/>
    <col min="11774" max="11774" width="45.88671875" style="1" customWidth="1"/>
    <col min="11775" max="11775" width="26.88671875" style="1" customWidth="1"/>
    <col min="11776" max="11776" width="16.33203125" style="1" customWidth="1"/>
    <col min="11777" max="11777" width="12.5546875" style="1" customWidth="1"/>
    <col min="11778" max="11778" width="10.44140625" style="1" customWidth="1"/>
    <col min="11779" max="11779" width="20.6640625" style="1" customWidth="1"/>
    <col min="11780" max="11780" width="14.5546875" style="1" customWidth="1"/>
    <col min="11781" max="11781" width="6.88671875" style="1" customWidth="1"/>
    <col min="11782" max="11782" width="14.33203125" style="1" customWidth="1"/>
    <col min="11783" max="11783" width="15.5546875" style="1" customWidth="1"/>
    <col min="11784" max="11784" width="14" style="1" customWidth="1"/>
    <col min="11785" max="11785" width="25.44140625" style="1" customWidth="1"/>
    <col min="11786" max="12029" width="9.109375" style="1"/>
    <col min="12030" max="12030" width="45.88671875" style="1" customWidth="1"/>
    <col min="12031" max="12031" width="26.88671875" style="1" customWidth="1"/>
    <col min="12032" max="12032" width="16.33203125" style="1" customWidth="1"/>
    <col min="12033" max="12033" width="12.5546875" style="1" customWidth="1"/>
    <col min="12034" max="12034" width="10.44140625" style="1" customWidth="1"/>
    <col min="12035" max="12035" width="20.6640625" style="1" customWidth="1"/>
    <col min="12036" max="12036" width="14.5546875" style="1" customWidth="1"/>
    <col min="12037" max="12037" width="6.88671875" style="1" customWidth="1"/>
    <col min="12038" max="12038" width="14.33203125" style="1" customWidth="1"/>
    <col min="12039" max="12039" width="15.5546875" style="1" customWidth="1"/>
    <col min="12040" max="12040" width="14" style="1" customWidth="1"/>
    <col min="12041" max="12041" width="25.44140625" style="1" customWidth="1"/>
    <col min="12042" max="12285" width="9.109375" style="1"/>
    <col min="12286" max="12286" width="45.88671875" style="1" customWidth="1"/>
    <col min="12287" max="12287" width="26.88671875" style="1" customWidth="1"/>
    <col min="12288" max="12288" width="16.33203125" style="1" customWidth="1"/>
    <col min="12289" max="12289" width="12.5546875" style="1" customWidth="1"/>
    <col min="12290" max="12290" width="10.44140625" style="1" customWidth="1"/>
    <col min="12291" max="12291" width="20.6640625" style="1" customWidth="1"/>
    <col min="12292" max="12292" width="14.5546875" style="1" customWidth="1"/>
    <col min="12293" max="12293" width="6.88671875" style="1" customWidth="1"/>
    <col min="12294" max="12294" width="14.33203125" style="1" customWidth="1"/>
    <col min="12295" max="12295" width="15.5546875" style="1" customWidth="1"/>
    <col min="12296" max="12296" width="14" style="1" customWidth="1"/>
    <col min="12297" max="12297" width="25.44140625" style="1" customWidth="1"/>
    <col min="12298" max="12541" width="9.109375" style="1"/>
    <col min="12542" max="12542" width="45.88671875" style="1" customWidth="1"/>
    <col min="12543" max="12543" width="26.88671875" style="1" customWidth="1"/>
    <col min="12544" max="12544" width="16.33203125" style="1" customWidth="1"/>
    <col min="12545" max="12545" width="12.5546875" style="1" customWidth="1"/>
    <col min="12546" max="12546" width="10.44140625" style="1" customWidth="1"/>
    <col min="12547" max="12547" width="20.6640625" style="1" customWidth="1"/>
    <col min="12548" max="12548" width="14.5546875" style="1" customWidth="1"/>
    <col min="12549" max="12549" width="6.88671875" style="1" customWidth="1"/>
    <col min="12550" max="12550" width="14.33203125" style="1" customWidth="1"/>
    <col min="12551" max="12551" width="15.5546875" style="1" customWidth="1"/>
    <col min="12552" max="12552" width="14" style="1" customWidth="1"/>
    <col min="12553" max="12553" width="25.44140625" style="1" customWidth="1"/>
    <col min="12554" max="12797" width="9.109375" style="1"/>
    <col min="12798" max="12798" width="45.88671875" style="1" customWidth="1"/>
    <col min="12799" max="12799" width="26.88671875" style="1" customWidth="1"/>
    <col min="12800" max="12800" width="16.33203125" style="1" customWidth="1"/>
    <col min="12801" max="12801" width="12.5546875" style="1" customWidth="1"/>
    <col min="12802" max="12802" width="10.44140625" style="1" customWidth="1"/>
    <col min="12803" max="12803" width="20.6640625" style="1" customWidth="1"/>
    <col min="12804" max="12804" width="14.5546875" style="1" customWidth="1"/>
    <col min="12805" max="12805" width="6.88671875" style="1" customWidth="1"/>
    <col min="12806" max="12806" width="14.33203125" style="1" customWidth="1"/>
    <col min="12807" max="12807" width="15.5546875" style="1" customWidth="1"/>
    <col min="12808" max="12808" width="14" style="1" customWidth="1"/>
    <col min="12809" max="12809" width="25.44140625" style="1" customWidth="1"/>
    <col min="12810" max="13053" width="9.109375" style="1"/>
    <col min="13054" max="13054" width="45.88671875" style="1" customWidth="1"/>
    <col min="13055" max="13055" width="26.88671875" style="1" customWidth="1"/>
    <col min="13056" max="13056" width="16.33203125" style="1" customWidth="1"/>
    <col min="13057" max="13057" width="12.5546875" style="1" customWidth="1"/>
    <col min="13058" max="13058" width="10.44140625" style="1" customWidth="1"/>
    <col min="13059" max="13059" width="20.6640625" style="1" customWidth="1"/>
    <col min="13060" max="13060" width="14.5546875" style="1" customWidth="1"/>
    <col min="13061" max="13061" width="6.88671875" style="1" customWidth="1"/>
    <col min="13062" max="13062" width="14.33203125" style="1" customWidth="1"/>
    <col min="13063" max="13063" width="15.5546875" style="1" customWidth="1"/>
    <col min="13064" max="13064" width="14" style="1" customWidth="1"/>
    <col min="13065" max="13065" width="25.44140625" style="1" customWidth="1"/>
    <col min="13066" max="13309" width="9.109375" style="1"/>
    <col min="13310" max="13310" width="45.88671875" style="1" customWidth="1"/>
    <col min="13311" max="13311" width="26.88671875" style="1" customWidth="1"/>
    <col min="13312" max="13312" width="16.33203125" style="1" customWidth="1"/>
    <col min="13313" max="13313" width="12.5546875" style="1" customWidth="1"/>
    <col min="13314" max="13314" width="10.44140625" style="1" customWidth="1"/>
    <col min="13315" max="13315" width="20.6640625" style="1" customWidth="1"/>
    <col min="13316" max="13316" width="14.5546875" style="1" customWidth="1"/>
    <col min="13317" max="13317" width="6.88671875" style="1" customWidth="1"/>
    <col min="13318" max="13318" width="14.33203125" style="1" customWidth="1"/>
    <col min="13319" max="13319" width="15.5546875" style="1" customWidth="1"/>
    <col min="13320" max="13320" width="14" style="1" customWidth="1"/>
    <col min="13321" max="13321" width="25.44140625" style="1" customWidth="1"/>
    <col min="13322" max="13565" width="9.109375" style="1"/>
    <col min="13566" max="13566" width="45.88671875" style="1" customWidth="1"/>
    <col min="13567" max="13567" width="26.88671875" style="1" customWidth="1"/>
    <col min="13568" max="13568" width="16.33203125" style="1" customWidth="1"/>
    <col min="13569" max="13569" width="12.5546875" style="1" customWidth="1"/>
    <col min="13570" max="13570" width="10.44140625" style="1" customWidth="1"/>
    <col min="13571" max="13571" width="20.6640625" style="1" customWidth="1"/>
    <col min="13572" max="13572" width="14.5546875" style="1" customWidth="1"/>
    <col min="13573" max="13573" width="6.88671875" style="1" customWidth="1"/>
    <col min="13574" max="13574" width="14.33203125" style="1" customWidth="1"/>
    <col min="13575" max="13575" width="15.5546875" style="1" customWidth="1"/>
    <col min="13576" max="13576" width="14" style="1" customWidth="1"/>
    <col min="13577" max="13577" width="25.44140625" style="1" customWidth="1"/>
    <col min="13578" max="13821" width="9.109375" style="1"/>
    <col min="13822" max="13822" width="45.88671875" style="1" customWidth="1"/>
    <col min="13823" max="13823" width="26.88671875" style="1" customWidth="1"/>
    <col min="13824" max="13824" width="16.33203125" style="1" customWidth="1"/>
    <col min="13825" max="13825" width="12.5546875" style="1" customWidth="1"/>
    <col min="13826" max="13826" width="10.44140625" style="1" customWidth="1"/>
    <col min="13827" max="13827" width="20.6640625" style="1" customWidth="1"/>
    <col min="13828" max="13828" width="14.5546875" style="1" customWidth="1"/>
    <col min="13829" max="13829" width="6.88671875" style="1" customWidth="1"/>
    <col min="13830" max="13830" width="14.33203125" style="1" customWidth="1"/>
    <col min="13831" max="13831" width="15.5546875" style="1" customWidth="1"/>
    <col min="13832" max="13832" width="14" style="1" customWidth="1"/>
    <col min="13833" max="13833" width="25.44140625" style="1" customWidth="1"/>
    <col min="13834" max="14077" width="9.109375" style="1"/>
    <col min="14078" max="14078" width="45.88671875" style="1" customWidth="1"/>
    <col min="14079" max="14079" width="26.88671875" style="1" customWidth="1"/>
    <col min="14080" max="14080" width="16.33203125" style="1" customWidth="1"/>
    <col min="14081" max="14081" width="12.5546875" style="1" customWidth="1"/>
    <col min="14082" max="14082" width="10.44140625" style="1" customWidth="1"/>
    <col min="14083" max="14083" width="20.6640625" style="1" customWidth="1"/>
    <col min="14084" max="14084" width="14.5546875" style="1" customWidth="1"/>
    <col min="14085" max="14085" width="6.88671875" style="1" customWidth="1"/>
    <col min="14086" max="14086" width="14.33203125" style="1" customWidth="1"/>
    <col min="14087" max="14087" width="15.5546875" style="1" customWidth="1"/>
    <col min="14088" max="14088" width="14" style="1" customWidth="1"/>
    <col min="14089" max="14089" width="25.44140625" style="1" customWidth="1"/>
    <col min="14090" max="14333" width="9.109375" style="1"/>
    <col min="14334" max="14334" width="45.88671875" style="1" customWidth="1"/>
    <col min="14335" max="14335" width="26.88671875" style="1" customWidth="1"/>
    <col min="14336" max="14336" width="16.33203125" style="1" customWidth="1"/>
    <col min="14337" max="14337" width="12.5546875" style="1" customWidth="1"/>
    <col min="14338" max="14338" width="10.44140625" style="1" customWidth="1"/>
    <col min="14339" max="14339" width="20.6640625" style="1" customWidth="1"/>
    <col min="14340" max="14340" width="14.5546875" style="1" customWidth="1"/>
    <col min="14341" max="14341" width="6.88671875" style="1" customWidth="1"/>
    <col min="14342" max="14342" width="14.33203125" style="1" customWidth="1"/>
    <col min="14343" max="14343" width="15.5546875" style="1" customWidth="1"/>
    <col min="14344" max="14344" width="14" style="1" customWidth="1"/>
    <col min="14345" max="14345" width="25.44140625" style="1" customWidth="1"/>
    <col min="14346" max="14589" width="9.109375" style="1"/>
    <col min="14590" max="14590" width="45.88671875" style="1" customWidth="1"/>
    <col min="14591" max="14591" width="26.88671875" style="1" customWidth="1"/>
    <col min="14592" max="14592" width="16.33203125" style="1" customWidth="1"/>
    <col min="14593" max="14593" width="12.5546875" style="1" customWidth="1"/>
    <col min="14594" max="14594" width="10.44140625" style="1" customWidth="1"/>
    <col min="14595" max="14595" width="20.6640625" style="1" customWidth="1"/>
    <col min="14596" max="14596" width="14.5546875" style="1" customWidth="1"/>
    <col min="14597" max="14597" width="6.88671875" style="1" customWidth="1"/>
    <col min="14598" max="14598" width="14.33203125" style="1" customWidth="1"/>
    <col min="14599" max="14599" width="15.5546875" style="1" customWidth="1"/>
    <col min="14600" max="14600" width="14" style="1" customWidth="1"/>
    <col min="14601" max="14601" width="25.44140625" style="1" customWidth="1"/>
    <col min="14602" max="14845" width="9.109375" style="1"/>
    <col min="14846" max="14846" width="45.88671875" style="1" customWidth="1"/>
    <col min="14847" max="14847" width="26.88671875" style="1" customWidth="1"/>
    <col min="14848" max="14848" width="16.33203125" style="1" customWidth="1"/>
    <col min="14849" max="14849" width="12.5546875" style="1" customWidth="1"/>
    <col min="14850" max="14850" width="10.44140625" style="1" customWidth="1"/>
    <col min="14851" max="14851" width="20.6640625" style="1" customWidth="1"/>
    <col min="14852" max="14852" width="14.5546875" style="1" customWidth="1"/>
    <col min="14853" max="14853" width="6.88671875" style="1" customWidth="1"/>
    <col min="14854" max="14854" width="14.33203125" style="1" customWidth="1"/>
    <col min="14855" max="14855" width="15.5546875" style="1" customWidth="1"/>
    <col min="14856" max="14856" width="14" style="1" customWidth="1"/>
    <col min="14857" max="14857" width="25.44140625" style="1" customWidth="1"/>
    <col min="14858" max="15101" width="9.109375" style="1"/>
    <col min="15102" max="15102" width="45.88671875" style="1" customWidth="1"/>
    <col min="15103" max="15103" width="26.88671875" style="1" customWidth="1"/>
    <col min="15104" max="15104" width="16.33203125" style="1" customWidth="1"/>
    <col min="15105" max="15105" width="12.5546875" style="1" customWidth="1"/>
    <col min="15106" max="15106" width="10.44140625" style="1" customWidth="1"/>
    <col min="15107" max="15107" width="20.6640625" style="1" customWidth="1"/>
    <col min="15108" max="15108" width="14.5546875" style="1" customWidth="1"/>
    <col min="15109" max="15109" width="6.88671875" style="1" customWidth="1"/>
    <col min="15110" max="15110" width="14.33203125" style="1" customWidth="1"/>
    <col min="15111" max="15111" width="15.5546875" style="1" customWidth="1"/>
    <col min="15112" max="15112" width="14" style="1" customWidth="1"/>
    <col min="15113" max="15113" width="25.44140625" style="1" customWidth="1"/>
    <col min="15114" max="15357" width="9.109375" style="1"/>
    <col min="15358" max="15358" width="45.88671875" style="1" customWidth="1"/>
    <col min="15359" max="15359" width="26.88671875" style="1" customWidth="1"/>
    <col min="15360" max="15360" width="16.33203125" style="1" customWidth="1"/>
    <col min="15361" max="15361" width="12.5546875" style="1" customWidth="1"/>
    <col min="15362" max="15362" width="10.44140625" style="1" customWidth="1"/>
    <col min="15363" max="15363" width="20.6640625" style="1" customWidth="1"/>
    <col min="15364" max="15364" width="14.5546875" style="1" customWidth="1"/>
    <col min="15365" max="15365" width="6.88671875" style="1" customWidth="1"/>
    <col min="15366" max="15366" width="14.33203125" style="1" customWidth="1"/>
    <col min="15367" max="15367" width="15.5546875" style="1" customWidth="1"/>
    <col min="15368" max="15368" width="14" style="1" customWidth="1"/>
    <col min="15369" max="15369" width="25.44140625" style="1" customWidth="1"/>
    <col min="15370" max="15613" width="9.109375" style="1"/>
    <col min="15614" max="15614" width="45.88671875" style="1" customWidth="1"/>
    <col min="15615" max="15615" width="26.88671875" style="1" customWidth="1"/>
    <col min="15616" max="15616" width="16.33203125" style="1" customWidth="1"/>
    <col min="15617" max="15617" width="12.5546875" style="1" customWidth="1"/>
    <col min="15618" max="15618" width="10.44140625" style="1" customWidth="1"/>
    <col min="15619" max="15619" width="20.6640625" style="1" customWidth="1"/>
    <col min="15620" max="15620" width="14.5546875" style="1" customWidth="1"/>
    <col min="15621" max="15621" width="6.88671875" style="1" customWidth="1"/>
    <col min="15622" max="15622" width="14.33203125" style="1" customWidth="1"/>
    <col min="15623" max="15623" width="15.5546875" style="1" customWidth="1"/>
    <col min="15624" max="15624" width="14" style="1" customWidth="1"/>
    <col min="15625" max="15625" width="25.44140625" style="1" customWidth="1"/>
    <col min="15626" max="15869" width="9.109375" style="1"/>
    <col min="15870" max="15870" width="45.88671875" style="1" customWidth="1"/>
    <col min="15871" max="15871" width="26.88671875" style="1" customWidth="1"/>
    <col min="15872" max="15872" width="16.33203125" style="1" customWidth="1"/>
    <col min="15873" max="15873" width="12.5546875" style="1" customWidth="1"/>
    <col min="15874" max="15874" width="10.44140625" style="1" customWidth="1"/>
    <col min="15875" max="15875" width="20.6640625" style="1" customWidth="1"/>
    <col min="15876" max="15876" width="14.5546875" style="1" customWidth="1"/>
    <col min="15877" max="15877" width="6.88671875" style="1" customWidth="1"/>
    <col min="15878" max="15878" width="14.33203125" style="1" customWidth="1"/>
    <col min="15879" max="15879" width="15.5546875" style="1" customWidth="1"/>
    <col min="15880" max="15880" width="14" style="1" customWidth="1"/>
    <col min="15881" max="15881" width="25.44140625" style="1" customWidth="1"/>
    <col min="15882" max="16125" width="9.109375" style="1"/>
    <col min="16126" max="16126" width="45.88671875" style="1" customWidth="1"/>
    <col min="16127" max="16127" width="26.88671875" style="1" customWidth="1"/>
    <col min="16128" max="16128" width="16.33203125" style="1" customWidth="1"/>
    <col min="16129" max="16129" width="12.5546875" style="1" customWidth="1"/>
    <col min="16130" max="16130" width="10.44140625" style="1" customWidth="1"/>
    <col min="16131" max="16131" width="20.6640625" style="1" customWidth="1"/>
    <col min="16132" max="16132" width="14.5546875" style="1" customWidth="1"/>
    <col min="16133" max="16133" width="6.88671875" style="1" customWidth="1"/>
    <col min="16134" max="16134" width="14.33203125" style="1" customWidth="1"/>
    <col min="16135" max="16135" width="15.5546875" style="1" customWidth="1"/>
    <col min="16136" max="16136" width="14" style="1" customWidth="1"/>
    <col min="16137" max="16137" width="25.44140625" style="1" customWidth="1"/>
    <col min="16138" max="16384" width="9.109375" style="1"/>
  </cols>
  <sheetData>
    <row r="1" spans="1:18" ht="45" customHeight="1" thickBot="1">
      <c r="A1" s="446" t="s">
        <v>0</v>
      </c>
      <c r="B1" s="446"/>
      <c r="C1" s="446"/>
      <c r="D1" s="446"/>
      <c r="E1" s="446"/>
      <c r="F1" s="446"/>
      <c r="G1" s="446"/>
      <c r="H1" s="446"/>
      <c r="I1" s="446"/>
      <c r="J1" s="446"/>
      <c r="K1" s="446"/>
      <c r="L1" s="446"/>
    </row>
    <row r="2" spans="1:18" ht="27.75" customHeight="1" thickBot="1">
      <c r="A2" s="447" t="s">
        <v>179</v>
      </c>
      <c r="B2" s="448"/>
      <c r="C2" s="448"/>
      <c r="D2" s="448"/>
      <c r="E2" s="448"/>
      <c r="F2" s="449"/>
      <c r="G2" s="2"/>
      <c r="H2" s="2"/>
      <c r="I2" s="450"/>
      <c r="J2" s="450"/>
      <c r="K2" s="450"/>
      <c r="L2" s="450"/>
      <c r="M2" s="347"/>
      <c r="N2" s="348"/>
    </row>
    <row r="3" spans="1:18" ht="30.75" customHeight="1" thickBot="1">
      <c r="A3" s="452" t="s">
        <v>180</v>
      </c>
      <c r="B3" s="453"/>
      <c r="C3" s="454"/>
      <c r="D3" s="455" t="s">
        <v>1</v>
      </c>
      <c r="E3" s="456"/>
      <c r="F3" s="457"/>
      <c r="G3" s="4"/>
      <c r="H3" s="4"/>
      <c r="I3" s="5" t="s">
        <v>2</v>
      </c>
      <c r="J3" s="458"/>
      <c r="K3" s="459"/>
      <c r="L3" s="333"/>
      <c r="M3" s="465" t="s">
        <v>3</v>
      </c>
      <c r="N3" s="466"/>
    </row>
    <row r="4" spans="1:18" ht="37.5" customHeight="1" thickBot="1">
      <c r="A4" s="452" t="s">
        <v>4</v>
      </c>
      <c r="B4" s="453"/>
      <c r="C4" s="3"/>
      <c r="D4" s="8"/>
      <c r="E4" s="9"/>
      <c r="F4" s="10"/>
      <c r="G4" s="10"/>
      <c r="H4" s="10"/>
      <c r="I4" s="11"/>
      <c r="J4" s="12"/>
      <c r="K4" s="12"/>
      <c r="L4" s="12"/>
      <c r="M4" s="349"/>
      <c r="N4" s="350"/>
    </row>
    <row r="5" spans="1:18" ht="16.8" thickBot="1">
      <c r="A5" s="460" t="s">
        <v>5</v>
      </c>
      <c r="B5" s="461"/>
      <c r="C5" s="461"/>
      <c r="D5" s="14"/>
      <c r="E5" s="15"/>
      <c r="F5" s="16" t="s">
        <v>6</v>
      </c>
      <c r="G5" s="17" t="s">
        <v>6</v>
      </c>
      <c r="H5" s="17"/>
      <c r="I5" s="18" t="s">
        <v>7</v>
      </c>
      <c r="J5" s="19" t="s">
        <v>8</v>
      </c>
      <c r="K5" s="20" t="s">
        <v>9</v>
      </c>
      <c r="L5" s="20" t="s">
        <v>10</v>
      </c>
      <c r="M5" s="351" t="s">
        <v>11</v>
      </c>
      <c r="N5" s="352" t="s">
        <v>12</v>
      </c>
    </row>
    <row r="6" spans="1:18" ht="35.4" customHeight="1">
      <c r="A6" s="22" t="s">
        <v>13</v>
      </c>
      <c r="B6" s="23"/>
      <c r="C6" s="23"/>
      <c r="D6" s="24"/>
      <c r="E6" s="25"/>
      <c r="F6" s="26"/>
      <c r="G6" s="27"/>
      <c r="H6" s="28"/>
      <c r="I6" s="29"/>
      <c r="J6" s="30">
        <v>0.45</v>
      </c>
      <c r="K6" s="31">
        <f>J6*12</f>
        <v>5.4</v>
      </c>
      <c r="L6" s="334"/>
      <c r="M6" s="353">
        <v>0.48</v>
      </c>
      <c r="N6" s="354">
        <v>0.5</v>
      </c>
    </row>
    <row r="7" spans="1:18" ht="19.5" customHeight="1">
      <c r="A7" s="33" t="s">
        <v>14</v>
      </c>
      <c r="B7" s="34"/>
      <c r="C7" s="34"/>
      <c r="D7" s="35"/>
      <c r="E7" s="36"/>
      <c r="F7" s="37"/>
      <c r="G7" s="37"/>
      <c r="H7" s="37"/>
      <c r="I7" s="38"/>
      <c r="J7" s="39">
        <v>0.35</v>
      </c>
      <c r="K7" s="40">
        <f>J7*12</f>
        <v>4.1999999999999993</v>
      </c>
      <c r="L7" s="335"/>
      <c r="M7" s="355">
        <v>0.35</v>
      </c>
      <c r="N7" s="356">
        <v>0.35</v>
      </c>
    </row>
    <row r="8" spans="1:18" ht="24.75" customHeight="1">
      <c r="A8" s="22" t="s">
        <v>15</v>
      </c>
      <c r="B8" s="23"/>
      <c r="C8" s="23"/>
      <c r="D8" s="24"/>
      <c r="E8" s="25"/>
      <c r="F8" s="42"/>
      <c r="G8" s="42"/>
      <c r="H8" s="42"/>
      <c r="I8" s="43"/>
      <c r="J8" s="44">
        <f>K8/12</f>
        <v>0</v>
      </c>
      <c r="K8" s="45"/>
      <c r="L8" s="334"/>
      <c r="M8" s="357">
        <v>0</v>
      </c>
      <c r="N8" s="358">
        <v>0</v>
      </c>
    </row>
    <row r="9" spans="1:18" ht="24.75" customHeight="1">
      <c r="A9" s="46" t="s">
        <v>16</v>
      </c>
      <c r="B9" s="47"/>
      <c r="C9" s="47"/>
      <c r="D9" s="48"/>
      <c r="E9" s="49"/>
      <c r="F9" s="42"/>
      <c r="G9" s="42"/>
      <c r="H9" s="42"/>
      <c r="I9" s="43"/>
      <c r="J9" s="44"/>
      <c r="K9" s="45"/>
      <c r="L9" s="334"/>
      <c r="M9" s="357"/>
      <c r="N9" s="358"/>
    </row>
    <row r="10" spans="1:18" ht="30.75" customHeight="1" thickBot="1">
      <c r="A10" s="50" t="s">
        <v>17</v>
      </c>
      <c r="B10" s="51"/>
      <c r="C10" s="51"/>
      <c r="D10" s="52"/>
      <c r="E10" s="53"/>
      <c r="F10" s="54">
        <f>SUM(F6:F7)</f>
        <v>0</v>
      </c>
      <c r="G10" s="54">
        <f>SUM(G6:G7)</f>
        <v>0</v>
      </c>
      <c r="H10" s="54"/>
      <c r="I10" s="55"/>
      <c r="J10" s="56">
        <f>SUM(J6:J9)</f>
        <v>0.8</v>
      </c>
      <c r="K10" s="56">
        <f>SUM(K6:K9)</f>
        <v>9.6</v>
      </c>
      <c r="L10" s="336"/>
      <c r="M10" s="359">
        <f>SUM(M6:M9)</f>
        <v>0.83</v>
      </c>
      <c r="N10" s="360">
        <f>SUM(N6:N9)</f>
        <v>0.85</v>
      </c>
    </row>
    <row r="11" spans="1:18" ht="16.8" thickBot="1">
      <c r="A11" s="58"/>
      <c r="B11" s="58"/>
      <c r="C11" s="58"/>
      <c r="D11" s="59"/>
      <c r="E11" s="60"/>
      <c r="F11" s="61"/>
      <c r="G11" s="61"/>
      <c r="H11" s="61"/>
      <c r="I11" s="62"/>
      <c r="J11" s="63"/>
      <c r="K11" s="64"/>
      <c r="L11" s="64"/>
      <c r="M11" s="349"/>
      <c r="N11" s="350"/>
    </row>
    <row r="12" spans="1:18" ht="15.75" customHeight="1" thickBot="1">
      <c r="A12" s="467" t="s">
        <v>18</v>
      </c>
      <c r="B12" s="468"/>
      <c r="C12" s="468"/>
      <c r="D12" s="468"/>
      <c r="E12" s="468"/>
      <c r="F12" s="468"/>
      <c r="G12" s="65"/>
      <c r="H12" s="65"/>
      <c r="I12" s="66"/>
      <c r="J12" s="67"/>
      <c r="K12" s="67"/>
      <c r="L12" s="67"/>
      <c r="M12" s="349"/>
      <c r="N12" s="350"/>
    </row>
    <row r="13" spans="1:18" ht="46.5" customHeight="1">
      <c r="A13" s="68" t="s">
        <v>19</v>
      </c>
      <c r="B13" s="69" t="s">
        <v>20</v>
      </c>
      <c r="C13" s="69" t="s">
        <v>21</v>
      </c>
      <c r="D13" s="70" t="s">
        <v>22</v>
      </c>
      <c r="E13" s="71" t="s">
        <v>23</v>
      </c>
      <c r="F13" s="72" t="s">
        <v>24</v>
      </c>
      <c r="G13" s="72" t="s">
        <v>25</v>
      </c>
      <c r="H13" s="72" t="s">
        <v>26</v>
      </c>
      <c r="I13" s="73" t="s">
        <v>27</v>
      </c>
      <c r="J13" s="72" t="s">
        <v>28</v>
      </c>
      <c r="K13" s="74" t="s">
        <v>9</v>
      </c>
      <c r="L13" s="337" t="s">
        <v>29</v>
      </c>
      <c r="M13" s="349"/>
      <c r="N13" s="350"/>
    </row>
    <row r="14" spans="1:18" ht="25.5" customHeight="1" thickBot="1">
      <c r="A14" s="75" t="s">
        <v>30</v>
      </c>
      <c r="B14" s="76"/>
      <c r="C14" s="76"/>
      <c r="D14" s="77"/>
      <c r="E14" s="78"/>
      <c r="F14" s="79"/>
      <c r="G14" s="79"/>
      <c r="H14" s="79"/>
      <c r="I14" s="80"/>
      <c r="J14" s="81"/>
      <c r="K14" s="82"/>
      <c r="L14" s="338"/>
      <c r="M14" s="349"/>
      <c r="N14" s="350"/>
    </row>
    <row r="15" spans="1:18" ht="42" customHeight="1" thickBot="1">
      <c r="A15" s="83" t="s">
        <v>31</v>
      </c>
      <c r="B15" s="84" t="s">
        <v>32</v>
      </c>
      <c r="C15" s="84" t="s">
        <v>33</v>
      </c>
      <c r="D15" s="85">
        <v>0.27</v>
      </c>
      <c r="E15" s="86">
        <v>0.03</v>
      </c>
      <c r="F15" s="87">
        <f>D15*(1+E15)</f>
        <v>0.27810000000000001</v>
      </c>
      <c r="G15" s="88">
        <v>0.3</v>
      </c>
      <c r="H15" s="89" t="s">
        <v>34</v>
      </c>
      <c r="I15" s="150">
        <f>3.81/1.59</f>
        <v>2.3962264150943398</v>
      </c>
      <c r="J15" s="151">
        <f>G15*I15</f>
        <v>0.71886792452830195</v>
      </c>
      <c r="K15" s="152">
        <f>J15*12</f>
        <v>8.6264150943396238</v>
      </c>
      <c r="L15" s="339"/>
      <c r="M15" s="361">
        <f>0.4*I15</f>
        <v>0.95849056603773597</v>
      </c>
      <c r="N15" s="362">
        <f>0.45*I15</f>
        <v>1.078301886792453</v>
      </c>
      <c r="O15" s="155">
        <f>192*J15</f>
        <v>138.02264150943398</v>
      </c>
      <c r="P15" s="406">
        <f>(240+288+408)*M15</f>
        <v>897.14716981132085</v>
      </c>
      <c r="Q15" s="406">
        <f>(384+288)*N15</f>
        <v>724.61886792452844</v>
      </c>
      <c r="R15" s="155"/>
    </row>
    <row r="16" spans="1:18" ht="42" customHeight="1" thickBot="1">
      <c r="A16" s="83" t="s">
        <v>35</v>
      </c>
      <c r="B16" s="84" t="s">
        <v>36</v>
      </c>
      <c r="C16" s="84" t="s">
        <v>33</v>
      </c>
      <c r="D16" s="85">
        <v>0</v>
      </c>
      <c r="E16" s="86">
        <v>0.03</v>
      </c>
      <c r="F16" s="87">
        <f>D16*(1+E16)</f>
        <v>0</v>
      </c>
      <c r="G16" s="88">
        <v>0.02</v>
      </c>
      <c r="H16" s="89" t="s">
        <v>34</v>
      </c>
      <c r="I16" s="150">
        <f>3.69/1.3</f>
        <v>2.8384615384615381</v>
      </c>
      <c r="J16" s="151">
        <f>G16*I16</f>
        <v>5.6769230769230766E-2</v>
      </c>
      <c r="K16" s="152">
        <f>J16*12</f>
        <v>0.6812307692307692</v>
      </c>
      <c r="L16" s="339"/>
      <c r="M16" s="361">
        <f>+G16*I16</f>
        <v>5.6769230769230766E-2</v>
      </c>
      <c r="N16" s="362">
        <f>+M16</f>
        <v>5.6769230769230766E-2</v>
      </c>
      <c r="O16" s="406">
        <f>1800*N16</f>
        <v>102.18461538461538</v>
      </c>
      <c r="R16" s="406">
        <f>+O15+P15+Q15+O16</f>
        <v>1861.9732946298986</v>
      </c>
    </row>
    <row r="17" spans="1:18" ht="30.75" customHeight="1" thickBot="1">
      <c r="A17" s="90" t="s">
        <v>37</v>
      </c>
      <c r="B17" s="91"/>
      <c r="C17" s="92"/>
      <c r="D17" s="93"/>
      <c r="E17" s="94"/>
      <c r="F17" s="95"/>
      <c r="G17" s="95"/>
      <c r="H17" s="95"/>
      <c r="I17" s="96"/>
      <c r="J17" s="153">
        <f>SUM(J15:J16)</f>
        <v>0.77563715529753274</v>
      </c>
      <c r="K17" s="153">
        <f>SUM(K15:K16)</f>
        <v>9.3076458635703929</v>
      </c>
      <c r="L17" s="340"/>
      <c r="M17" s="363">
        <f>SUM(M15:M16)</f>
        <v>1.0152597968069668</v>
      </c>
      <c r="N17" s="364">
        <f>SUM(N15:N16)</f>
        <v>1.1350711175616837</v>
      </c>
      <c r="R17" s="1">
        <f>1855.47+110.7</f>
        <v>1966.17</v>
      </c>
    </row>
    <row r="18" spans="1:18" ht="27.75" customHeight="1">
      <c r="A18" s="91" t="s">
        <v>38</v>
      </c>
      <c r="B18" s="95"/>
      <c r="C18" s="92"/>
      <c r="D18" s="93"/>
      <c r="E18" s="94"/>
      <c r="F18" s="95"/>
      <c r="G18" s="95"/>
      <c r="H18" s="95"/>
      <c r="I18" s="96"/>
      <c r="J18" s="97"/>
      <c r="K18" s="98"/>
      <c r="L18" s="341"/>
      <c r="M18" s="349"/>
      <c r="N18" s="350"/>
      <c r="R18" s="406">
        <f>+R16-R17</f>
        <v>-104.19670537010143</v>
      </c>
    </row>
    <row r="19" spans="1:18" ht="30" customHeight="1">
      <c r="A19" s="99" t="s">
        <v>39</v>
      </c>
      <c r="B19" s="89" t="s">
        <v>40</v>
      </c>
      <c r="C19" s="100"/>
      <c r="D19" s="101">
        <v>0</v>
      </c>
      <c r="E19" s="86">
        <v>0.02</v>
      </c>
      <c r="F19" s="87">
        <f>D19*(1+E19)</f>
        <v>0</v>
      </c>
      <c r="G19" s="102">
        <f>F19/0.9144</f>
        <v>0</v>
      </c>
      <c r="H19" s="89" t="s">
        <v>34</v>
      </c>
      <c r="I19" s="154">
        <v>0</v>
      </c>
      <c r="J19" s="154">
        <f>+F19*I19</f>
        <v>0</v>
      </c>
      <c r="K19" s="152">
        <f>J19*12</f>
        <v>0</v>
      </c>
      <c r="L19" s="342"/>
      <c r="M19" s="365"/>
      <c r="N19" s="366"/>
      <c r="O19" s="155"/>
    </row>
    <row r="20" spans="1:18" ht="30" customHeight="1">
      <c r="A20" s="99" t="s">
        <v>41</v>
      </c>
      <c r="B20" s="89"/>
      <c r="C20" s="100"/>
      <c r="D20" s="101">
        <v>0</v>
      </c>
      <c r="E20" s="86">
        <v>0.02</v>
      </c>
      <c r="F20" s="87">
        <f>D20*(1+E20)</f>
        <v>0</v>
      </c>
      <c r="G20" s="102">
        <f>F20/0.9144</f>
        <v>0</v>
      </c>
      <c r="H20" s="89" t="s">
        <v>34</v>
      </c>
      <c r="I20" s="152"/>
      <c r="J20" s="154">
        <f t="shared" ref="J20:J23" si="0">+F20*I20</f>
        <v>0</v>
      </c>
      <c r="K20" s="152">
        <f>J20*12</f>
        <v>0</v>
      </c>
      <c r="L20" s="342"/>
      <c r="M20" s="365"/>
      <c r="N20" s="366"/>
      <c r="O20" s="155"/>
    </row>
    <row r="21" spans="1:18" ht="30" customHeight="1">
      <c r="A21" s="105" t="s">
        <v>42</v>
      </c>
      <c r="B21" s="105"/>
      <c r="C21" s="89"/>
      <c r="D21" s="106">
        <v>1</v>
      </c>
      <c r="E21" s="86">
        <v>0.02</v>
      </c>
      <c r="F21" s="105">
        <f>D21*(1+E21)</f>
        <v>1.02</v>
      </c>
      <c r="G21" s="102">
        <f>E21*(1+F21)</f>
        <v>4.0399999999999998E-2</v>
      </c>
      <c r="H21" s="107"/>
      <c r="I21" s="104">
        <v>0.02</v>
      </c>
      <c r="J21" s="154">
        <f t="shared" si="0"/>
        <v>2.0400000000000001E-2</v>
      </c>
      <c r="K21" s="103">
        <f>J21*12</f>
        <v>0.24480000000000002</v>
      </c>
      <c r="L21" s="343"/>
      <c r="M21" s="349"/>
      <c r="N21" s="350"/>
    </row>
    <row r="22" spans="1:18" ht="30" customHeight="1">
      <c r="A22" s="105" t="s">
        <v>43</v>
      </c>
      <c r="B22" s="105"/>
      <c r="C22" s="89"/>
      <c r="D22" s="106">
        <v>1</v>
      </c>
      <c r="E22" s="86">
        <v>0.02</v>
      </c>
      <c r="F22" s="105">
        <f>D22*(1+E22)</f>
        <v>1.02</v>
      </c>
      <c r="G22" s="102">
        <f>E22*(1+F22)</f>
        <v>4.0399999999999998E-2</v>
      </c>
      <c r="H22" s="107"/>
      <c r="I22" s="104">
        <v>0.02</v>
      </c>
      <c r="J22" s="154">
        <f t="shared" si="0"/>
        <v>2.0400000000000001E-2</v>
      </c>
      <c r="K22" s="103">
        <f>J22*12</f>
        <v>0.24480000000000002</v>
      </c>
      <c r="L22" s="343"/>
      <c r="M22" s="349"/>
      <c r="N22" s="350"/>
    </row>
    <row r="23" spans="1:18" ht="30" customHeight="1">
      <c r="A23" s="109" t="s">
        <v>44</v>
      </c>
      <c r="B23" s="109"/>
      <c r="C23" s="95"/>
      <c r="D23" s="110">
        <v>1</v>
      </c>
      <c r="E23" s="86">
        <v>0.02</v>
      </c>
      <c r="F23" s="111">
        <f>D23*(1+E23)</f>
        <v>1.02</v>
      </c>
      <c r="G23" s="102">
        <f>E23*(1+F23)</f>
        <v>4.0399999999999998E-2</v>
      </c>
      <c r="H23" s="112"/>
      <c r="I23" s="104">
        <v>0.02</v>
      </c>
      <c r="J23" s="154">
        <f t="shared" si="0"/>
        <v>2.0400000000000001E-2</v>
      </c>
      <c r="K23" s="98">
        <f>J23*12</f>
        <v>0.24480000000000002</v>
      </c>
      <c r="L23" s="343"/>
      <c r="M23" s="349"/>
      <c r="N23" s="350"/>
    </row>
    <row r="24" spans="1:18" ht="28.5" customHeight="1">
      <c r="A24" s="90" t="s">
        <v>45</v>
      </c>
      <c r="B24" s="95"/>
      <c r="C24" s="109"/>
      <c r="D24" s="114"/>
      <c r="E24" s="94"/>
      <c r="F24" s="95"/>
      <c r="G24" s="95"/>
      <c r="H24" s="95"/>
      <c r="I24" s="98"/>
      <c r="J24" s="153">
        <f>SUM(J19:J23)</f>
        <v>6.1200000000000004E-2</v>
      </c>
      <c r="K24" s="153">
        <f>SUM(K19:K23)</f>
        <v>0.73440000000000005</v>
      </c>
      <c r="L24" s="344"/>
      <c r="M24" s="363">
        <f>+J24</f>
        <v>6.1200000000000004E-2</v>
      </c>
      <c r="N24" s="364">
        <f>+M24</f>
        <v>6.1200000000000004E-2</v>
      </c>
    </row>
    <row r="25" spans="1:18" ht="15.6">
      <c r="A25" s="92" t="s">
        <v>46</v>
      </c>
      <c r="B25" s="109"/>
      <c r="C25" s="95"/>
      <c r="D25" s="115"/>
      <c r="E25" s="116"/>
      <c r="F25" s="112"/>
      <c r="G25" s="112"/>
      <c r="H25" s="112"/>
      <c r="I25" s="98"/>
      <c r="J25" s="97"/>
      <c r="K25" s="117"/>
      <c r="L25" s="343"/>
      <c r="M25" s="349"/>
      <c r="N25" s="350"/>
    </row>
    <row r="26" spans="1:18" ht="15.6">
      <c r="A26" s="109" t="s">
        <v>47</v>
      </c>
      <c r="B26" s="105"/>
      <c r="C26" s="89"/>
      <c r="D26" s="106">
        <v>0</v>
      </c>
      <c r="E26" s="86">
        <v>0.02</v>
      </c>
      <c r="F26" s="105">
        <f>D26*(1+E26)</f>
        <v>0</v>
      </c>
      <c r="G26" s="105">
        <f>E26*(1+F26)</f>
        <v>0.02</v>
      </c>
      <c r="H26" s="107"/>
      <c r="I26" s="152">
        <v>0.02</v>
      </c>
      <c r="J26" s="156">
        <v>0.02</v>
      </c>
      <c r="K26" s="98">
        <f>J26*12</f>
        <v>0.24</v>
      </c>
      <c r="L26" s="343"/>
      <c r="M26" s="349"/>
      <c r="N26" s="350"/>
    </row>
    <row r="27" spans="1:18" ht="15.6">
      <c r="A27" s="105" t="s">
        <v>48</v>
      </c>
      <c r="B27" s="105"/>
      <c r="C27" s="89"/>
      <c r="D27" s="106">
        <v>1</v>
      </c>
      <c r="E27" s="86">
        <v>0.02</v>
      </c>
      <c r="F27" s="105">
        <f t="shared" ref="F27:G34" si="1">D27*(1+E27)</f>
        <v>1.02</v>
      </c>
      <c r="G27" s="102">
        <f t="shared" si="1"/>
        <v>4.0399999999999998E-2</v>
      </c>
      <c r="H27" s="107"/>
      <c r="I27" s="152"/>
      <c r="J27" s="156">
        <f t="shared" ref="J27:J34" si="2">I27*F27</f>
        <v>0</v>
      </c>
      <c r="K27" s="98">
        <f t="shared" ref="K27:K35" si="3">J27*12</f>
        <v>0</v>
      </c>
      <c r="L27" s="343"/>
      <c r="M27" s="349"/>
      <c r="N27" s="350"/>
    </row>
    <row r="28" spans="1:18" ht="15.6">
      <c r="A28" s="105" t="s">
        <v>49</v>
      </c>
      <c r="B28" s="105"/>
      <c r="C28" s="89"/>
      <c r="D28" s="106">
        <v>0</v>
      </c>
      <c r="E28" s="86">
        <v>0.02</v>
      </c>
      <c r="F28" s="105">
        <f>D28*(1+E28)</f>
        <v>0</v>
      </c>
      <c r="G28" s="102">
        <f>E28*(1+F28)</f>
        <v>0.02</v>
      </c>
      <c r="H28" s="107"/>
      <c r="I28" s="152">
        <v>0.02</v>
      </c>
      <c r="J28" s="156">
        <f t="shared" si="2"/>
        <v>0</v>
      </c>
      <c r="K28" s="103">
        <f t="shared" si="3"/>
        <v>0</v>
      </c>
      <c r="L28" s="343"/>
      <c r="M28" s="349"/>
      <c r="N28" s="350"/>
    </row>
    <row r="29" spans="1:18" ht="15.6">
      <c r="A29" s="105" t="s">
        <v>50</v>
      </c>
      <c r="B29" s="105"/>
      <c r="C29" s="89"/>
      <c r="D29" s="106">
        <v>0</v>
      </c>
      <c r="E29" s="86">
        <v>0.02</v>
      </c>
      <c r="F29" s="87">
        <f t="shared" si="1"/>
        <v>0</v>
      </c>
      <c r="G29" s="102">
        <f t="shared" si="1"/>
        <v>0.02</v>
      </c>
      <c r="H29" s="107"/>
      <c r="I29" s="152">
        <v>0.02</v>
      </c>
      <c r="J29" s="156">
        <f t="shared" si="2"/>
        <v>0</v>
      </c>
      <c r="K29" s="98">
        <f t="shared" si="3"/>
        <v>0</v>
      </c>
      <c r="L29" s="343"/>
      <c r="M29" s="349"/>
      <c r="N29" s="350"/>
    </row>
    <row r="30" spans="1:18" ht="15.6">
      <c r="A30" s="105" t="s">
        <v>51</v>
      </c>
      <c r="B30" s="105"/>
      <c r="C30" s="89"/>
      <c r="D30" s="106">
        <v>0</v>
      </c>
      <c r="E30" s="86">
        <v>0.02</v>
      </c>
      <c r="F30" s="87">
        <f t="shared" si="1"/>
        <v>0</v>
      </c>
      <c r="G30" s="102">
        <f t="shared" si="1"/>
        <v>0.02</v>
      </c>
      <c r="H30" s="107"/>
      <c r="I30" s="152"/>
      <c r="J30" s="156"/>
      <c r="K30" s="98">
        <f t="shared" si="3"/>
        <v>0</v>
      </c>
      <c r="L30" s="343"/>
      <c r="M30" s="349"/>
      <c r="N30" s="350"/>
    </row>
    <row r="31" spans="1:18" ht="15.6">
      <c r="A31" s="109" t="s">
        <v>52</v>
      </c>
      <c r="B31" s="109"/>
      <c r="C31" s="95"/>
      <c r="D31" s="106">
        <v>1</v>
      </c>
      <c r="E31" s="86">
        <v>0.02</v>
      </c>
      <c r="F31" s="118">
        <f t="shared" si="1"/>
        <v>1.02</v>
      </c>
      <c r="G31" s="102">
        <f t="shared" si="1"/>
        <v>4.0399999999999998E-2</v>
      </c>
      <c r="H31" s="112"/>
      <c r="I31" s="157">
        <v>0.02</v>
      </c>
      <c r="J31" s="156"/>
      <c r="K31" s="98">
        <f t="shared" si="3"/>
        <v>0</v>
      </c>
      <c r="L31" s="343"/>
      <c r="M31" s="349"/>
      <c r="N31" s="350"/>
    </row>
    <row r="32" spans="1:18" ht="15.6">
      <c r="A32" s="109" t="s">
        <v>53</v>
      </c>
      <c r="B32" s="109"/>
      <c r="C32" s="95"/>
      <c r="D32" s="106">
        <v>0</v>
      </c>
      <c r="E32" s="86">
        <v>0.02</v>
      </c>
      <c r="F32" s="111">
        <f t="shared" si="1"/>
        <v>0</v>
      </c>
      <c r="G32" s="102">
        <f t="shared" si="1"/>
        <v>0.02</v>
      </c>
      <c r="H32" s="112"/>
      <c r="I32" s="157">
        <v>0.02</v>
      </c>
      <c r="J32" s="156">
        <f t="shared" si="2"/>
        <v>0</v>
      </c>
      <c r="K32" s="98">
        <f t="shared" si="3"/>
        <v>0</v>
      </c>
      <c r="L32" s="343"/>
      <c r="M32" s="349"/>
      <c r="N32" s="350"/>
    </row>
    <row r="33" spans="1:15" ht="15.6">
      <c r="A33" s="109" t="s">
        <v>54</v>
      </c>
      <c r="B33" s="109"/>
      <c r="C33" s="95"/>
      <c r="D33" s="106">
        <v>0</v>
      </c>
      <c r="E33" s="86">
        <v>0.02</v>
      </c>
      <c r="F33" s="111">
        <f t="shared" si="1"/>
        <v>0</v>
      </c>
      <c r="G33" s="102">
        <f t="shared" si="1"/>
        <v>0.02</v>
      </c>
      <c r="H33" s="112"/>
      <c r="I33" s="157">
        <v>0.02</v>
      </c>
      <c r="J33" s="156">
        <v>0.02</v>
      </c>
      <c r="K33" s="98">
        <f t="shared" si="3"/>
        <v>0.24</v>
      </c>
      <c r="L33" s="343"/>
      <c r="M33" s="349"/>
      <c r="N33" s="350"/>
    </row>
    <row r="34" spans="1:15" ht="15.6">
      <c r="A34" s="109" t="s">
        <v>55</v>
      </c>
      <c r="B34" s="109"/>
      <c r="C34" s="95"/>
      <c r="D34" s="106">
        <v>1</v>
      </c>
      <c r="E34" s="86">
        <v>0.02</v>
      </c>
      <c r="F34" s="118">
        <f t="shared" si="1"/>
        <v>1.02</v>
      </c>
      <c r="G34" s="102">
        <f t="shared" si="1"/>
        <v>4.0399999999999998E-2</v>
      </c>
      <c r="H34" s="112"/>
      <c r="I34" s="157">
        <v>0.02</v>
      </c>
      <c r="J34" s="156">
        <f t="shared" si="2"/>
        <v>2.0400000000000001E-2</v>
      </c>
      <c r="K34" s="98">
        <f t="shared" si="3"/>
        <v>0.24480000000000002</v>
      </c>
      <c r="L34" s="343"/>
      <c r="M34" s="349"/>
      <c r="N34" s="350"/>
    </row>
    <row r="35" spans="1:15" ht="21" customHeight="1">
      <c r="A35" s="109" t="s">
        <v>56</v>
      </c>
      <c r="B35" s="109"/>
      <c r="C35" s="95"/>
      <c r="D35" s="106">
        <v>1</v>
      </c>
      <c r="E35" s="86">
        <v>0.02</v>
      </c>
      <c r="F35" s="111">
        <f>D35*(1+E35)</f>
        <v>1.02</v>
      </c>
      <c r="G35" s="102">
        <f>E35*(1+F35)</f>
        <v>4.0399999999999998E-2</v>
      </c>
      <c r="H35" s="112"/>
      <c r="I35" s="157">
        <v>0.02</v>
      </c>
      <c r="J35" s="156">
        <f>0.8/24</f>
        <v>3.3333333333333333E-2</v>
      </c>
      <c r="K35" s="98">
        <f t="shared" si="3"/>
        <v>0.4</v>
      </c>
      <c r="L35" s="343"/>
      <c r="M35" s="349"/>
      <c r="N35" s="350"/>
    </row>
    <row r="36" spans="1:15" ht="18.75" customHeight="1">
      <c r="A36" s="119" t="s">
        <v>57</v>
      </c>
      <c r="B36" s="109"/>
      <c r="C36" s="91"/>
      <c r="D36" s="120"/>
      <c r="E36" s="121"/>
      <c r="F36" s="122"/>
      <c r="G36" s="122"/>
      <c r="H36" s="122"/>
      <c r="I36" s="158"/>
      <c r="J36" s="153">
        <f>SUM(J26:J35)</f>
        <v>9.3733333333333335E-2</v>
      </c>
      <c r="K36" s="123">
        <f>SUM(K26:K35)</f>
        <v>1.1248</v>
      </c>
      <c r="L36" s="345">
        <f>SUM(L26:L35)</f>
        <v>0</v>
      </c>
      <c r="M36" s="367">
        <f>+J36</f>
        <v>9.3733333333333335E-2</v>
      </c>
      <c r="N36" s="368">
        <f>+J36</f>
        <v>9.3733333333333335E-2</v>
      </c>
    </row>
    <row r="37" spans="1:15" ht="18.75" customHeight="1" thickBot="1">
      <c r="A37" s="124"/>
      <c r="B37" s="124"/>
      <c r="C37" s="125"/>
      <c r="D37" s="126"/>
      <c r="E37" s="127"/>
      <c r="F37" s="128"/>
      <c r="G37" s="128"/>
      <c r="H37" s="128"/>
      <c r="I37" s="129"/>
      <c r="J37" s="130"/>
      <c r="K37" s="130"/>
      <c r="L37" s="211"/>
      <c r="M37" s="349"/>
      <c r="N37" s="350"/>
    </row>
    <row r="38" spans="1:15" ht="27" customHeight="1" thickBot="1">
      <c r="A38" s="462" t="s">
        <v>58</v>
      </c>
      <c r="B38" s="463"/>
      <c r="C38" s="463"/>
      <c r="D38" s="463"/>
      <c r="E38" s="463"/>
      <c r="F38" s="463"/>
      <c r="G38" s="463"/>
      <c r="H38" s="463"/>
      <c r="I38" s="464"/>
      <c r="J38" s="159">
        <f>SUM(J17+J24+J36)</f>
        <v>0.93057048863086611</v>
      </c>
      <c r="K38" s="159">
        <f>SUM(K17+K24+K36)</f>
        <v>11.166845863570394</v>
      </c>
      <c r="L38" s="212"/>
      <c r="M38" s="215">
        <f>SUM(M17+M24+M36)</f>
        <v>1.1701931301403001</v>
      </c>
      <c r="N38" s="159">
        <f>SUM(N17+N24+N36)</f>
        <v>1.290004450895017</v>
      </c>
    </row>
    <row r="39" spans="1:15" ht="27" customHeight="1" thickBot="1">
      <c r="A39" s="462" t="s">
        <v>59</v>
      </c>
      <c r="B39" s="463"/>
      <c r="C39" s="463"/>
      <c r="D39" s="463"/>
      <c r="E39" s="463"/>
      <c r="F39" s="463"/>
      <c r="G39" s="463"/>
      <c r="H39" s="463"/>
      <c r="I39" s="464"/>
      <c r="J39" s="160">
        <f>+J38+J10</f>
        <v>1.7305704886308662</v>
      </c>
      <c r="K39" s="160">
        <f>+K38+K10</f>
        <v>20.766845863570396</v>
      </c>
      <c r="L39" s="212"/>
      <c r="M39" s="369">
        <f>+M38+M10</f>
        <v>2.0001931301403002</v>
      </c>
      <c r="N39" s="370">
        <f>+N38+N10</f>
        <v>2.1400044508950171</v>
      </c>
    </row>
    <row r="40" spans="1:15" ht="27" customHeight="1" thickBot="1">
      <c r="A40" s="131" t="s">
        <v>175</v>
      </c>
      <c r="B40" s="132"/>
      <c r="C40" s="132"/>
      <c r="D40" s="132"/>
      <c r="E40" s="132"/>
      <c r="F40" s="132"/>
      <c r="G40" s="132"/>
      <c r="H40" s="132"/>
      <c r="I40" s="132"/>
      <c r="J40" s="160">
        <f>5500/100000</f>
        <v>5.5E-2</v>
      </c>
      <c r="K40" s="160"/>
      <c r="L40" s="212"/>
      <c r="M40" s="369">
        <f>5500/100000</f>
        <v>5.5E-2</v>
      </c>
      <c r="N40" s="370">
        <f>5500/100000</f>
        <v>5.5E-2</v>
      </c>
    </row>
    <row r="41" spans="1:15" ht="27" customHeight="1" thickBot="1">
      <c r="A41" s="131" t="s">
        <v>176</v>
      </c>
      <c r="B41" s="132"/>
      <c r="C41" s="132"/>
      <c r="D41" s="132"/>
      <c r="E41" s="132"/>
      <c r="F41" s="132"/>
      <c r="G41" s="132"/>
      <c r="H41" s="132"/>
      <c r="I41" s="132"/>
      <c r="J41" s="160">
        <f>+J39+J40</f>
        <v>1.7855704886308661</v>
      </c>
      <c r="K41" s="160"/>
      <c r="L41" s="212"/>
      <c r="M41" s="369">
        <f>+M39+M40</f>
        <v>2.0551931301403004</v>
      </c>
      <c r="N41" s="370">
        <f>+N39+N40</f>
        <v>2.1950044508950173</v>
      </c>
    </row>
    <row r="42" spans="1:15" ht="27" customHeight="1" thickBot="1">
      <c r="A42" s="131" t="s">
        <v>177</v>
      </c>
      <c r="B42" s="132"/>
      <c r="C42" s="132"/>
      <c r="D42" s="132"/>
      <c r="E42" s="132"/>
      <c r="F42" s="132"/>
      <c r="G42" s="132"/>
      <c r="H42" s="132"/>
      <c r="I42" s="132"/>
      <c r="J42" s="160">
        <f>+J39/0.83-J39</f>
        <v>0.35445419646656307</v>
      </c>
      <c r="K42" s="160">
        <f>+K38/0.8-K38</f>
        <v>2.7917114658925986</v>
      </c>
      <c r="L42" s="213"/>
      <c r="M42" s="369">
        <f>+M41/0.83-M41</f>
        <v>0.42094317123355562</v>
      </c>
      <c r="N42" s="370">
        <f>+N41/0.83-N41</f>
        <v>0.44957922488211199</v>
      </c>
    </row>
    <row r="43" spans="1:15" ht="28.5" customHeight="1" thickBot="1">
      <c r="A43" s="436"/>
      <c r="B43" s="437"/>
      <c r="C43" s="437"/>
      <c r="D43" s="133"/>
      <c r="E43" s="134"/>
      <c r="F43" s="61"/>
      <c r="G43" s="61"/>
      <c r="H43" s="61"/>
      <c r="I43" s="135"/>
      <c r="J43" s="61" t="s">
        <v>60</v>
      </c>
      <c r="K43" s="61" t="s">
        <v>61</v>
      </c>
      <c r="L43" s="214"/>
      <c r="M43" s="371"/>
      <c r="N43" s="350"/>
    </row>
    <row r="44" spans="1:15" ht="30.6" customHeight="1" thickBot="1">
      <c r="A44" s="469" t="s">
        <v>62</v>
      </c>
      <c r="B44" s="469"/>
      <c r="C44" s="469"/>
      <c r="D44" s="469"/>
      <c r="E44" s="469"/>
      <c r="F44" s="469"/>
      <c r="G44" s="469"/>
      <c r="H44" s="469"/>
      <c r="I44" s="469"/>
      <c r="J44" s="136">
        <f>+J39+J42</f>
        <v>2.0850246850974292</v>
      </c>
      <c r="K44" s="136">
        <f>+K39+K42</f>
        <v>23.558557329462992</v>
      </c>
      <c r="L44" s="346"/>
      <c r="M44" s="372">
        <f>+M39+M42</f>
        <v>2.4211363013738558</v>
      </c>
      <c r="N44" s="373">
        <f>+N39+N42</f>
        <v>2.5895836757771291</v>
      </c>
      <c r="O44" s="137"/>
    </row>
    <row r="45" spans="1:15" ht="16.2">
      <c r="A45" s="440"/>
      <c r="B45" s="441"/>
      <c r="C45" s="441"/>
      <c r="D45" s="138"/>
      <c r="E45" s="139"/>
      <c r="F45" s="440"/>
      <c r="G45" s="441"/>
      <c r="H45" s="441"/>
      <c r="I45" s="441"/>
      <c r="J45" s="441"/>
      <c r="K45" s="444"/>
      <c r="L45" s="140"/>
      <c r="M45" s="141"/>
      <c r="N45" s="141"/>
    </row>
    <row r="46" spans="1:15" ht="16.2">
      <c r="A46" s="440"/>
      <c r="B46" s="441"/>
      <c r="C46" s="441"/>
      <c r="D46" s="138"/>
      <c r="E46" s="139"/>
      <c r="F46" s="440"/>
      <c r="G46" s="441"/>
      <c r="H46" s="441"/>
      <c r="I46" s="441"/>
      <c r="J46" s="441"/>
      <c r="K46" s="444"/>
      <c r="L46" s="142"/>
      <c r="M46" s="143"/>
      <c r="N46" s="143"/>
    </row>
    <row r="47" spans="1:15" ht="16.2">
      <c r="A47" s="440"/>
      <c r="B47" s="441"/>
      <c r="C47" s="441"/>
      <c r="D47" s="138"/>
      <c r="E47" s="139"/>
      <c r="F47" s="440"/>
      <c r="G47" s="441"/>
      <c r="H47" s="441"/>
      <c r="I47" s="441"/>
      <c r="J47" s="441"/>
      <c r="K47" s="444"/>
      <c r="L47" s="140"/>
    </row>
    <row r="48" spans="1:15" ht="16.2">
      <c r="A48" s="440"/>
      <c r="B48" s="441"/>
      <c r="C48" s="441"/>
      <c r="D48" s="138"/>
      <c r="E48" s="139"/>
      <c r="F48" s="440"/>
      <c r="G48" s="441"/>
      <c r="H48" s="441"/>
      <c r="I48" s="441"/>
      <c r="J48" s="441"/>
      <c r="K48" s="444"/>
      <c r="L48" s="140"/>
    </row>
    <row r="49" spans="1:12" ht="16.2">
      <c r="A49" s="440"/>
      <c r="B49" s="441"/>
      <c r="C49" s="441"/>
      <c r="D49" s="138"/>
      <c r="E49" s="139"/>
      <c r="F49" s="440"/>
      <c r="G49" s="441"/>
      <c r="H49" s="441"/>
      <c r="I49" s="441"/>
      <c r="J49" s="441"/>
      <c r="K49" s="444"/>
      <c r="L49" s="140"/>
    </row>
    <row r="50" spans="1:12" ht="4.5" customHeight="1" thickBot="1">
      <c r="A50" s="442"/>
      <c r="B50" s="443"/>
      <c r="C50" s="443"/>
      <c r="D50" s="144"/>
      <c r="E50" s="145"/>
      <c r="F50" s="442"/>
      <c r="G50" s="443"/>
      <c r="H50" s="443"/>
      <c r="I50" s="443"/>
      <c r="J50" s="443"/>
      <c r="K50" s="445"/>
      <c r="L50" s="140"/>
    </row>
    <row r="51" spans="1:12">
      <c r="A51" s="1" t="s">
        <v>107</v>
      </c>
      <c r="J51" s="1" t="s">
        <v>108</v>
      </c>
      <c r="K51" s="167">
        <v>45618</v>
      </c>
    </row>
    <row r="52" spans="1:12">
      <c r="A52" s="61"/>
      <c r="B52" s="61"/>
      <c r="C52" s="61"/>
      <c r="D52" s="146"/>
      <c r="E52" s="134"/>
      <c r="F52" s="61"/>
      <c r="G52" s="61"/>
      <c r="H52" s="61"/>
      <c r="I52" s="135"/>
      <c r="J52" s="61"/>
      <c r="K52" s="61"/>
      <c r="L52" s="147"/>
    </row>
    <row r="53" spans="1:12" ht="12.75" customHeight="1">
      <c r="A53" s="1" t="s">
        <v>110</v>
      </c>
      <c r="B53" s="61"/>
      <c r="C53" s="61"/>
      <c r="D53" s="146"/>
      <c r="E53" s="134"/>
      <c r="F53" s="61"/>
      <c r="G53" s="61"/>
      <c r="H53" s="61"/>
      <c r="I53" s="169"/>
      <c r="J53" s="1" t="s">
        <v>108</v>
      </c>
      <c r="K53" s="168"/>
      <c r="L53" s="61"/>
    </row>
    <row r="54" spans="1:12">
      <c r="A54" s="61"/>
      <c r="B54" s="61"/>
      <c r="C54" s="61"/>
      <c r="D54" s="146"/>
      <c r="E54" s="134"/>
      <c r="F54" s="61"/>
      <c r="G54" s="61"/>
      <c r="H54" s="61"/>
      <c r="I54" s="135"/>
      <c r="J54" s="61"/>
      <c r="K54" s="61"/>
      <c r="L54" s="61"/>
    </row>
  </sheetData>
  <mergeCells count="17">
    <mergeCell ref="A1:L1"/>
    <mergeCell ref="A2:F2"/>
    <mergeCell ref="I2:J2"/>
    <mergeCell ref="K2:L2"/>
    <mergeCell ref="A3:C3"/>
    <mergeCell ref="D3:F3"/>
    <mergeCell ref="J3:K3"/>
    <mergeCell ref="A39:I39"/>
    <mergeCell ref="A43:C43"/>
    <mergeCell ref="A44:I44"/>
    <mergeCell ref="A45:C50"/>
    <mergeCell ref="F45:K50"/>
    <mergeCell ref="M3:N3"/>
    <mergeCell ref="A4:B4"/>
    <mergeCell ref="A5:C5"/>
    <mergeCell ref="A12:F12"/>
    <mergeCell ref="A38:I3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D4AB0-4F1E-493F-817E-1DF4CE4AC3FF}">
  <dimension ref="A1:O54"/>
  <sheetViews>
    <sheetView topLeftCell="A21" zoomScale="78" zoomScaleNormal="78" workbookViewId="0">
      <selection activeCell="P15" sqref="P15"/>
    </sheetView>
  </sheetViews>
  <sheetFormatPr baseColWidth="10" defaultColWidth="9.109375" defaultRowHeight="14.4"/>
  <cols>
    <col min="1" max="1" width="45.88671875" style="1" customWidth="1"/>
    <col min="2" max="2" width="26.88671875" style="1" customWidth="1"/>
    <col min="3" max="3" width="16.33203125" style="1" customWidth="1"/>
    <col min="4" max="4" width="12.5546875" style="7" customWidth="1"/>
    <col min="5" max="5" width="10.44140625" style="148" customWidth="1"/>
    <col min="6" max="6" width="20.6640625" style="1" customWidth="1"/>
    <col min="7" max="7" width="14.5546875" style="1" customWidth="1"/>
    <col min="8" max="8" width="6.88671875" style="1" customWidth="1"/>
    <col min="9" max="9" width="14.33203125" style="149" customWidth="1"/>
    <col min="10" max="10" width="15.5546875" style="1" customWidth="1"/>
    <col min="11" max="11" width="14" style="1" customWidth="1"/>
    <col min="12" max="12" width="17.33203125" style="1" hidden="1" customWidth="1"/>
    <col min="13" max="13" width="11.5546875" style="1" bestFit="1" customWidth="1"/>
    <col min="14" max="14" width="9.109375" style="1"/>
    <col min="15" max="15" width="11" style="1" bestFit="1" customWidth="1"/>
    <col min="16" max="252" width="9.109375" style="1"/>
    <col min="253" max="253" width="45.88671875" style="1" customWidth="1"/>
    <col min="254" max="254" width="26.88671875" style="1" customWidth="1"/>
    <col min="255" max="255" width="16.33203125" style="1" customWidth="1"/>
    <col min="256" max="256" width="12.5546875" style="1" customWidth="1"/>
    <col min="257" max="257" width="10.44140625" style="1" customWidth="1"/>
    <col min="258" max="258" width="20.6640625" style="1" customWidth="1"/>
    <col min="259" max="259" width="14.5546875" style="1" customWidth="1"/>
    <col min="260" max="260" width="6.88671875" style="1" customWidth="1"/>
    <col min="261" max="261" width="14.33203125" style="1" customWidth="1"/>
    <col min="262" max="262" width="15.5546875" style="1" customWidth="1"/>
    <col min="263" max="263" width="14" style="1" customWidth="1"/>
    <col min="264" max="264" width="25.44140625" style="1" customWidth="1"/>
    <col min="265" max="508" width="9.109375" style="1"/>
    <col min="509" max="509" width="45.88671875" style="1" customWidth="1"/>
    <col min="510" max="510" width="26.88671875" style="1" customWidth="1"/>
    <col min="511" max="511" width="16.33203125" style="1" customWidth="1"/>
    <col min="512" max="512" width="12.5546875" style="1" customWidth="1"/>
    <col min="513" max="513" width="10.44140625" style="1" customWidth="1"/>
    <col min="514" max="514" width="20.6640625" style="1" customWidth="1"/>
    <col min="515" max="515" width="14.5546875" style="1" customWidth="1"/>
    <col min="516" max="516" width="6.88671875" style="1" customWidth="1"/>
    <col min="517" max="517" width="14.33203125" style="1" customWidth="1"/>
    <col min="518" max="518" width="15.5546875" style="1" customWidth="1"/>
    <col min="519" max="519" width="14" style="1" customWidth="1"/>
    <col min="520" max="520" width="25.44140625" style="1" customWidth="1"/>
    <col min="521" max="764" width="9.109375" style="1"/>
    <col min="765" max="765" width="45.88671875" style="1" customWidth="1"/>
    <col min="766" max="766" width="26.88671875" style="1" customWidth="1"/>
    <col min="767" max="767" width="16.33203125" style="1" customWidth="1"/>
    <col min="768" max="768" width="12.5546875" style="1" customWidth="1"/>
    <col min="769" max="769" width="10.44140625" style="1" customWidth="1"/>
    <col min="770" max="770" width="20.6640625" style="1" customWidth="1"/>
    <col min="771" max="771" width="14.5546875" style="1" customWidth="1"/>
    <col min="772" max="772" width="6.88671875" style="1" customWidth="1"/>
    <col min="773" max="773" width="14.33203125" style="1" customWidth="1"/>
    <col min="774" max="774" width="15.5546875" style="1" customWidth="1"/>
    <col min="775" max="775" width="14" style="1" customWidth="1"/>
    <col min="776" max="776" width="25.44140625" style="1" customWidth="1"/>
    <col min="777" max="1020" width="9.109375" style="1"/>
    <col min="1021" max="1021" width="45.88671875" style="1" customWidth="1"/>
    <col min="1022" max="1022" width="26.88671875" style="1" customWidth="1"/>
    <col min="1023" max="1023" width="16.33203125" style="1" customWidth="1"/>
    <col min="1024" max="1024" width="12.5546875" style="1" customWidth="1"/>
    <col min="1025" max="1025" width="10.44140625" style="1" customWidth="1"/>
    <col min="1026" max="1026" width="20.6640625" style="1" customWidth="1"/>
    <col min="1027" max="1027" width="14.5546875" style="1" customWidth="1"/>
    <col min="1028" max="1028" width="6.88671875" style="1" customWidth="1"/>
    <col min="1029" max="1029" width="14.33203125" style="1" customWidth="1"/>
    <col min="1030" max="1030" width="15.5546875" style="1" customWidth="1"/>
    <col min="1031" max="1031" width="14" style="1" customWidth="1"/>
    <col min="1032" max="1032" width="25.44140625" style="1" customWidth="1"/>
    <col min="1033" max="1276" width="9.109375" style="1"/>
    <col min="1277" max="1277" width="45.88671875" style="1" customWidth="1"/>
    <col min="1278" max="1278" width="26.88671875" style="1" customWidth="1"/>
    <col min="1279" max="1279" width="16.33203125" style="1" customWidth="1"/>
    <col min="1280" max="1280" width="12.5546875" style="1" customWidth="1"/>
    <col min="1281" max="1281" width="10.44140625" style="1" customWidth="1"/>
    <col min="1282" max="1282" width="20.6640625" style="1" customWidth="1"/>
    <col min="1283" max="1283" width="14.5546875" style="1" customWidth="1"/>
    <col min="1284" max="1284" width="6.88671875" style="1" customWidth="1"/>
    <col min="1285" max="1285" width="14.33203125" style="1" customWidth="1"/>
    <col min="1286" max="1286" width="15.5546875" style="1" customWidth="1"/>
    <col min="1287" max="1287" width="14" style="1" customWidth="1"/>
    <col min="1288" max="1288" width="25.44140625" style="1" customWidth="1"/>
    <col min="1289" max="1532" width="9.109375" style="1"/>
    <col min="1533" max="1533" width="45.88671875" style="1" customWidth="1"/>
    <col min="1534" max="1534" width="26.88671875" style="1" customWidth="1"/>
    <col min="1535" max="1535" width="16.33203125" style="1" customWidth="1"/>
    <col min="1536" max="1536" width="12.5546875" style="1" customWidth="1"/>
    <col min="1537" max="1537" width="10.44140625" style="1" customWidth="1"/>
    <col min="1538" max="1538" width="20.6640625" style="1" customWidth="1"/>
    <col min="1539" max="1539" width="14.5546875" style="1" customWidth="1"/>
    <col min="1540" max="1540" width="6.88671875" style="1" customWidth="1"/>
    <col min="1541" max="1541" width="14.33203125" style="1" customWidth="1"/>
    <col min="1542" max="1542" width="15.5546875" style="1" customWidth="1"/>
    <col min="1543" max="1543" width="14" style="1" customWidth="1"/>
    <col min="1544" max="1544" width="25.44140625" style="1" customWidth="1"/>
    <col min="1545" max="1788" width="9.109375" style="1"/>
    <col min="1789" max="1789" width="45.88671875" style="1" customWidth="1"/>
    <col min="1790" max="1790" width="26.88671875" style="1" customWidth="1"/>
    <col min="1791" max="1791" width="16.33203125" style="1" customWidth="1"/>
    <col min="1792" max="1792" width="12.5546875" style="1" customWidth="1"/>
    <col min="1793" max="1793" width="10.44140625" style="1" customWidth="1"/>
    <col min="1794" max="1794" width="20.6640625" style="1" customWidth="1"/>
    <col min="1795" max="1795" width="14.5546875" style="1" customWidth="1"/>
    <col min="1796" max="1796" width="6.88671875" style="1" customWidth="1"/>
    <col min="1797" max="1797" width="14.33203125" style="1" customWidth="1"/>
    <col min="1798" max="1798" width="15.5546875" style="1" customWidth="1"/>
    <col min="1799" max="1799" width="14" style="1" customWidth="1"/>
    <col min="1800" max="1800" width="25.44140625" style="1" customWidth="1"/>
    <col min="1801" max="2044" width="9.109375" style="1"/>
    <col min="2045" max="2045" width="45.88671875" style="1" customWidth="1"/>
    <col min="2046" max="2046" width="26.88671875" style="1" customWidth="1"/>
    <col min="2047" max="2047" width="16.33203125" style="1" customWidth="1"/>
    <col min="2048" max="2048" width="12.5546875" style="1" customWidth="1"/>
    <col min="2049" max="2049" width="10.44140625" style="1" customWidth="1"/>
    <col min="2050" max="2050" width="20.6640625" style="1" customWidth="1"/>
    <col min="2051" max="2051" width="14.5546875" style="1" customWidth="1"/>
    <col min="2052" max="2052" width="6.88671875" style="1" customWidth="1"/>
    <col min="2053" max="2053" width="14.33203125" style="1" customWidth="1"/>
    <col min="2054" max="2054" width="15.5546875" style="1" customWidth="1"/>
    <col min="2055" max="2055" width="14" style="1" customWidth="1"/>
    <col min="2056" max="2056" width="25.44140625" style="1" customWidth="1"/>
    <col min="2057" max="2300" width="9.109375" style="1"/>
    <col min="2301" max="2301" width="45.88671875" style="1" customWidth="1"/>
    <col min="2302" max="2302" width="26.88671875" style="1" customWidth="1"/>
    <col min="2303" max="2303" width="16.33203125" style="1" customWidth="1"/>
    <col min="2304" max="2304" width="12.5546875" style="1" customWidth="1"/>
    <col min="2305" max="2305" width="10.44140625" style="1" customWidth="1"/>
    <col min="2306" max="2306" width="20.6640625" style="1" customWidth="1"/>
    <col min="2307" max="2307" width="14.5546875" style="1" customWidth="1"/>
    <col min="2308" max="2308" width="6.88671875" style="1" customWidth="1"/>
    <col min="2309" max="2309" width="14.33203125" style="1" customWidth="1"/>
    <col min="2310" max="2310" width="15.5546875" style="1" customWidth="1"/>
    <col min="2311" max="2311" width="14" style="1" customWidth="1"/>
    <col min="2312" max="2312" width="25.44140625" style="1" customWidth="1"/>
    <col min="2313" max="2556" width="9.109375" style="1"/>
    <col min="2557" max="2557" width="45.88671875" style="1" customWidth="1"/>
    <col min="2558" max="2558" width="26.88671875" style="1" customWidth="1"/>
    <col min="2559" max="2559" width="16.33203125" style="1" customWidth="1"/>
    <col min="2560" max="2560" width="12.5546875" style="1" customWidth="1"/>
    <col min="2561" max="2561" width="10.44140625" style="1" customWidth="1"/>
    <col min="2562" max="2562" width="20.6640625" style="1" customWidth="1"/>
    <col min="2563" max="2563" width="14.5546875" style="1" customWidth="1"/>
    <col min="2564" max="2564" width="6.88671875" style="1" customWidth="1"/>
    <col min="2565" max="2565" width="14.33203125" style="1" customWidth="1"/>
    <col min="2566" max="2566" width="15.5546875" style="1" customWidth="1"/>
    <col min="2567" max="2567" width="14" style="1" customWidth="1"/>
    <col min="2568" max="2568" width="25.44140625" style="1" customWidth="1"/>
    <col min="2569" max="2812" width="9.109375" style="1"/>
    <col min="2813" max="2813" width="45.88671875" style="1" customWidth="1"/>
    <col min="2814" max="2814" width="26.88671875" style="1" customWidth="1"/>
    <col min="2815" max="2815" width="16.33203125" style="1" customWidth="1"/>
    <col min="2816" max="2816" width="12.5546875" style="1" customWidth="1"/>
    <col min="2817" max="2817" width="10.44140625" style="1" customWidth="1"/>
    <col min="2818" max="2818" width="20.6640625" style="1" customWidth="1"/>
    <col min="2819" max="2819" width="14.5546875" style="1" customWidth="1"/>
    <col min="2820" max="2820" width="6.88671875" style="1" customWidth="1"/>
    <col min="2821" max="2821" width="14.33203125" style="1" customWidth="1"/>
    <col min="2822" max="2822" width="15.5546875" style="1" customWidth="1"/>
    <col min="2823" max="2823" width="14" style="1" customWidth="1"/>
    <col min="2824" max="2824" width="25.44140625" style="1" customWidth="1"/>
    <col min="2825" max="3068" width="9.109375" style="1"/>
    <col min="3069" max="3069" width="45.88671875" style="1" customWidth="1"/>
    <col min="3070" max="3070" width="26.88671875" style="1" customWidth="1"/>
    <col min="3071" max="3071" width="16.33203125" style="1" customWidth="1"/>
    <col min="3072" max="3072" width="12.5546875" style="1" customWidth="1"/>
    <col min="3073" max="3073" width="10.44140625" style="1" customWidth="1"/>
    <col min="3074" max="3074" width="20.6640625" style="1" customWidth="1"/>
    <col min="3075" max="3075" width="14.5546875" style="1" customWidth="1"/>
    <col min="3076" max="3076" width="6.88671875" style="1" customWidth="1"/>
    <col min="3077" max="3077" width="14.33203125" style="1" customWidth="1"/>
    <col min="3078" max="3078" width="15.5546875" style="1" customWidth="1"/>
    <col min="3079" max="3079" width="14" style="1" customWidth="1"/>
    <col min="3080" max="3080" width="25.44140625" style="1" customWidth="1"/>
    <col min="3081" max="3324" width="9.109375" style="1"/>
    <col min="3325" max="3325" width="45.88671875" style="1" customWidth="1"/>
    <col min="3326" max="3326" width="26.88671875" style="1" customWidth="1"/>
    <col min="3327" max="3327" width="16.33203125" style="1" customWidth="1"/>
    <col min="3328" max="3328" width="12.5546875" style="1" customWidth="1"/>
    <col min="3329" max="3329" width="10.44140625" style="1" customWidth="1"/>
    <col min="3330" max="3330" width="20.6640625" style="1" customWidth="1"/>
    <col min="3331" max="3331" width="14.5546875" style="1" customWidth="1"/>
    <col min="3332" max="3332" width="6.88671875" style="1" customWidth="1"/>
    <col min="3333" max="3333" width="14.33203125" style="1" customWidth="1"/>
    <col min="3334" max="3334" width="15.5546875" style="1" customWidth="1"/>
    <col min="3335" max="3335" width="14" style="1" customWidth="1"/>
    <col min="3336" max="3336" width="25.44140625" style="1" customWidth="1"/>
    <col min="3337" max="3580" width="9.109375" style="1"/>
    <col min="3581" max="3581" width="45.88671875" style="1" customWidth="1"/>
    <col min="3582" max="3582" width="26.88671875" style="1" customWidth="1"/>
    <col min="3583" max="3583" width="16.33203125" style="1" customWidth="1"/>
    <col min="3584" max="3584" width="12.5546875" style="1" customWidth="1"/>
    <col min="3585" max="3585" width="10.44140625" style="1" customWidth="1"/>
    <col min="3586" max="3586" width="20.6640625" style="1" customWidth="1"/>
    <col min="3587" max="3587" width="14.5546875" style="1" customWidth="1"/>
    <col min="3588" max="3588" width="6.88671875" style="1" customWidth="1"/>
    <col min="3589" max="3589" width="14.33203125" style="1" customWidth="1"/>
    <col min="3590" max="3590" width="15.5546875" style="1" customWidth="1"/>
    <col min="3591" max="3591" width="14" style="1" customWidth="1"/>
    <col min="3592" max="3592" width="25.44140625" style="1" customWidth="1"/>
    <col min="3593" max="3836" width="9.109375" style="1"/>
    <col min="3837" max="3837" width="45.88671875" style="1" customWidth="1"/>
    <col min="3838" max="3838" width="26.88671875" style="1" customWidth="1"/>
    <col min="3839" max="3839" width="16.33203125" style="1" customWidth="1"/>
    <col min="3840" max="3840" width="12.5546875" style="1" customWidth="1"/>
    <col min="3841" max="3841" width="10.44140625" style="1" customWidth="1"/>
    <col min="3842" max="3842" width="20.6640625" style="1" customWidth="1"/>
    <col min="3843" max="3843" width="14.5546875" style="1" customWidth="1"/>
    <col min="3844" max="3844" width="6.88671875" style="1" customWidth="1"/>
    <col min="3845" max="3845" width="14.33203125" style="1" customWidth="1"/>
    <col min="3846" max="3846" width="15.5546875" style="1" customWidth="1"/>
    <col min="3847" max="3847" width="14" style="1" customWidth="1"/>
    <col min="3848" max="3848" width="25.44140625" style="1" customWidth="1"/>
    <col min="3849" max="4092" width="9.109375" style="1"/>
    <col min="4093" max="4093" width="45.88671875" style="1" customWidth="1"/>
    <col min="4094" max="4094" width="26.88671875" style="1" customWidth="1"/>
    <col min="4095" max="4095" width="16.33203125" style="1" customWidth="1"/>
    <col min="4096" max="4096" width="12.5546875" style="1" customWidth="1"/>
    <col min="4097" max="4097" width="10.44140625" style="1" customWidth="1"/>
    <col min="4098" max="4098" width="20.6640625" style="1" customWidth="1"/>
    <col min="4099" max="4099" width="14.5546875" style="1" customWidth="1"/>
    <col min="4100" max="4100" width="6.88671875" style="1" customWidth="1"/>
    <col min="4101" max="4101" width="14.33203125" style="1" customWidth="1"/>
    <col min="4102" max="4102" width="15.5546875" style="1" customWidth="1"/>
    <col min="4103" max="4103" width="14" style="1" customWidth="1"/>
    <col min="4104" max="4104" width="25.44140625" style="1" customWidth="1"/>
    <col min="4105" max="4348" width="9.109375" style="1"/>
    <col min="4349" max="4349" width="45.88671875" style="1" customWidth="1"/>
    <col min="4350" max="4350" width="26.88671875" style="1" customWidth="1"/>
    <col min="4351" max="4351" width="16.33203125" style="1" customWidth="1"/>
    <col min="4352" max="4352" width="12.5546875" style="1" customWidth="1"/>
    <col min="4353" max="4353" width="10.44140625" style="1" customWidth="1"/>
    <col min="4354" max="4354" width="20.6640625" style="1" customWidth="1"/>
    <col min="4355" max="4355" width="14.5546875" style="1" customWidth="1"/>
    <col min="4356" max="4356" width="6.88671875" style="1" customWidth="1"/>
    <col min="4357" max="4357" width="14.33203125" style="1" customWidth="1"/>
    <col min="4358" max="4358" width="15.5546875" style="1" customWidth="1"/>
    <col min="4359" max="4359" width="14" style="1" customWidth="1"/>
    <col min="4360" max="4360" width="25.44140625" style="1" customWidth="1"/>
    <col min="4361" max="4604" width="9.109375" style="1"/>
    <col min="4605" max="4605" width="45.88671875" style="1" customWidth="1"/>
    <col min="4606" max="4606" width="26.88671875" style="1" customWidth="1"/>
    <col min="4607" max="4607" width="16.33203125" style="1" customWidth="1"/>
    <col min="4608" max="4608" width="12.5546875" style="1" customWidth="1"/>
    <col min="4609" max="4609" width="10.44140625" style="1" customWidth="1"/>
    <col min="4610" max="4610" width="20.6640625" style="1" customWidth="1"/>
    <col min="4611" max="4611" width="14.5546875" style="1" customWidth="1"/>
    <col min="4612" max="4612" width="6.88671875" style="1" customWidth="1"/>
    <col min="4613" max="4613" width="14.33203125" style="1" customWidth="1"/>
    <col min="4614" max="4614" width="15.5546875" style="1" customWidth="1"/>
    <col min="4615" max="4615" width="14" style="1" customWidth="1"/>
    <col min="4616" max="4616" width="25.44140625" style="1" customWidth="1"/>
    <col min="4617" max="4860" width="9.109375" style="1"/>
    <col min="4861" max="4861" width="45.88671875" style="1" customWidth="1"/>
    <col min="4862" max="4862" width="26.88671875" style="1" customWidth="1"/>
    <col min="4863" max="4863" width="16.33203125" style="1" customWidth="1"/>
    <col min="4864" max="4864" width="12.5546875" style="1" customWidth="1"/>
    <col min="4865" max="4865" width="10.44140625" style="1" customWidth="1"/>
    <col min="4866" max="4866" width="20.6640625" style="1" customWidth="1"/>
    <col min="4867" max="4867" width="14.5546875" style="1" customWidth="1"/>
    <col min="4868" max="4868" width="6.88671875" style="1" customWidth="1"/>
    <col min="4869" max="4869" width="14.33203125" style="1" customWidth="1"/>
    <col min="4870" max="4870" width="15.5546875" style="1" customWidth="1"/>
    <col min="4871" max="4871" width="14" style="1" customWidth="1"/>
    <col min="4872" max="4872" width="25.44140625" style="1" customWidth="1"/>
    <col min="4873" max="5116" width="9.109375" style="1"/>
    <col min="5117" max="5117" width="45.88671875" style="1" customWidth="1"/>
    <col min="5118" max="5118" width="26.88671875" style="1" customWidth="1"/>
    <col min="5119" max="5119" width="16.33203125" style="1" customWidth="1"/>
    <col min="5120" max="5120" width="12.5546875" style="1" customWidth="1"/>
    <col min="5121" max="5121" width="10.44140625" style="1" customWidth="1"/>
    <col min="5122" max="5122" width="20.6640625" style="1" customWidth="1"/>
    <col min="5123" max="5123" width="14.5546875" style="1" customWidth="1"/>
    <col min="5124" max="5124" width="6.88671875" style="1" customWidth="1"/>
    <col min="5125" max="5125" width="14.33203125" style="1" customWidth="1"/>
    <col min="5126" max="5126" width="15.5546875" style="1" customWidth="1"/>
    <col min="5127" max="5127" width="14" style="1" customWidth="1"/>
    <col min="5128" max="5128" width="25.44140625" style="1" customWidth="1"/>
    <col min="5129" max="5372" width="9.109375" style="1"/>
    <col min="5373" max="5373" width="45.88671875" style="1" customWidth="1"/>
    <col min="5374" max="5374" width="26.88671875" style="1" customWidth="1"/>
    <col min="5375" max="5375" width="16.33203125" style="1" customWidth="1"/>
    <col min="5376" max="5376" width="12.5546875" style="1" customWidth="1"/>
    <col min="5377" max="5377" width="10.44140625" style="1" customWidth="1"/>
    <col min="5378" max="5378" width="20.6640625" style="1" customWidth="1"/>
    <col min="5379" max="5379" width="14.5546875" style="1" customWidth="1"/>
    <col min="5380" max="5380" width="6.88671875" style="1" customWidth="1"/>
    <col min="5381" max="5381" width="14.33203125" style="1" customWidth="1"/>
    <col min="5382" max="5382" width="15.5546875" style="1" customWidth="1"/>
    <col min="5383" max="5383" width="14" style="1" customWidth="1"/>
    <col min="5384" max="5384" width="25.44140625" style="1" customWidth="1"/>
    <col min="5385" max="5628" width="9.109375" style="1"/>
    <col min="5629" max="5629" width="45.88671875" style="1" customWidth="1"/>
    <col min="5630" max="5630" width="26.88671875" style="1" customWidth="1"/>
    <col min="5631" max="5631" width="16.33203125" style="1" customWidth="1"/>
    <col min="5632" max="5632" width="12.5546875" style="1" customWidth="1"/>
    <col min="5633" max="5633" width="10.44140625" style="1" customWidth="1"/>
    <col min="5634" max="5634" width="20.6640625" style="1" customWidth="1"/>
    <col min="5635" max="5635" width="14.5546875" style="1" customWidth="1"/>
    <col min="5636" max="5636" width="6.88671875" style="1" customWidth="1"/>
    <col min="5637" max="5637" width="14.33203125" style="1" customWidth="1"/>
    <col min="5638" max="5638" width="15.5546875" style="1" customWidth="1"/>
    <col min="5639" max="5639" width="14" style="1" customWidth="1"/>
    <col min="5640" max="5640" width="25.44140625" style="1" customWidth="1"/>
    <col min="5641" max="5884" width="9.109375" style="1"/>
    <col min="5885" max="5885" width="45.88671875" style="1" customWidth="1"/>
    <col min="5886" max="5886" width="26.88671875" style="1" customWidth="1"/>
    <col min="5887" max="5887" width="16.33203125" style="1" customWidth="1"/>
    <col min="5888" max="5888" width="12.5546875" style="1" customWidth="1"/>
    <col min="5889" max="5889" width="10.44140625" style="1" customWidth="1"/>
    <col min="5890" max="5890" width="20.6640625" style="1" customWidth="1"/>
    <col min="5891" max="5891" width="14.5546875" style="1" customWidth="1"/>
    <col min="5892" max="5892" width="6.88671875" style="1" customWidth="1"/>
    <col min="5893" max="5893" width="14.33203125" style="1" customWidth="1"/>
    <col min="5894" max="5894" width="15.5546875" style="1" customWidth="1"/>
    <col min="5895" max="5895" width="14" style="1" customWidth="1"/>
    <col min="5896" max="5896" width="25.44140625" style="1" customWidth="1"/>
    <col min="5897" max="6140" width="9.109375" style="1"/>
    <col min="6141" max="6141" width="45.88671875" style="1" customWidth="1"/>
    <col min="6142" max="6142" width="26.88671875" style="1" customWidth="1"/>
    <col min="6143" max="6143" width="16.33203125" style="1" customWidth="1"/>
    <col min="6144" max="6144" width="12.5546875" style="1" customWidth="1"/>
    <col min="6145" max="6145" width="10.44140625" style="1" customWidth="1"/>
    <col min="6146" max="6146" width="20.6640625" style="1" customWidth="1"/>
    <col min="6147" max="6147" width="14.5546875" style="1" customWidth="1"/>
    <col min="6148" max="6148" width="6.88671875" style="1" customWidth="1"/>
    <col min="6149" max="6149" width="14.33203125" style="1" customWidth="1"/>
    <col min="6150" max="6150" width="15.5546875" style="1" customWidth="1"/>
    <col min="6151" max="6151" width="14" style="1" customWidth="1"/>
    <col min="6152" max="6152" width="25.44140625" style="1" customWidth="1"/>
    <col min="6153" max="6396" width="9.109375" style="1"/>
    <col min="6397" max="6397" width="45.88671875" style="1" customWidth="1"/>
    <col min="6398" max="6398" width="26.88671875" style="1" customWidth="1"/>
    <col min="6399" max="6399" width="16.33203125" style="1" customWidth="1"/>
    <col min="6400" max="6400" width="12.5546875" style="1" customWidth="1"/>
    <col min="6401" max="6401" width="10.44140625" style="1" customWidth="1"/>
    <col min="6402" max="6402" width="20.6640625" style="1" customWidth="1"/>
    <col min="6403" max="6403" width="14.5546875" style="1" customWidth="1"/>
    <col min="6404" max="6404" width="6.88671875" style="1" customWidth="1"/>
    <col min="6405" max="6405" width="14.33203125" style="1" customWidth="1"/>
    <col min="6406" max="6406" width="15.5546875" style="1" customWidth="1"/>
    <col min="6407" max="6407" width="14" style="1" customWidth="1"/>
    <col min="6408" max="6408" width="25.44140625" style="1" customWidth="1"/>
    <col min="6409" max="6652" width="9.109375" style="1"/>
    <col min="6653" max="6653" width="45.88671875" style="1" customWidth="1"/>
    <col min="6654" max="6654" width="26.88671875" style="1" customWidth="1"/>
    <col min="6655" max="6655" width="16.33203125" style="1" customWidth="1"/>
    <col min="6656" max="6656" width="12.5546875" style="1" customWidth="1"/>
    <col min="6657" max="6657" width="10.44140625" style="1" customWidth="1"/>
    <col min="6658" max="6658" width="20.6640625" style="1" customWidth="1"/>
    <col min="6659" max="6659" width="14.5546875" style="1" customWidth="1"/>
    <col min="6660" max="6660" width="6.88671875" style="1" customWidth="1"/>
    <col min="6661" max="6661" width="14.33203125" style="1" customWidth="1"/>
    <col min="6662" max="6662" width="15.5546875" style="1" customWidth="1"/>
    <col min="6663" max="6663" width="14" style="1" customWidth="1"/>
    <col min="6664" max="6664" width="25.44140625" style="1" customWidth="1"/>
    <col min="6665" max="6908" width="9.109375" style="1"/>
    <col min="6909" max="6909" width="45.88671875" style="1" customWidth="1"/>
    <col min="6910" max="6910" width="26.88671875" style="1" customWidth="1"/>
    <col min="6911" max="6911" width="16.33203125" style="1" customWidth="1"/>
    <col min="6912" max="6912" width="12.5546875" style="1" customWidth="1"/>
    <col min="6913" max="6913" width="10.44140625" style="1" customWidth="1"/>
    <col min="6914" max="6914" width="20.6640625" style="1" customWidth="1"/>
    <col min="6915" max="6915" width="14.5546875" style="1" customWidth="1"/>
    <col min="6916" max="6916" width="6.88671875" style="1" customWidth="1"/>
    <col min="6917" max="6917" width="14.33203125" style="1" customWidth="1"/>
    <col min="6918" max="6918" width="15.5546875" style="1" customWidth="1"/>
    <col min="6919" max="6919" width="14" style="1" customWidth="1"/>
    <col min="6920" max="6920" width="25.44140625" style="1" customWidth="1"/>
    <col min="6921" max="7164" width="9.109375" style="1"/>
    <col min="7165" max="7165" width="45.88671875" style="1" customWidth="1"/>
    <col min="7166" max="7166" width="26.88671875" style="1" customWidth="1"/>
    <col min="7167" max="7167" width="16.33203125" style="1" customWidth="1"/>
    <col min="7168" max="7168" width="12.5546875" style="1" customWidth="1"/>
    <col min="7169" max="7169" width="10.44140625" style="1" customWidth="1"/>
    <col min="7170" max="7170" width="20.6640625" style="1" customWidth="1"/>
    <col min="7171" max="7171" width="14.5546875" style="1" customWidth="1"/>
    <col min="7172" max="7172" width="6.88671875" style="1" customWidth="1"/>
    <col min="7173" max="7173" width="14.33203125" style="1" customWidth="1"/>
    <col min="7174" max="7174" width="15.5546875" style="1" customWidth="1"/>
    <col min="7175" max="7175" width="14" style="1" customWidth="1"/>
    <col min="7176" max="7176" width="25.44140625" style="1" customWidth="1"/>
    <col min="7177" max="7420" width="9.109375" style="1"/>
    <col min="7421" max="7421" width="45.88671875" style="1" customWidth="1"/>
    <col min="7422" max="7422" width="26.88671875" style="1" customWidth="1"/>
    <col min="7423" max="7423" width="16.33203125" style="1" customWidth="1"/>
    <col min="7424" max="7424" width="12.5546875" style="1" customWidth="1"/>
    <col min="7425" max="7425" width="10.44140625" style="1" customWidth="1"/>
    <col min="7426" max="7426" width="20.6640625" style="1" customWidth="1"/>
    <col min="7427" max="7427" width="14.5546875" style="1" customWidth="1"/>
    <col min="7428" max="7428" width="6.88671875" style="1" customWidth="1"/>
    <col min="7429" max="7429" width="14.33203125" style="1" customWidth="1"/>
    <col min="7430" max="7430" width="15.5546875" style="1" customWidth="1"/>
    <col min="7431" max="7431" width="14" style="1" customWidth="1"/>
    <col min="7432" max="7432" width="25.44140625" style="1" customWidth="1"/>
    <col min="7433" max="7676" width="9.109375" style="1"/>
    <col min="7677" max="7677" width="45.88671875" style="1" customWidth="1"/>
    <col min="7678" max="7678" width="26.88671875" style="1" customWidth="1"/>
    <col min="7679" max="7679" width="16.33203125" style="1" customWidth="1"/>
    <col min="7680" max="7680" width="12.5546875" style="1" customWidth="1"/>
    <col min="7681" max="7681" width="10.44140625" style="1" customWidth="1"/>
    <col min="7682" max="7682" width="20.6640625" style="1" customWidth="1"/>
    <col min="7683" max="7683" width="14.5546875" style="1" customWidth="1"/>
    <col min="7684" max="7684" width="6.88671875" style="1" customWidth="1"/>
    <col min="7685" max="7685" width="14.33203125" style="1" customWidth="1"/>
    <col min="7686" max="7686" width="15.5546875" style="1" customWidth="1"/>
    <col min="7687" max="7687" width="14" style="1" customWidth="1"/>
    <col min="7688" max="7688" width="25.44140625" style="1" customWidth="1"/>
    <col min="7689" max="7932" width="9.109375" style="1"/>
    <col min="7933" max="7933" width="45.88671875" style="1" customWidth="1"/>
    <col min="7934" max="7934" width="26.88671875" style="1" customWidth="1"/>
    <col min="7935" max="7935" width="16.33203125" style="1" customWidth="1"/>
    <col min="7936" max="7936" width="12.5546875" style="1" customWidth="1"/>
    <col min="7937" max="7937" width="10.44140625" style="1" customWidth="1"/>
    <col min="7938" max="7938" width="20.6640625" style="1" customWidth="1"/>
    <col min="7939" max="7939" width="14.5546875" style="1" customWidth="1"/>
    <col min="7940" max="7940" width="6.88671875" style="1" customWidth="1"/>
    <col min="7941" max="7941" width="14.33203125" style="1" customWidth="1"/>
    <col min="7942" max="7942" width="15.5546875" style="1" customWidth="1"/>
    <col min="7943" max="7943" width="14" style="1" customWidth="1"/>
    <col min="7944" max="7944" width="25.44140625" style="1" customWidth="1"/>
    <col min="7945" max="8188" width="9.109375" style="1"/>
    <col min="8189" max="8189" width="45.88671875" style="1" customWidth="1"/>
    <col min="8190" max="8190" width="26.88671875" style="1" customWidth="1"/>
    <col min="8191" max="8191" width="16.33203125" style="1" customWidth="1"/>
    <col min="8192" max="8192" width="12.5546875" style="1" customWidth="1"/>
    <col min="8193" max="8193" width="10.44140625" style="1" customWidth="1"/>
    <col min="8194" max="8194" width="20.6640625" style="1" customWidth="1"/>
    <col min="8195" max="8195" width="14.5546875" style="1" customWidth="1"/>
    <col min="8196" max="8196" width="6.88671875" style="1" customWidth="1"/>
    <col min="8197" max="8197" width="14.33203125" style="1" customWidth="1"/>
    <col min="8198" max="8198" width="15.5546875" style="1" customWidth="1"/>
    <col min="8199" max="8199" width="14" style="1" customWidth="1"/>
    <col min="8200" max="8200" width="25.44140625" style="1" customWidth="1"/>
    <col min="8201" max="8444" width="9.109375" style="1"/>
    <col min="8445" max="8445" width="45.88671875" style="1" customWidth="1"/>
    <col min="8446" max="8446" width="26.88671875" style="1" customWidth="1"/>
    <col min="8447" max="8447" width="16.33203125" style="1" customWidth="1"/>
    <col min="8448" max="8448" width="12.5546875" style="1" customWidth="1"/>
    <col min="8449" max="8449" width="10.44140625" style="1" customWidth="1"/>
    <col min="8450" max="8450" width="20.6640625" style="1" customWidth="1"/>
    <col min="8451" max="8451" width="14.5546875" style="1" customWidth="1"/>
    <col min="8452" max="8452" width="6.88671875" style="1" customWidth="1"/>
    <col min="8453" max="8453" width="14.33203125" style="1" customWidth="1"/>
    <col min="8454" max="8454" width="15.5546875" style="1" customWidth="1"/>
    <col min="8455" max="8455" width="14" style="1" customWidth="1"/>
    <col min="8456" max="8456" width="25.44140625" style="1" customWidth="1"/>
    <col min="8457" max="8700" width="9.109375" style="1"/>
    <col min="8701" max="8701" width="45.88671875" style="1" customWidth="1"/>
    <col min="8702" max="8702" width="26.88671875" style="1" customWidth="1"/>
    <col min="8703" max="8703" width="16.33203125" style="1" customWidth="1"/>
    <col min="8704" max="8704" width="12.5546875" style="1" customWidth="1"/>
    <col min="8705" max="8705" width="10.44140625" style="1" customWidth="1"/>
    <col min="8706" max="8706" width="20.6640625" style="1" customWidth="1"/>
    <col min="8707" max="8707" width="14.5546875" style="1" customWidth="1"/>
    <col min="8708" max="8708" width="6.88671875" style="1" customWidth="1"/>
    <col min="8709" max="8709" width="14.33203125" style="1" customWidth="1"/>
    <col min="8710" max="8710" width="15.5546875" style="1" customWidth="1"/>
    <col min="8711" max="8711" width="14" style="1" customWidth="1"/>
    <col min="8712" max="8712" width="25.44140625" style="1" customWidth="1"/>
    <col min="8713" max="8956" width="9.109375" style="1"/>
    <col min="8957" max="8957" width="45.88671875" style="1" customWidth="1"/>
    <col min="8958" max="8958" width="26.88671875" style="1" customWidth="1"/>
    <col min="8959" max="8959" width="16.33203125" style="1" customWidth="1"/>
    <col min="8960" max="8960" width="12.5546875" style="1" customWidth="1"/>
    <col min="8961" max="8961" width="10.44140625" style="1" customWidth="1"/>
    <col min="8962" max="8962" width="20.6640625" style="1" customWidth="1"/>
    <col min="8963" max="8963" width="14.5546875" style="1" customWidth="1"/>
    <col min="8964" max="8964" width="6.88671875" style="1" customWidth="1"/>
    <col min="8965" max="8965" width="14.33203125" style="1" customWidth="1"/>
    <col min="8966" max="8966" width="15.5546875" style="1" customWidth="1"/>
    <col min="8967" max="8967" width="14" style="1" customWidth="1"/>
    <col min="8968" max="8968" width="25.44140625" style="1" customWidth="1"/>
    <col min="8969" max="9212" width="9.109375" style="1"/>
    <col min="9213" max="9213" width="45.88671875" style="1" customWidth="1"/>
    <col min="9214" max="9214" width="26.88671875" style="1" customWidth="1"/>
    <col min="9215" max="9215" width="16.33203125" style="1" customWidth="1"/>
    <col min="9216" max="9216" width="12.5546875" style="1" customWidth="1"/>
    <col min="9217" max="9217" width="10.44140625" style="1" customWidth="1"/>
    <col min="9218" max="9218" width="20.6640625" style="1" customWidth="1"/>
    <col min="9219" max="9219" width="14.5546875" style="1" customWidth="1"/>
    <col min="9220" max="9220" width="6.88671875" style="1" customWidth="1"/>
    <col min="9221" max="9221" width="14.33203125" style="1" customWidth="1"/>
    <col min="9222" max="9222" width="15.5546875" style="1" customWidth="1"/>
    <col min="9223" max="9223" width="14" style="1" customWidth="1"/>
    <col min="9224" max="9224" width="25.44140625" style="1" customWidth="1"/>
    <col min="9225" max="9468" width="9.109375" style="1"/>
    <col min="9469" max="9469" width="45.88671875" style="1" customWidth="1"/>
    <col min="9470" max="9470" width="26.88671875" style="1" customWidth="1"/>
    <col min="9471" max="9471" width="16.33203125" style="1" customWidth="1"/>
    <col min="9472" max="9472" width="12.5546875" style="1" customWidth="1"/>
    <col min="9473" max="9473" width="10.44140625" style="1" customWidth="1"/>
    <col min="9474" max="9474" width="20.6640625" style="1" customWidth="1"/>
    <col min="9475" max="9475" width="14.5546875" style="1" customWidth="1"/>
    <col min="9476" max="9476" width="6.88671875" style="1" customWidth="1"/>
    <col min="9477" max="9477" width="14.33203125" style="1" customWidth="1"/>
    <col min="9478" max="9478" width="15.5546875" style="1" customWidth="1"/>
    <col min="9479" max="9479" width="14" style="1" customWidth="1"/>
    <col min="9480" max="9480" width="25.44140625" style="1" customWidth="1"/>
    <col min="9481" max="9724" width="9.109375" style="1"/>
    <col min="9725" max="9725" width="45.88671875" style="1" customWidth="1"/>
    <col min="9726" max="9726" width="26.88671875" style="1" customWidth="1"/>
    <col min="9727" max="9727" width="16.33203125" style="1" customWidth="1"/>
    <col min="9728" max="9728" width="12.5546875" style="1" customWidth="1"/>
    <col min="9729" max="9729" width="10.44140625" style="1" customWidth="1"/>
    <col min="9730" max="9730" width="20.6640625" style="1" customWidth="1"/>
    <col min="9731" max="9731" width="14.5546875" style="1" customWidth="1"/>
    <col min="9732" max="9732" width="6.88671875" style="1" customWidth="1"/>
    <col min="9733" max="9733" width="14.33203125" style="1" customWidth="1"/>
    <col min="9734" max="9734" width="15.5546875" style="1" customWidth="1"/>
    <col min="9735" max="9735" width="14" style="1" customWidth="1"/>
    <col min="9736" max="9736" width="25.44140625" style="1" customWidth="1"/>
    <col min="9737" max="9980" width="9.109375" style="1"/>
    <col min="9981" max="9981" width="45.88671875" style="1" customWidth="1"/>
    <col min="9982" max="9982" width="26.88671875" style="1" customWidth="1"/>
    <col min="9983" max="9983" width="16.33203125" style="1" customWidth="1"/>
    <col min="9984" max="9984" width="12.5546875" style="1" customWidth="1"/>
    <col min="9985" max="9985" width="10.44140625" style="1" customWidth="1"/>
    <col min="9986" max="9986" width="20.6640625" style="1" customWidth="1"/>
    <col min="9987" max="9987" width="14.5546875" style="1" customWidth="1"/>
    <col min="9988" max="9988" width="6.88671875" style="1" customWidth="1"/>
    <col min="9989" max="9989" width="14.33203125" style="1" customWidth="1"/>
    <col min="9990" max="9990" width="15.5546875" style="1" customWidth="1"/>
    <col min="9991" max="9991" width="14" style="1" customWidth="1"/>
    <col min="9992" max="9992" width="25.44140625" style="1" customWidth="1"/>
    <col min="9993" max="10236" width="9.109375" style="1"/>
    <col min="10237" max="10237" width="45.88671875" style="1" customWidth="1"/>
    <col min="10238" max="10238" width="26.88671875" style="1" customWidth="1"/>
    <col min="10239" max="10239" width="16.33203125" style="1" customWidth="1"/>
    <col min="10240" max="10240" width="12.5546875" style="1" customWidth="1"/>
    <col min="10241" max="10241" width="10.44140625" style="1" customWidth="1"/>
    <col min="10242" max="10242" width="20.6640625" style="1" customWidth="1"/>
    <col min="10243" max="10243" width="14.5546875" style="1" customWidth="1"/>
    <col min="10244" max="10244" width="6.88671875" style="1" customWidth="1"/>
    <col min="10245" max="10245" width="14.33203125" style="1" customWidth="1"/>
    <col min="10246" max="10246" width="15.5546875" style="1" customWidth="1"/>
    <col min="10247" max="10247" width="14" style="1" customWidth="1"/>
    <col min="10248" max="10248" width="25.44140625" style="1" customWidth="1"/>
    <col min="10249" max="10492" width="9.109375" style="1"/>
    <col min="10493" max="10493" width="45.88671875" style="1" customWidth="1"/>
    <col min="10494" max="10494" width="26.88671875" style="1" customWidth="1"/>
    <col min="10495" max="10495" width="16.33203125" style="1" customWidth="1"/>
    <col min="10496" max="10496" width="12.5546875" style="1" customWidth="1"/>
    <col min="10497" max="10497" width="10.44140625" style="1" customWidth="1"/>
    <col min="10498" max="10498" width="20.6640625" style="1" customWidth="1"/>
    <col min="10499" max="10499" width="14.5546875" style="1" customWidth="1"/>
    <col min="10500" max="10500" width="6.88671875" style="1" customWidth="1"/>
    <col min="10501" max="10501" width="14.33203125" style="1" customWidth="1"/>
    <col min="10502" max="10502" width="15.5546875" style="1" customWidth="1"/>
    <col min="10503" max="10503" width="14" style="1" customWidth="1"/>
    <col min="10504" max="10504" width="25.44140625" style="1" customWidth="1"/>
    <col min="10505" max="10748" width="9.109375" style="1"/>
    <col min="10749" max="10749" width="45.88671875" style="1" customWidth="1"/>
    <col min="10750" max="10750" width="26.88671875" style="1" customWidth="1"/>
    <col min="10751" max="10751" width="16.33203125" style="1" customWidth="1"/>
    <col min="10752" max="10752" width="12.5546875" style="1" customWidth="1"/>
    <col min="10753" max="10753" width="10.44140625" style="1" customWidth="1"/>
    <col min="10754" max="10754" width="20.6640625" style="1" customWidth="1"/>
    <col min="10755" max="10755" width="14.5546875" style="1" customWidth="1"/>
    <col min="10756" max="10756" width="6.88671875" style="1" customWidth="1"/>
    <col min="10757" max="10757" width="14.33203125" style="1" customWidth="1"/>
    <col min="10758" max="10758" width="15.5546875" style="1" customWidth="1"/>
    <col min="10759" max="10759" width="14" style="1" customWidth="1"/>
    <col min="10760" max="10760" width="25.44140625" style="1" customWidth="1"/>
    <col min="10761" max="11004" width="9.109375" style="1"/>
    <col min="11005" max="11005" width="45.88671875" style="1" customWidth="1"/>
    <col min="11006" max="11006" width="26.88671875" style="1" customWidth="1"/>
    <col min="11007" max="11007" width="16.33203125" style="1" customWidth="1"/>
    <col min="11008" max="11008" width="12.5546875" style="1" customWidth="1"/>
    <col min="11009" max="11009" width="10.44140625" style="1" customWidth="1"/>
    <col min="11010" max="11010" width="20.6640625" style="1" customWidth="1"/>
    <col min="11011" max="11011" width="14.5546875" style="1" customWidth="1"/>
    <col min="11012" max="11012" width="6.88671875" style="1" customWidth="1"/>
    <col min="11013" max="11013" width="14.33203125" style="1" customWidth="1"/>
    <col min="11014" max="11014" width="15.5546875" style="1" customWidth="1"/>
    <col min="11015" max="11015" width="14" style="1" customWidth="1"/>
    <col min="11016" max="11016" width="25.44140625" style="1" customWidth="1"/>
    <col min="11017" max="11260" width="9.109375" style="1"/>
    <col min="11261" max="11261" width="45.88671875" style="1" customWidth="1"/>
    <col min="11262" max="11262" width="26.88671875" style="1" customWidth="1"/>
    <col min="11263" max="11263" width="16.33203125" style="1" customWidth="1"/>
    <col min="11264" max="11264" width="12.5546875" style="1" customWidth="1"/>
    <col min="11265" max="11265" width="10.44140625" style="1" customWidth="1"/>
    <col min="11266" max="11266" width="20.6640625" style="1" customWidth="1"/>
    <col min="11267" max="11267" width="14.5546875" style="1" customWidth="1"/>
    <col min="11268" max="11268" width="6.88671875" style="1" customWidth="1"/>
    <col min="11269" max="11269" width="14.33203125" style="1" customWidth="1"/>
    <col min="11270" max="11270" width="15.5546875" style="1" customWidth="1"/>
    <col min="11271" max="11271" width="14" style="1" customWidth="1"/>
    <col min="11272" max="11272" width="25.44140625" style="1" customWidth="1"/>
    <col min="11273" max="11516" width="9.109375" style="1"/>
    <col min="11517" max="11517" width="45.88671875" style="1" customWidth="1"/>
    <col min="11518" max="11518" width="26.88671875" style="1" customWidth="1"/>
    <col min="11519" max="11519" width="16.33203125" style="1" customWidth="1"/>
    <col min="11520" max="11520" width="12.5546875" style="1" customWidth="1"/>
    <col min="11521" max="11521" width="10.44140625" style="1" customWidth="1"/>
    <col min="11522" max="11522" width="20.6640625" style="1" customWidth="1"/>
    <col min="11523" max="11523" width="14.5546875" style="1" customWidth="1"/>
    <col min="11524" max="11524" width="6.88671875" style="1" customWidth="1"/>
    <col min="11525" max="11525" width="14.33203125" style="1" customWidth="1"/>
    <col min="11526" max="11526" width="15.5546875" style="1" customWidth="1"/>
    <col min="11527" max="11527" width="14" style="1" customWidth="1"/>
    <col min="11528" max="11528" width="25.44140625" style="1" customWidth="1"/>
    <col min="11529" max="11772" width="9.109375" style="1"/>
    <col min="11773" max="11773" width="45.88671875" style="1" customWidth="1"/>
    <col min="11774" max="11774" width="26.88671875" style="1" customWidth="1"/>
    <col min="11775" max="11775" width="16.33203125" style="1" customWidth="1"/>
    <col min="11776" max="11776" width="12.5546875" style="1" customWidth="1"/>
    <col min="11777" max="11777" width="10.44140625" style="1" customWidth="1"/>
    <col min="11778" max="11778" width="20.6640625" style="1" customWidth="1"/>
    <col min="11779" max="11779" width="14.5546875" style="1" customWidth="1"/>
    <col min="11780" max="11780" width="6.88671875" style="1" customWidth="1"/>
    <col min="11781" max="11781" width="14.33203125" style="1" customWidth="1"/>
    <col min="11782" max="11782" width="15.5546875" style="1" customWidth="1"/>
    <col min="11783" max="11783" width="14" style="1" customWidth="1"/>
    <col min="11784" max="11784" width="25.44140625" style="1" customWidth="1"/>
    <col min="11785" max="12028" width="9.109375" style="1"/>
    <col min="12029" max="12029" width="45.88671875" style="1" customWidth="1"/>
    <col min="12030" max="12030" width="26.88671875" style="1" customWidth="1"/>
    <col min="12031" max="12031" width="16.33203125" style="1" customWidth="1"/>
    <col min="12032" max="12032" width="12.5546875" style="1" customWidth="1"/>
    <col min="12033" max="12033" width="10.44140625" style="1" customWidth="1"/>
    <col min="12034" max="12034" width="20.6640625" style="1" customWidth="1"/>
    <col min="12035" max="12035" width="14.5546875" style="1" customWidth="1"/>
    <col min="12036" max="12036" width="6.88671875" style="1" customWidth="1"/>
    <col min="12037" max="12037" width="14.33203125" style="1" customWidth="1"/>
    <col min="12038" max="12038" width="15.5546875" style="1" customWidth="1"/>
    <col min="12039" max="12039" width="14" style="1" customWidth="1"/>
    <col min="12040" max="12040" width="25.44140625" style="1" customWidth="1"/>
    <col min="12041" max="12284" width="9.109375" style="1"/>
    <col min="12285" max="12285" width="45.88671875" style="1" customWidth="1"/>
    <col min="12286" max="12286" width="26.88671875" style="1" customWidth="1"/>
    <col min="12287" max="12287" width="16.33203125" style="1" customWidth="1"/>
    <col min="12288" max="12288" width="12.5546875" style="1" customWidth="1"/>
    <col min="12289" max="12289" width="10.44140625" style="1" customWidth="1"/>
    <col min="12290" max="12290" width="20.6640625" style="1" customWidth="1"/>
    <col min="12291" max="12291" width="14.5546875" style="1" customWidth="1"/>
    <col min="12292" max="12292" width="6.88671875" style="1" customWidth="1"/>
    <col min="12293" max="12293" width="14.33203125" style="1" customWidth="1"/>
    <col min="12294" max="12294" width="15.5546875" style="1" customWidth="1"/>
    <col min="12295" max="12295" width="14" style="1" customWidth="1"/>
    <col min="12296" max="12296" width="25.44140625" style="1" customWidth="1"/>
    <col min="12297" max="12540" width="9.109375" style="1"/>
    <col min="12541" max="12541" width="45.88671875" style="1" customWidth="1"/>
    <col min="12542" max="12542" width="26.88671875" style="1" customWidth="1"/>
    <col min="12543" max="12543" width="16.33203125" style="1" customWidth="1"/>
    <col min="12544" max="12544" width="12.5546875" style="1" customWidth="1"/>
    <col min="12545" max="12545" width="10.44140625" style="1" customWidth="1"/>
    <col min="12546" max="12546" width="20.6640625" style="1" customWidth="1"/>
    <col min="12547" max="12547" width="14.5546875" style="1" customWidth="1"/>
    <col min="12548" max="12548" width="6.88671875" style="1" customWidth="1"/>
    <col min="12549" max="12549" width="14.33203125" style="1" customWidth="1"/>
    <col min="12550" max="12550" width="15.5546875" style="1" customWidth="1"/>
    <col min="12551" max="12551" width="14" style="1" customWidth="1"/>
    <col min="12552" max="12552" width="25.44140625" style="1" customWidth="1"/>
    <col min="12553" max="12796" width="9.109375" style="1"/>
    <col min="12797" max="12797" width="45.88671875" style="1" customWidth="1"/>
    <col min="12798" max="12798" width="26.88671875" style="1" customWidth="1"/>
    <col min="12799" max="12799" width="16.33203125" style="1" customWidth="1"/>
    <col min="12800" max="12800" width="12.5546875" style="1" customWidth="1"/>
    <col min="12801" max="12801" width="10.44140625" style="1" customWidth="1"/>
    <col min="12802" max="12802" width="20.6640625" style="1" customWidth="1"/>
    <col min="12803" max="12803" width="14.5546875" style="1" customWidth="1"/>
    <col min="12804" max="12804" width="6.88671875" style="1" customWidth="1"/>
    <col min="12805" max="12805" width="14.33203125" style="1" customWidth="1"/>
    <col min="12806" max="12806" width="15.5546875" style="1" customWidth="1"/>
    <col min="12807" max="12807" width="14" style="1" customWidth="1"/>
    <col min="12808" max="12808" width="25.44140625" style="1" customWidth="1"/>
    <col min="12809" max="13052" width="9.109375" style="1"/>
    <col min="13053" max="13053" width="45.88671875" style="1" customWidth="1"/>
    <col min="13054" max="13054" width="26.88671875" style="1" customWidth="1"/>
    <col min="13055" max="13055" width="16.33203125" style="1" customWidth="1"/>
    <col min="13056" max="13056" width="12.5546875" style="1" customWidth="1"/>
    <col min="13057" max="13057" width="10.44140625" style="1" customWidth="1"/>
    <col min="13058" max="13058" width="20.6640625" style="1" customWidth="1"/>
    <col min="13059" max="13059" width="14.5546875" style="1" customWidth="1"/>
    <col min="13060" max="13060" width="6.88671875" style="1" customWidth="1"/>
    <col min="13061" max="13061" width="14.33203125" style="1" customWidth="1"/>
    <col min="13062" max="13062" width="15.5546875" style="1" customWidth="1"/>
    <col min="13063" max="13063" width="14" style="1" customWidth="1"/>
    <col min="13064" max="13064" width="25.44140625" style="1" customWidth="1"/>
    <col min="13065" max="13308" width="9.109375" style="1"/>
    <col min="13309" max="13309" width="45.88671875" style="1" customWidth="1"/>
    <col min="13310" max="13310" width="26.88671875" style="1" customWidth="1"/>
    <col min="13311" max="13311" width="16.33203125" style="1" customWidth="1"/>
    <col min="13312" max="13312" width="12.5546875" style="1" customWidth="1"/>
    <col min="13313" max="13313" width="10.44140625" style="1" customWidth="1"/>
    <col min="13314" max="13314" width="20.6640625" style="1" customWidth="1"/>
    <col min="13315" max="13315" width="14.5546875" style="1" customWidth="1"/>
    <col min="13316" max="13316" width="6.88671875" style="1" customWidth="1"/>
    <col min="13317" max="13317" width="14.33203125" style="1" customWidth="1"/>
    <col min="13318" max="13318" width="15.5546875" style="1" customWidth="1"/>
    <col min="13319" max="13319" width="14" style="1" customWidth="1"/>
    <col min="13320" max="13320" width="25.44140625" style="1" customWidth="1"/>
    <col min="13321" max="13564" width="9.109375" style="1"/>
    <col min="13565" max="13565" width="45.88671875" style="1" customWidth="1"/>
    <col min="13566" max="13566" width="26.88671875" style="1" customWidth="1"/>
    <col min="13567" max="13567" width="16.33203125" style="1" customWidth="1"/>
    <col min="13568" max="13568" width="12.5546875" style="1" customWidth="1"/>
    <col min="13569" max="13569" width="10.44140625" style="1" customWidth="1"/>
    <col min="13570" max="13570" width="20.6640625" style="1" customWidth="1"/>
    <col min="13571" max="13571" width="14.5546875" style="1" customWidth="1"/>
    <col min="13572" max="13572" width="6.88671875" style="1" customWidth="1"/>
    <col min="13573" max="13573" width="14.33203125" style="1" customWidth="1"/>
    <col min="13574" max="13574" width="15.5546875" style="1" customWidth="1"/>
    <col min="13575" max="13575" width="14" style="1" customWidth="1"/>
    <col min="13576" max="13576" width="25.44140625" style="1" customWidth="1"/>
    <col min="13577" max="13820" width="9.109375" style="1"/>
    <col min="13821" max="13821" width="45.88671875" style="1" customWidth="1"/>
    <col min="13822" max="13822" width="26.88671875" style="1" customWidth="1"/>
    <col min="13823" max="13823" width="16.33203125" style="1" customWidth="1"/>
    <col min="13824" max="13824" width="12.5546875" style="1" customWidth="1"/>
    <col min="13825" max="13825" width="10.44140625" style="1" customWidth="1"/>
    <col min="13826" max="13826" width="20.6640625" style="1" customWidth="1"/>
    <col min="13827" max="13827" width="14.5546875" style="1" customWidth="1"/>
    <col min="13828" max="13828" width="6.88671875" style="1" customWidth="1"/>
    <col min="13829" max="13829" width="14.33203125" style="1" customWidth="1"/>
    <col min="13830" max="13830" width="15.5546875" style="1" customWidth="1"/>
    <col min="13831" max="13831" width="14" style="1" customWidth="1"/>
    <col min="13832" max="13832" width="25.44140625" style="1" customWidth="1"/>
    <col min="13833" max="14076" width="9.109375" style="1"/>
    <col min="14077" max="14077" width="45.88671875" style="1" customWidth="1"/>
    <col min="14078" max="14078" width="26.88671875" style="1" customWidth="1"/>
    <col min="14079" max="14079" width="16.33203125" style="1" customWidth="1"/>
    <col min="14080" max="14080" width="12.5546875" style="1" customWidth="1"/>
    <col min="14081" max="14081" width="10.44140625" style="1" customWidth="1"/>
    <col min="14082" max="14082" width="20.6640625" style="1" customWidth="1"/>
    <col min="14083" max="14083" width="14.5546875" style="1" customWidth="1"/>
    <col min="14084" max="14084" width="6.88671875" style="1" customWidth="1"/>
    <col min="14085" max="14085" width="14.33203125" style="1" customWidth="1"/>
    <col min="14086" max="14086" width="15.5546875" style="1" customWidth="1"/>
    <col min="14087" max="14087" width="14" style="1" customWidth="1"/>
    <col min="14088" max="14088" width="25.44140625" style="1" customWidth="1"/>
    <col min="14089" max="14332" width="9.109375" style="1"/>
    <col min="14333" max="14333" width="45.88671875" style="1" customWidth="1"/>
    <col min="14334" max="14334" width="26.88671875" style="1" customWidth="1"/>
    <col min="14335" max="14335" width="16.33203125" style="1" customWidth="1"/>
    <col min="14336" max="14336" width="12.5546875" style="1" customWidth="1"/>
    <col min="14337" max="14337" width="10.44140625" style="1" customWidth="1"/>
    <col min="14338" max="14338" width="20.6640625" style="1" customWidth="1"/>
    <col min="14339" max="14339" width="14.5546875" style="1" customWidth="1"/>
    <col min="14340" max="14340" width="6.88671875" style="1" customWidth="1"/>
    <col min="14341" max="14341" width="14.33203125" style="1" customWidth="1"/>
    <col min="14342" max="14342" width="15.5546875" style="1" customWidth="1"/>
    <col min="14343" max="14343" width="14" style="1" customWidth="1"/>
    <col min="14344" max="14344" width="25.44140625" style="1" customWidth="1"/>
    <col min="14345" max="14588" width="9.109375" style="1"/>
    <col min="14589" max="14589" width="45.88671875" style="1" customWidth="1"/>
    <col min="14590" max="14590" width="26.88671875" style="1" customWidth="1"/>
    <col min="14591" max="14591" width="16.33203125" style="1" customWidth="1"/>
    <col min="14592" max="14592" width="12.5546875" style="1" customWidth="1"/>
    <col min="14593" max="14593" width="10.44140625" style="1" customWidth="1"/>
    <col min="14594" max="14594" width="20.6640625" style="1" customWidth="1"/>
    <col min="14595" max="14595" width="14.5546875" style="1" customWidth="1"/>
    <col min="14596" max="14596" width="6.88671875" style="1" customWidth="1"/>
    <col min="14597" max="14597" width="14.33203125" style="1" customWidth="1"/>
    <col min="14598" max="14598" width="15.5546875" style="1" customWidth="1"/>
    <col min="14599" max="14599" width="14" style="1" customWidth="1"/>
    <col min="14600" max="14600" width="25.44140625" style="1" customWidth="1"/>
    <col min="14601" max="14844" width="9.109375" style="1"/>
    <col min="14845" max="14845" width="45.88671875" style="1" customWidth="1"/>
    <col min="14846" max="14846" width="26.88671875" style="1" customWidth="1"/>
    <col min="14847" max="14847" width="16.33203125" style="1" customWidth="1"/>
    <col min="14848" max="14848" width="12.5546875" style="1" customWidth="1"/>
    <col min="14849" max="14849" width="10.44140625" style="1" customWidth="1"/>
    <col min="14850" max="14850" width="20.6640625" style="1" customWidth="1"/>
    <col min="14851" max="14851" width="14.5546875" style="1" customWidth="1"/>
    <col min="14852" max="14852" width="6.88671875" style="1" customWidth="1"/>
    <col min="14853" max="14853" width="14.33203125" style="1" customWidth="1"/>
    <col min="14854" max="14854" width="15.5546875" style="1" customWidth="1"/>
    <col min="14855" max="14855" width="14" style="1" customWidth="1"/>
    <col min="14856" max="14856" width="25.44140625" style="1" customWidth="1"/>
    <col min="14857" max="15100" width="9.109375" style="1"/>
    <col min="15101" max="15101" width="45.88671875" style="1" customWidth="1"/>
    <col min="15102" max="15102" width="26.88671875" style="1" customWidth="1"/>
    <col min="15103" max="15103" width="16.33203125" style="1" customWidth="1"/>
    <col min="15104" max="15104" width="12.5546875" style="1" customWidth="1"/>
    <col min="15105" max="15105" width="10.44140625" style="1" customWidth="1"/>
    <col min="15106" max="15106" width="20.6640625" style="1" customWidth="1"/>
    <col min="15107" max="15107" width="14.5546875" style="1" customWidth="1"/>
    <col min="15108" max="15108" width="6.88671875" style="1" customWidth="1"/>
    <col min="15109" max="15109" width="14.33203125" style="1" customWidth="1"/>
    <col min="15110" max="15110" width="15.5546875" style="1" customWidth="1"/>
    <col min="15111" max="15111" width="14" style="1" customWidth="1"/>
    <col min="15112" max="15112" width="25.44140625" style="1" customWidth="1"/>
    <col min="15113" max="15356" width="9.109375" style="1"/>
    <col min="15357" max="15357" width="45.88671875" style="1" customWidth="1"/>
    <col min="15358" max="15358" width="26.88671875" style="1" customWidth="1"/>
    <col min="15359" max="15359" width="16.33203125" style="1" customWidth="1"/>
    <col min="15360" max="15360" width="12.5546875" style="1" customWidth="1"/>
    <col min="15361" max="15361" width="10.44140625" style="1" customWidth="1"/>
    <col min="15362" max="15362" width="20.6640625" style="1" customWidth="1"/>
    <col min="15363" max="15363" width="14.5546875" style="1" customWidth="1"/>
    <col min="15364" max="15364" width="6.88671875" style="1" customWidth="1"/>
    <col min="15365" max="15365" width="14.33203125" style="1" customWidth="1"/>
    <col min="15366" max="15366" width="15.5546875" style="1" customWidth="1"/>
    <col min="15367" max="15367" width="14" style="1" customWidth="1"/>
    <col min="15368" max="15368" width="25.44140625" style="1" customWidth="1"/>
    <col min="15369" max="15612" width="9.109375" style="1"/>
    <col min="15613" max="15613" width="45.88671875" style="1" customWidth="1"/>
    <col min="15614" max="15614" width="26.88671875" style="1" customWidth="1"/>
    <col min="15615" max="15615" width="16.33203125" style="1" customWidth="1"/>
    <col min="15616" max="15616" width="12.5546875" style="1" customWidth="1"/>
    <col min="15617" max="15617" width="10.44140625" style="1" customWidth="1"/>
    <col min="15618" max="15618" width="20.6640625" style="1" customWidth="1"/>
    <col min="15619" max="15619" width="14.5546875" style="1" customWidth="1"/>
    <col min="15620" max="15620" width="6.88671875" style="1" customWidth="1"/>
    <col min="15621" max="15621" width="14.33203125" style="1" customWidth="1"/>
    <col min="15622" max="15622" width="15.5546875" style="1" customWidth="1"/>
    <col min="15623" max="15623" width="14" style="1" customWidth="1"/>
    <col min="15624" max="15624" width="25.44140625" style="1" customWidth="1"/>
    <col min="15625" max="15868" width="9.109375" style="1"/>
    <col min="15869" max="15869" width="45.88671875" style="1" customWidth="1"/>
    <col min="15870" max="15870" width="26.88671875" style="1" customWidth="1"/>
    <col min="15871" max="15871" width="16.33203125" style="1" customWidth="1"/>
    <col min="15872" max="15872" width="12.5546875" style="1" customWidth="1"/>
    <col min="15873" max="15873" width="10.44140625" style="1" customWidth="1"/>
    <col min="15874" max="15874" width="20.6640625" style="1" customWidth="1"/>
    <col min="15875" max="15875" width="14.5546875" style="1" customWidth="1"/>
    <col min="15876" max="15876" width="6.88671875" style="1" customWidth="1"/>
    <col min="15877" max="15877" width="14.33203125" style="1" customWidth="1"/>
    <col min="15878" max="15878" width="15.5546875" style="1" customWidth="1"/>
    <col min="15879" max="15879" width="14" style="1" customWidth="1"/>
    <col min="15880" max="15880" width="25.44140625" style="1" customWidth="1"/>
    <col min="15881" max="16124" width="9.109375" style="1"/>
    <col min="16125" max="16125" width="45.88671875" style="1" customWidth="1"/>
    <col min="16126" max="16126" width="26.88671875" style="1" customWidth="1"/>
    <col min="16127" max="16127" width="16.33203125" style="1" customWidth="1"/>
    <col min="16128" max="16128" width="12.5546875" style="1" customWidth="1"/>
    <col min="16129" max="16129" width="10.44140625" style="1" customWidth="1"/>
    <col min="16130" max="16130" width="20.6640625" style="1" customWidth="1"/>
    <col min="16131" max="16131" width="14.5546875" style="1" customWidth="1"/>
    <col min="16132" max="16132" width="6.88671875" style="1" customWidth="1"/>
    <col min="16133" max="16133" width="14.33203125" style="1" customWidth="1"/>
    <col min="16134" max="16134" width="15.5546875" style="1" customWidth="1"/>
    <col min="16135" max="16135" width="14" style="1" customWidth="1"/>
    <col min="16136" max="16136" width="25.44140625" style="1" customWidth="1"/>
    <col min="16137" max="16384" width="9.109375" style="1"/>
  </cols>
  <sheetData>
    <row r="1" spans="1:15" ht="45" customHeight="1" thickBot="1">
      <c r="A1" s="446" t="s">
        <v>0</v>
      </c>
      <c r="B1" s="446"/>
      <c r="C1" s="446"/>
      <c r="D1" s="446"/>
      <c r="E1" s="446"/>
      <c r="F1" s="446"/>
      <c r="G1" s="446"/>
      <c r="H1" s="446"/>
      <c r="I1" s="446"/>
      <c r="J1" s="446"/>
      <c r="K1" s="446"/>
      <c r="L1" s="446"/>
    </row>
    <row r="2" spans="1:15" ht="27.75" customHeight="1" thickBot="1">
      <c r="A2" s="447" t="s">
        <v>312</v>
      </c>
      <c r="B2" s="448"/>
      <c r="C2" s="448"/>
      <c r="D2" s="448"/>
      <c r="E2" s="448"/>
      <c r="F2" s="449"/>
      <c r="G2" s="2"/>
      <c r="H2" s="2"/>
      <c r="I2" s="450"/>
      <c r="J2" s="450"/>
      <c r="K2" s="450"/>
      <c r="L2" s="450"/>
      <c r="M2" s="374"/>
    </row>
    <row r="3" spans="1:15" ht="30.75" customHeight="1" thickBot="1">
      <c r="A3" s="452" t="s">
        <v>181</v>
      </c>
      <c r="B3" s="453"/>
      <c r="C3" s="454"/>
      <c r="D3" s="455" t="s">
        <v>1</v>
      </c>
      <c r="E3" s="456"/>
      <c r="F3" s="457"/>
      <c r="G3" s="4"/>
      <c r="H3" s="4"/>
      <c r="I3" s="5" t="s">
        <v>2</v>
      </c>
      <c r="J3" s="458"/>
      <c r="K3" s="459"/>
      <c r="L3" s="333"/>
      <c r="M3" s="375" t="s">
        <v>3</v>
      </c>
    </row>
    <row r="4" spans="1:15" ht="37.5" customHeight="1" thickBot="1">
      <c r="A4" s="452" t="s">
        <v>4</v>
      </c>
      <c r="B4" s="453"/>
      <c r="C4" s="3"/>
      <c r="D4" s="8"/>
      <c r="E4" s="9"/>
      <c r="F4" s="10"/>
      <c r="G4" s="10"/>
      <c r="H4" s="10"/>
      <c r="I4" s="11"/>
      <c r="J4" s="12"/>
      <c r="K4" s="12"/>
      <c r="L4" s="12"/>
      <c r="M4" s="376"/>
    </row>
    <row r="5" spans="1:15" ht="16.8" thickBot="1">
      <c r="A5" s="460" t="s">
        <v>5</v>
      </c>
      <c r="B5" s="461"/>
      <c r="C5" s="461"/>
      <c r="D5" s="14"/>
      <c r="E5" s="15"/>
      <c r="F5" s="16" t="s">
        <v>6</v>
      </c>
      <c r="G5" s="17" t="s">
        <v>6</v>
      </c>
      <c r="H5" s="17"/>
      <c r="I5" s="18" t="s">
        <v>7</v>
      </c>
      <c r="J5" s="19" t="s">
        <v>8</v>
      </c>
      <c r="K5" s="20" t="s">
        <v>9</v>
      </c>
      <c r="L5" s="20" t="s">
        <v>10</v>
      </c>
      <c r="M5" s="377" t="s">
        <v>11</v>
      </c>
    </row>
    <row r="6" spans="1:15" ht="35.4" customHeight="1">
      <c r="A6" s="22" t="s">
        <v>13</v>
      </c>
      <c r="B6" s="23"/>
      <c r="C6" s="23"/>
      <c r="D6" s="24"/>
      <c r="E6" s="25"/>
      <c r="F6" s="26"/>
      <c r="G6" s="27"/>
      <c r="H6" s="28"/>
      <c r="I6" s="29"/>
      <c r="J6" s="30">
        <v>0.45</v>
      </c>
      <c r="K6" s="31">
        <f>J6*12</f>
        <v>5.4</v>
      </c>
      <c r="L6" s="334"/>
      <c r="M6" s="208">
        <v>0.48</v>
      </c>
    </row>
    <row r="7" spans="1:15" ht="19.5" customHeight="1">
      <c r="A7" s="33" t="s">
        <v>14</v>
      </c>
      <c r="B7" s="34"/>
      <c r="C7" s="34"/>
      <c r="D7" s="35"/>
      <c r="E7" s="36"/>
      <c r="F7" s="37"/>
      <c r="G7" s="37"/>
      <c r="H7" s="37"/>
      <c r="I7" s="38"/>
      <c r="J7" s="39">
        <f>0.35+0.08</f>
        <v>0.43</v>
      </c>
      <c r="K7" s="40">
        <f>J7*12</f>
        <v>5.16</v>
      </c>
      <c r="L7" s="335"/>
      <c r="M7" s="209">
        <f>0.35+0.08</f>
        <v>0.43</v>
      </c>
    </row>
    <row r="8" spans="1:15" ht="24.75" customHeight="1">
      <c r="A8" s="22" t="s">
        <v>15</v>
      </c>
      <c r="B8" s="23"/>
      <c r="C8" s="23"/>
      <c r="D8" s="24"/>
      <c r="E8" s="25"/>
      <c r="F8" s="42"/>
      <c r="G8" s="42"/>
      <c r="H8" s="42"/>
      <c r="I8" s="43"/>
      <c r="J8" s="44">
        <f>K8/12</f>
        <v>0</v>
      </c>
      <c r="K8" s="45"/>
      <c r="L8" s="334"/>
      <c r="M8" s="210">
        <v>0</v>
      </c>
    </row>
    <row r="9" spans="1:15" ht="24.75" customHeight="1">
      <c r="A9" s="46" t="s">
        <v>16</v>
      </c>
      <c r="B9" s="47"/>
      <c r="C9" s="47"/>
      <c r="D9" s="48"/>
      <c r="E9" s="49"/>
      <c r="F9" s="42"/>
      <c r="G9" s="42"/>
      <c r="H9" s="42"/>
      <c r="I9" s="43"/>
      <c r="J9" s="44"/>
      <c r="K9" s="45"/>
      <c r="L9" s="334"/>
      <c r="M9" s="210"/>
    </row>
    <row r="10" spans="1:15" ht="30.75" customHeight="1" thickBot="1">
      <c r="A10" s="50" t="s">
        <v>17</v>
      </c>
      <c r="B10" s="51"/>
      <c r="C10" s="51"/>
      <c r="D10" s="52"/>
      <c r="E10" s="53"/>
      <c r="F10" s="54">
        <f>SUM(F6:F7)</f>
        <v>0</v>
      </c>
      <c r="G10" s="54">
        <f>SUM(G6:G7)</f>
        <v>0</v>
      </c>
      <c r="H10" s="54"/>
      <c r="I10" s="55"/>
      <c r="J10" s="56">
        <f>SUM(J6:J9)</f>
        <v>0.88</v>
      </c>
      <c r="K10" s="56">
        <f>SUM(K6:K9)</f>
        <v>10.56</v>
      </c>
      <c r="L10" s="336"/>
      <c r="M10" s="378">
        <f>SUM(M6:M9)</f>
        <v>0.90999999999999992</v>
      </c>
    </row>
    <row r="11" spans="1:15" ht="16.8" thickBot="1">
      <c r="A11" s="58"/>
      <c r="B11" s="58"/>
      <c r="C11" s="58"/>
      <c r="D11" s="59"/>
      <c r="E11" s="60"/>
      <c r="F11" s="61"/>
      <c r="G11" s="61"/>
      <c r="H11" s="61"/>
      <c r="I11" s="62"/>
      <c r="J11" s="63"/>
      <c r="K11" s="64"/>
      <c r="L11" s="64"/>
      <c r="M11" s="376"/>
    </row>
    <row r="12" spans="1:15" ht="15.75" customHeight="1" thickBot="1">
      <c r="A12" s="467" t="s">
        <v>18</v>
      </c>
      <c r="B12" s="468"/>
      <c r="C12" s="468"/>
      <c r="D12" s="468"/>
      <c r="E12" s="468"/>
      <c r="F12" s="468"/>
      <c r="G12" s="65"/>
      <c r="H12" s="65"/>
      <c r="I12" s="66"/>
      <c r="J12" s="67"/>
      <c r="K12" s="67"/>
      <c r="L12" s="67"/>
      <c r="M12" s="376"/>
    </row>
    <row r="13" spans="1:15" ht="46.5" customHeight="1">
      <c r="A13" s="68" t="s">
        <v>19</v>
      </c>
      <c r="B13" s="69" t="s">
        <v>20</v>
      </c>
      <c r="C13" s="69" t="s">
        <v>21</v>
      </c>
      <c r="D13" s="70" t="s">
        <v>22</v>
      </c>
      <c r="E13" s="71" t="s">
        <v>23</v>
      </c>
      <c r="F13" s="72" t="s">
        <v>24</v>
      </c>
      <c r="G13" s="72" t="s">
        <v>25</v>
      </c>
      <c r="H13" s="72" t="s">
        <v>26</v>
      </c>
      <c r="I13" s="73" t="s">
        <v>27</v>
      </c>
      <c r="J13" s="72" t="s">
        <v>28</v>
      </c>
      <c r="K13" s="74" t="s">
        <v>9</v>
      </c>
      <c r="L13" s="337" t="s">
        <v>29</v>
      </c>
      <c r="M13" s="376"/>
    </row>
    <row r="14" spans="1:15" ht="25.5" customHeight="1" thickBot="1">
      <c r="A14" s="75" t="s">
        <v>30</v>
      </c>
      <c r="B14" s="76"/>
      <c r="C14" s="76"/>
      <c r="D14" s="77"/>
      <c r="E14" s="78"/>
      <c r="F14" s="79"/>
      <c r="G14" s="79"/>
      <c r="H14" s="79"/>
      <c r="I14" s="80"/>
      <c r="J14" s="81"/>
      <c r="K14" s="82"/>
      <c r="L14" s="338"/>
      <c r="M14" s="376"/>
    </row>
    <row r="15" spans="1:15" ht="42" customHeight="1" thickBot="1">
      <c r="A15" s="83" t="s">
        <v>31</v>
      </c>
      <c r="B15" s="84" t="s">
        <v>32</v>
      </c>
      <c r="C15" s="84" t="s">
        <v>33</v>
      </c>
      <c r="D15" s="85">
        <v>0.27</v>
      </c>
      <c r="E15" s="86">
        <v>0.03</v>
      </c>
      <c r="F15" s="87">
        <f>D15*(1+E15)</f>
        <v>0.27810000000000001</v>
      </c>
      <c r="G15" s="88">
        <v>0.3</v>
      </c>
      <c r="H15" s="89" t="s">
        <v>34</v>
      </c>
      <c r="I15" s="150">
        <f>4.02/1.59</f>
        <v>2.5283018867924523</v>
      </c>
      <c r="J15" s="151">
        <f>G15*I15</f>
        <v>0.75849056603773568</v>
      </c>
      <c r="K15" s="152">
        <f>J15*12</f>
        <v>9.1018867924528273</v>
      </c>
      <c r="L15" s="339"/>
      <c r="M15" s="379">
        <f>0.38*I15</f>
        <v>0.96075471698113191</v>
      </c>
      <c r="N15" s="155">
        <f>(240+336+384)*J15</f>
        <v>728.15094339622624</v>
      </c>
      <c r="O15" s="406">
        <f>(360+264+216)*M15</f>
        <v>807.03396226415077</v>
      </c>
    </row>
    <row r="16" spans="1:15" ht="42" customHeight="1" thickBot="1">
      <c r="A16" s="83" t="s">
        <v>35</v>
      </c>
      <c r="B16" s="84" t="s">
        <v>36</v>
      </c>
      <c r="C16" s="84" t="s">
        <v>33</v>
      </c>
      <c r="D16" s="85">
        <v>0</v>
      </c>
      <c r="E16" s="86">
        <v>0.03</v>
      </c>
      <c r="F16" s="87">
        <f>D16*(1+E16)</f>
        <v>0</v>
      </c>
      <c r="G16" s="88">
        <v>0.02</v>
      </c>
      <c r="H16" s="89" t="s">
        <v>34</v>
      </c>
      <c r="I16" s="150">
        <f>3.9/1.3</f>
        <v>3</v>
      </c>
      <c r="J16" s="151">
        <f>G16*I16</f>
        <v>0.06</v>
      </c>
      <c r="K16" s="152">
        <f>J16*12</f>
        <v>0.72</v>
      </c>
      <c r="L16" s="339"/>
      <c r="M16" s="379">
        <f>+G16*I16</f>
        <v>0.06</v>
      </c>
      <c r="N16" s="1">
        <f>1800*0.06</f>
        <v>108</v>
      </c>
      <c r="O16" s="406">
        <f>+N15+O15+N16</f>
        <v>1643.1849056603769</v>
      </c>
    </row>
    <row r="17" spans="1:15" ht="30.75" customHeight="1" thickBot="1">
      <c r="A17" s="90" t="s">
        <v>37</v>
      </c>
      <c r="B17" s="91"/>
      <c r="C17" s="92"/>
      <c r="D17" s="93"/>
      <c r="E17" s="94"/>
      <c r="F17" s="95"/>
      <c r="G17" s="95"/>
      <c r="H17" s="95"/>
      <c r="I17" s="96"/>
      <c r="J17" s="153">
        <f>SUM(J15:J16)</f>
        <v>0.81849056603773573</v>
      </c>
      <c r="K17" s="153">
        <f>SUM(K15:K16)</f>
        <v>9.8218867924528279</v>
      </c>
      <c r="L17" s="340"/>
      <c r="M17" s="380">
        <f>SUM(M15:M16)</f>
        <v>1.020754716981132</v>
      </c>
      <c r="O17" s="1">
        <f>1487.4+110.7</f>
        <v>1598.1000000000001</v>
      </c>
    </row>
    <row r="18" spans="1:15" ht="27.75" customHeight="1">
      <c r="A18" s="91" t="s">
        <v>38</v>
      </c>
      <c r="B18" s="95"/>
      <c r="C18" s="92"/>
      <c r="D18" s="93"/>
      <c r="E18" s="94"/>
      <c r="F18" s="95"/>
      <c r="G18" s="95"/>
      <c r="H18" s="95"/>
      <c r="I18" s="96"/>
      <c r="J18" s="97"/>
      <c r="K18" s="98"/>
      <c r="L18" s="341"/>
      <c r="M18" s="376"/>
      <c r="O18" s="406">
        <f>+O16-O17</f>
        <v>45.084905660376762</v>
      </c>
    </row>
    <row r="19" spans="1:15" ht="30" customHeight="1">
      <c r="A19" s="99" t="s">
        <v>39</v>
      </c>
      <c r="B19" s="89" t="s">
        <v>40</v>
      </c>
      <c r="C19" s="100"/>
      <c r="D19" s="101">
        <v>0</v>
      </c>
      <c r="E19" s="86">
        <v>0.05</v>
      </c>
      <c r="F19" s="87">
        <f>D19*(1+E19)</f>
        <v>0</v>
      </c>
      <c r="G19" s="102">
        <f>F19/0.9144</f>
        <v>0</v>
      </c>
      <c r="H19" s="89" t="s">
        <v>34</v>
      </c>
      <c r="I19" s="154">
        <v>0</v>
      </c>
      <c r="J19" s="154">
        <f>I19*G19</f>
        <v>0</v>
      </c>
      <c r="K19" s="152">
        <f>J19*12</f>
        <v>0</v>
      </c>
      <c r="L19" s="342"/>
      <c r="M19" s="381"/>
      <c r="N19" s="155"/>
    </row>
    <row r="20" spans="1:15" ht="30" customHeight="1">
      <c r="A20" s="99" t="s">
        <v>41</v>
      </c>
      <c r="B20" s="89"/>
      <c r="C20" s="100"/>
      <c r="D20" s="101">
        <v>0</v>
      </c>
      <c r="E20" s="86">
        <v>0.05</v>
      </c>
      <c r="F20" s="87">
        <f>D20*(1+E20)</f>
        <v>0</v>
      </c>
      <c r="G20" s="102">
        <f>F20/0.9144</f>
        <v>0</v>
      </c>
      <c r="H20" s="89" t="s">
        <v>34</v>
      </c>
      <c r="I20" s="152"/>
      <c r="J20" s="154">
        <v>1.35E-2</v>
      </c>
      <c r="K20" s="152">
        <f>J20*12</f>
        <v>0.16200000000000001</v>
      </c>
      <c r="L20" s="342"/>
      <c r="M20" s="381"/>
      <c r="N20" s="155"/>
    </row>
    <row r="21" spans="1:15" ht="30" customHeight="1">
      <c r="A21" s="105" t="s">
        <v>42</v>
      </c>
      <c r="B21" s="105"/>
      <c r="C21" s="89"/>
      <c r="D21" s="106">
        <v>1</v>
      </c>
      <c r="E21" s="86">
        <v>0.05</v>
      </c>
      <c r="F21" s="105">
        <f>D21*(1+E21)</f>
        <v>1.05</v>
      </c>
      <c r="G21" s="102">
        <f>E21*(1+F21)</f>
        <v>0.10249999999999999</v>
      </c>
      <c r="H21" s="107"/>
      <c r="I21" s="104">
        <v>0.02</v>
      </c>
      <c r="J21" s="108">
        <f>+I21</f>
        <v>0.02</v>
      </c>
      <c r="K21" s="103">
        <f>J21*12</f>
        <v>0.24</v>
      </c>
      <c r="L21" s="343"/>
      <c r="M21" s="376"/>
    </row>
    <row r="22" spans="1:15" ht="30" customHeight="1">
      <c r="A22" s="105" t="s">
        <v>43</v>
      </c>
      <c r="B22" s="105"/>
      <c r="C22" s="89"/>
      <c r="D22" s="106">
        <v>1</v>
      </c>
      <c r="E22" s="86">
        <v>0.05</v>
      </c>
      <c r="F22" s="105">
        <f>D22*(1+E22)</f>
        <v>1.05</v>
      </c>
      <c r="G22" s="102">
        <f>E22*(1+F22)</f>
        <v>0.10249999999999999</v>
      </c>
      <c r="H22" s="107"/>
      <c r="I22" s="104">
        <v>0.02</v>
      </c>
      <c r="J22" s="108">
        <v>0.04</v>
      </c>
      <c r="K22" s="103">
        <f>J22*12</f>
        <v>0.48</v>
      </c>
      <c r="L22" s="343"/>
      <c r="M22" s="376"/>
    </row>
    <row r="23" spans="1:15" ht="30" customHeight="1">
      <c r="A23" s="109" t="s">
        <v>44</v>
      </c>
      <c r="B23" s="109"/>
      <c r="C23" s="95"/>
      <c r="D23" s="110">
        <v>1</v>
      </c>
      <c r="E23" s="86">
        <v>0.05</v>
      </c>
      <c r="F23" s="111">
        <f>D23*(1+E23)</f>
        <v>1.05</v>
      </c>
      <c r="G23" s="102">
        <f>E23*(1+F23)</f>
        <v>0.10249999999999999</v>
      </c>
      <c r="H23" s="112"/>
      <c r="I23" s="104">
        <v>0.02</v>
      </c>
      <c r="J23" s="113">
        <f>+I23</f>
        <v>0.02</v>
      </c>
      <c r="K23" s="98">
        <f>J23*12</f>
        <v>0.24</v>
      </c>
      <c r="L23" s="343"/>
      <c r="M23" s="376"/>
    </row>
    <row r="24" spans="1:15" ht="28.5" customHeight="1">
      <c r="A24" s="90" t="s">
        <v>45</v>
      </c>
      <c r="B24" s="95"/>
      <c r="C24" s="109"/>
      <c r="D24" s="114"/>
      <c r="E24" s="94"/>
      <c r="F24" s="95"/>
      <c r="G24" s="95"/>
      <c r="H24" s="95"/>
      <c r="I24" s="98"/>
      <c r="J24" s="153">
        <f>SUM(J19:J23)</f>
        <v>9.3500000000000014E-2</v>
      </c>
      <c r="K24" s="153">
        <f>SUM(K19:K23)</f>
        <v>1.1219999999999999</v>
      </c>
      <c r="L24" s="344"/>
      <c r="M24" s="380">
        <f>+J24</f>
        <v>9.3500000000000014E-2</v>
      </c>
    </row>
    <row r="25" spans="1:15" ht="15.6">
      <c r="A25" s="92" t="s">
        <v>46</v>
      </c>
      <c r="B25" s="109"/>
      <c r="C25" s="95"/>
      <c r="D25" s="115"/>
      <c r="E25" s="116"/>
      <c r="F25" s="112"/>
      <c r="G25" s="112"/>
      <c r="H25" s="112"/>
      <c r="I25" s="98"/>
      <c r="J25" s="97"/>
      <c r="K25" s="117"/>
      <c r="L25" s="343"/>
      <c r="M25" s="376"/>
    </row>
    <row r="26" spans="1:15" ht="15.6">
      <c r="A26" s="109" t="s">
        <v>47</v>
      </c>
      <c r="B26" s="105"/>
      <c r="C26" s="89"/>
      <c r="D26" s="106">
        <v>0</v>
      </c>
      <c r="E26" s="86">
        <v>0.05</v>
      </c>
      <c r="F26" s="105">
        <f>D26*(1+E26)</f>
        <v>0</v>
      </c>
      <c r="G26" s="105">
        <f>E26*(1+F26)</f>
        <v>0.05</v>
      </c>
      <c r="H26" s="107"/>
      <c r="I26" s="152">
        <v>0</v>
      </c>
      <c r="J26" s="156">
        <f>I26*F26</f>
        <v>0</v>
      </c>
      <c r="K26" s="98">
        <f>J26*12</f>
        <v>0</v>
      </c>
      <c r="L26" s="343"/>
      <c r="M26" s="376"/>
    </row>
    <row r="27" spans="1:15" ht="15.6">
      <c r="A27" s="105" t="s">
        <v>48</v>
      </c>
      <c r="B27" s="105"/>
      <c r="C27" s="89"/>
      <c r="D27" s="106">
        <v>1</v>
      </c>
      <c r="E27" s="86">
        <v>0.05</v>
      </c>
      <c r="F27" s="105">
        <f t="shared" ref="F27:G34" si="0">D27*(1+E27)</f>
        <v>1.05</v>
      </c>
      <c r="G27" s="102">
        <f t="shared" si="0"/>
        <v>0.10249999999999999</v>
      </c>
      <c r="H27" s="107"/>
      <c r="I27" s="152">
        <v>0</v>
      </c>
      <c r="J27" s="156">
        <f t="shared" ref="J27:J34" si="1">I27*F27</f>
        <v>0</v>
      </c>
      <c r="K27" s="98">
        <f t="shared" ref="K27:K35" si="2">J27*12</f>
        <v>0</v>
      </c>
      <c r="L27" s="343"/>
      <c r="M27" s="376"/>
    </row>
    <row r="28" spans="1:15" ht="15.6">
      <c r="A28" s="105" t="s">
        <v>49</v>
      </c>
      <c r="B28" s="105"/>
      <c r="C28" s="89"/>
      <c r="D28" s="106">
        <v>0</v>
      </c>
      <c r="E28" s="86">
        <v>0.05</v>
      </c>
      <c r="F28" s="105">
        <f>D28*(1+E28)</f>
        <v>0</v>
      </c>
      <c r="G28" s="102">
        <f>E28*(1+F28)</f>
        <v>0.05</v>
      </c>
      <c r="H28" s="107"/>
      <c r="I28" s="152">
        <v>0</v>
      </c>
      <c r="J28" s="156">
        <f t="shared" si="1"/>
        <v>0</v>
      </c>
      <c r="K28" s="103">
        <f t="shared" si="2"/>
        <v>0</v>
      </c>
      <c r="L28" s="343"/>
      <c r="M28" s="376"/>
    </row>
    <row r="29" spans="1:15" ht="15.6">
      <c r="A29" s="105" t="s">
        <v>50</v>
      </c>
      <c r="B29" s="105"/>
      <c r="C29" s="89"/>
      <c r="D29" s="106">
        <v>0</v>
      </c>
      <c r="E29" s="86">
        <v>0.05</v>
      </c>
      <c r="F29" s="87">
        <f t="shared" si="0"/>
        <v>0</v>
      </c>
      <c r="G29" s="102">
        <f t="shared" si="0"/>
        <v>0.05</v>
      </c>
      <c r="H29" s="107"/>
      <c r="I29" s="152">
        <v>0</v>
      </c>
      <c r="J29" s="156">
        <f t="shared" si="1"/>
        <v>0</v>
      </c>
      <c r="K29" s="98">
        <f t="shared" si="2"/>
        <v>0</v>
      </c>
      <c r="L29" s="343"/>
      <c r="M29" s="376"/>
    </row>
    <row r="30" spans="1:15" ht="15.6">
      <c r="A30" s="105" t="s">
        <v>51</v>
      </c>
      <c r="B30" s="105"/>
      <c r="C30" s="89"/>
      <c r="D30" s="106">
        <v>0</v>
      </c>
      <c r="E30" s="86">
        <v>0.05</v>
      </c>
      <c r="F30" s="87">
        <f t="shared" si="0"/>
        <v>0</v>
      </c>
      <c r="G30" s="102">
        <f t="shared" si="0"/>
        <v>0.05</v>
      </c>
      <c r="H30" s="107"/>
      <c r="I30" s="152">
        <v>0</v>
      </c>
      <c r="J30" s="156"/>
      <c r="K30" s="98">
        <f t="shared" si="2"/>
        <v>0</v>
      </c>
      <c r="L30" s="343"/>
      <c r="M30" s="376"/>
    </row>
    <row r="31" spans="1:15" ht="15.6">
      <c r="A31" s="109" t="s">
        <v>52</v>
      </c>
      <c r="B31" s="109"/>
      <c r="C31" s="95"/>
      <c r="D31" s="106">
        <v>1</v>
      </c>
      <c r="E31" s="86">
        <v>0.05</v>
      </c>
      <c r="F31" s="118">
        <f t="shared" si="0"/>
        <v>1.05</v>
      </c>
      <c r="G31" s="102">
        <f t="shared" si="0"/>
        <v>0.10249999999999999</v>
      </c>
      <c r="H31" s="112"/>
      <c r="I31" s="157">
        <v>0</v>
      </c>
      <c r="J31" s="156"/>
      <c r="K31" s="98">
        <f t="shared" si="2"/>
        <v>0</v>
      </c>
      <c r="L31" s="343"/>
      <c r="M31" s="376"/>
    </row>
    <row r="32" spans="1:15" ht="15.6">
      <c r="A32" s="109" t="s">
        <v>53</v>
      </c>
      <c r="B32" s="109"/>
      <c r="C32" s="95"/>
      <c r="D32" s="106">
        <v>0</v>
      </c>
      <c r="E32" s="86">
        <v>0.05</v>
      </c>
      <c r="F32" s="111">
        <f t="shared" si="0"/>
        <v>0</v>
      </c>
      <c r="G32" s="102">
        <f t="shared" si="0"/>
        <v>0.05</v>
      </c>
      <c r="H32" s="112"/>
      <c r="I32" s="157">
        <v>0</v>
      </c>
      <c r="J32" s="156">
        <f t="shared" si="1"/>
        <v>0</v>
      </c>
      <c r="K32" s="98">
        <f t="shared" si="2"/>
        <v>0</v>
      </c>
      <c r="L32" s="343"/>
      <c r="M32" s="376"/>
    </row>
    <row r="33" spans="1:14" ht="15.6">
      <c r="A33" s="109" t="s">
        <v>54</v>
      </c>
      <c r="B33" s="109"/>
      <c r="C33" s="95"/>
      <c r="D33" s="106">
        <v>0</v>
      </c>
      <c r="E33" s="86">
        <v>0.05</v>
      </c>
      <c r="F33" s="111">
        <f t="shared" si="0"/>
        <v>0</v>
      </c>
      <c r="G33" s="102">
        <f t="shared" si="0"/>
        <v>0.05</v>
      </c>
      <c r="H33" s="112"/>
      <c r="I33" s="157">
        <v>0</v>
      </c>
      <c r="J33" s="156">
        <v>1.46E-2</v>
      </c>
      <c r="K33" s="98">
        <f t="shared" si="2"/>
        <v>0.17519999999999999</v>
      </c>
      <c r="L33" s="343"/>
      <c r="M33" s="376"/>
    </row>
    <row r="34" spans="1:14" ht="15.6">
      <c r="A34" s="109" t="s">
        <v>55</v>
      </c>
      <c r="B34" s="109"/>
      <c r="C34" s="95"/>
      <c r="D34" s="106">
        <v>1</v>
      </c>
      <c r="E34" s="86">
        <v>0.05</v>
      </c>
      <c r="F34" s="118">
        <f t="shared" si="0"/>
        <v>1.05</v>
      </c>
      <c r="G34" s="102">
        <f t="shared" si="0"/>
        <v>0.10249999999999999</v>
      </c>
      <c r="H34" s="112"/>
      <c r="I34" s="157">
        <v>0</v>
      </c>
      <c r="J34" s="156">
        <f t="shared" si="1"/>
        <v>0</v>
      </c>
      <c r="K34" s="98">
        <f t="shared" si="2"/>
        <v>0</v>
      </c>
      <c r="L34" s="343"/>
      <c r="M34" s="376"/>
    </row>
    <row r="35" spans="1:14" ht="21" customHeight="1">
      <c r="A35" s="109" t="s">
        <v>56</v>
      </c>
      <c r="B35" s="109"/>
      <c r="C35" s="95"/>
      <c r="D35" s="106">
        <v>1</v>
      </c>
      <c r="E35" s="86">
        <v>0.05</v>
      </c>
      <c r="F35" s="111">
        <f>D35*(1+E35)</f>
        <v>1.05</v>
      </c>
      <c r="G35" s="102">
        <f>E35*(1+F35)</f>
        <v>0.10249999999999999</v>
      </c>
      <c r="H35" s="112"/>
      <c r="I35" s="157">
        <v>0</v>
      </c>
      <c r="J35" s="156">
        <f>0.8/24</f>
        <v>3.3333333333333333E-2</v>
      </c>
      <c r="K35" s="98">
        <f t="shared" si="2"/>
        <v>0.4</v>
      </c>
      <c r="L35" s="343"/>
      <c r="M35" s="376"/>
    </row>
    <row r="36" spans="1:14" ht="18.75" customHeight="1">
      <c r="A36" s="119" t="s">
        <v>57</v>
      </c>
      <c r="B36" s="109"/>
      <c r="C36" s="91"/>
      <c r="D36" s="120"/>
      <c r="E36" s="121"/>
      <c r="F36" s="122"/>
      <c r="G36" s="122"/>
      <c r="H36" s="122"/>
      <c r="I36" s="158"/>
      <c r="J36" s="153">
        <f>SUM(J26:J35)</f>
        <v>4.7933333333333335E-2</v>
      </c>
      <c r="K36" s="123">
        <f>SUM(K26:K35)</f>
        <v>0.57520000000000004</v>
      </c>
      <c r="L36" s="345">
        <f>SUM(L26:L35)</f>
        <v>0</v>
      </c>
      <c r="M36" s="382">
        <f>+J36</f>
        <v>4.7933333333333335E-2</v>
      </c>
    </row>
    <row r="37" spans="1:14" ht="18.75" customHeight="1" thickBot="1">
      <c r="A37" s="124"/>
      <c r="B37" s="124"/>
      <c r="C37" s="125"/>
      <c r="D37" s="126"/>
      <c r="E37" s="127"/>
      <c r="F37" s="128"/>
      <c r="G37" s="128"/>
      <c r="H37" s="128"/>
      <c r="I37" s="129"/>
      <c r="J37" s="130"/>
      <c r="K37" s="130"/>
      <c r="L37" s="211"/>
      <c r="M37" s="376"/>
    </row>
    <row r="38" spans="1:14" ht="27" customHeight="1" thickBot="1">
      <c r="A38" s="462" t="s">
        <v>58</v>
      </c>
      <c r="B38" s="463"/>
      <c r="C38" s="463"/>
      <c r="D38" s="463"/>
      <c r="E38" s="463"/>
      <c r="F38" s="463"/>
      <c r="G38" s="463"/>
      <c r="H38" s="463"/>
      <c r="I38" s="464"/>
      <c r="J38" s="159">
        <f>SUM(J17+J24+J36)</f>
        <v>0.95992389937106914</v>
      </c>
      <c r="K38" s="159">
        <f>SUM(K17+K24+K36)</f>
        <v>11.519086792452828</v>
      </c>
      <c r="L38" s="212"/>
      <c r="M38" s="215">
        <f>SUM(M17+M24+M36)</f>
        <v>1.1621880503144653</v>
      </c>
    </row>
    <row r="39" spans="1:14" ht="27" customHeight="1" thickBot="1">
      <c r="A39" s="462" t="s">
        <v>59</v>
      </c>
      <c r="B39" s="463"/>
      <c r="C39" s="463"/>
      <c r="D39" s="463"/>
      <c r="E39" s="463"/>
      <c r="F39" s="463"/>
      <c r="G39" s="463"/>
      <c r="H39" s="463"/>
      <c r="I39" s="464"/>
      <c r="J39" s="160">
        <f>+J38+J10</f>
        <v>1.8399238993710691</v>
      </c>
      <c r="K39" s="160">
        <f>+K38+K10</f>
        <v>22.079086792452827</v>
      </c>
      <c r="L39" s="212"/>
      <c r="M39" s="215">
        <f>+M38+M10</f>
        <v>2.0721880503144652</v>
      </c>
    </row>
    <row r="40" spans="1:14" ht="27" customHeight="1" thickBot="1">
      <c r="A40" s="131" t="s">
        <v>175</v>
      </c>
      <c r="B40" s="132"/>
      <c r="C40" s="132"/>
      <c r="D40" s="132"/>
      <c r="E40" s="132"/>
      <c r="F40" s="132"/>
      <c r="G40" s="132"/>
      <c r="H40" s="132"/>
      <c r="I40" s="132"/>
      <c r="J40" s="160">
        <f>5500/100000</f>
        <v>5.5E-2</v>
      </c>
      <c r="K40" s="160"/>
      <c r="L40" s="212"/>
      <c r="M40" s="215">
        <f>5500/100000</f>
        <v>5.5E-2</v>
      </c>
    </row>
    <row r="41" spans="1:14" ht="27" customHeight="1" thickBot="1">
      <c r="A41" s="131" t="s">
        <v>176</v>
      </c>
      <c r="B41" s="132"/>
      <c r="C41" s="132"/>
      <c r="D41" s="132"/>
      <c r="E41" s="132"/>
      <c r="F41" s="132"/>
      <c r="G41" s="132"/>
      <c r="H41" s="132"/>
      <c r="I41" s="132"/>
      <c r="J41" s="160">
        <f>+J39+J40</f>
        <v>1.8949238993710691</v>
      </c>
      <c r="K41" s="160"/>
      <c r="L41" s="212"/>
      <c r="M41" s="215">
        <f>+M39+M40</f>
        <v>2.1271880503144653</v>
      </c>
    </row>
    <row r="42" spans="1:14" ht="27" customHeight="1" thickBot="1">
      <c r="A42" s="131" t="s">
        <v>177</v>
      </c>
      <c r="B42" s="132"/>
      <c r="C42" s="132"/>
      <c r="D42" s="132"/>
      <c r="E42" s="132"/>
      <c r="F42" s="132"/>
      <c r="G42" s="132"/>
      <c r="H42" s="132"/>
      <c r="I42" s="132"/>
      <c r="J42" s="160">
        <f>+J39/0.83-J39</f>
        <v>0.37685188300371286</v>
      </c>
      <c r="K42" s="160">
        <f>+K38/0.8-K38</f>
        <v>2.8797716981132062</v>
      </c>
      <c r="L42" s="213"/>
      <c r="M42" s="215">
        <f>+M41/0.83-M41</f>
        <v>0.43568911873910743</v>
      </c>
    </row>
    <row r="43" spans="1:14" ht="28.5" customHeight="1" thickBot="1">
      <c r="A43" s="436"/>
      <c r="B43" s="437"/>
      <c r="C43" s="437"/>
      <c r="D43" s="133"/>
      <c r="E43" s="134"/>
      <c r="F43" s="61"/>
      <c r="G43" s="61"/>
      <c r="H43" s="61"/>
      <c r="I43" s="135"/>
      <c r="J43" s="61" t="s">
        <v>60</v>
      </c>
      <c r="K43" s="61" t="s">
        <v>61</v>
      </c>
      <c r="L43" s="214"/>
      <c r="M43" s="383"/>
    </row>
    <row r="44" spans="1:14" ht="30.6" customHeight="1" thickBot="1">
      <c r="A44" s="469" t="s">
        <v>62</v>
      </c>
      <c r="B44" s="469"/>
      <c r="C44" s="469"/>
      <c r="D44" s="469"/>
      <c r="E44" s="469"/>
      <c r="F44" s="469"/>
      <c r="G44" s="469"/>
      <c r="H44" s="469"/>
      <c r="I44" s="469"/>
      <c r="J44" s="136">
        <f>+J39+J42</f>
        <v>2.216775782374782</v>
      </c>
      <c r="K44" s="136">
        <f>+K39+K42</f>
        <v>24.958858490566033</v>
      </c>
      <c r="L44" s="346"/>
      <c r="M44" s="384">
        <f>+M39+M42</f>
        <v>2.5078771690535726</v>
      </c>
      <c r="N44" s="137"/>
    </row>
    <row r="45" spans="1:14" ht="16.2">
      <c r="A45" s="440"/>
      <c r="B45" s="441"/>
      <c r="C45" s="441"/>
      <c r="D45" s="138"/>
      <c r="E45" s="139"/>
      <c r="F45" s="440"/>
      <c r="G45" s="441"/>
      <c r="H45" s="441"/>
      <c r="I45" s="441"/>
      <c r="J45" s="441"/>
      <c r="K45" s="444"/>
      <c r="L45" s="140"/>
      <c r="M45" s="141"/>
    </row>
    <row r="46" spans="1:14" ht="16.2">
      <c r="A46" s="440"/>
      <c r="B46" s="441"/>
      <c r="C46" s="441"/>
      <c r="D46" s="138"/>
      <c r="E46" s="139"/>
      <c r="F46" s="440"/>
      <c r="G46" s="441"/>
      <c r="H46" s="441"/>
      <c r="I46" s="441"/>
      <c r="J46" s="441"/>
      <c r="K46" s="444"/>
      <c r="L46" s="142"/>
      <c r="M46" s="143"/>
    </row>
    <row r="47" spans="1:14" ht="16.2">
      <c r="A47" s="440"/>
      <c r="B47" s="441"/>
      <c r="C47" s="441"/>
      <c r="D47" s="138"/>
      <c r="E47" s="139"/>
      <c r="F47" s="440"/>
      <c r="G47" s="441"/>
      <c r="H47" s="441"/>
      <c r="I47" s="441"/>
      <c r="J47" s="441"/>
      <c r="K47" s="444"/>
      <c r="L47" s="140"/>
    </row>
    <row r="48" spans="1:14" ht="16.2">
      <c r="A48" s="440"/>
      <c r="B48" s="441"/>
      <c r="C48" s="441"/>
      <c r="D48" s="138"/>
      <c r="E48" s="139"/>
      <c r="F48" s="440"/>
      <c r="G48" s="441"/>
      <c r="H48" s="441"/>
      <c r="I48" s="441"/>
      <c r="J48" s="441"/>
      <c r="K48" s="444"/>
      <c r="L48" s="140"/>
    </row>
    <row r="49" spans="1:12" ht="16.2">
      <c r="A49" s="440"/>
      <c r="B49" s="441"/>
      <c r="C49" s="441"/>
      <c r="D49" s="138"/>
      <c r="E49" s="139"/>
      <c r="F49" s="440"/>
      <c r="G49" s="441"/>
      <c r="H49" s="441"/>
      <c r="I49" s="441"/>
      <c r="J49" s="441"/>
      <c r="K49" s="444"/>
      <c r="L49" s="140"/>
    </row>
    <row r="50" spans="1:12" ht="4.5" customHeight="1" thickBot="1">
      <c r="A50" s="442"/>
      <c r="B50" s="443"/>
      <c r="C50" s="443"/>
      <c r="D50" s="144"/>
      <c r="E50" s="145"/>
      <c r="F50" s="442"/>
      <c r="G50" s="443"/>
      <c r="H50" s="443"/>
      <c r="I50" s="443"/>
      <c r="J50" s="443"/>
      <c r="K50" s="445"/>
      <c r="L50" s="140"/>
    </row>
    <row r="51" spans="1:12">
      <c r="A51" s="1" t="s">
        <v>107</v>
      </c>
      <c r="J51" s="1" t="s">
        <v>108</v>
      </c>
      <c r="K51" s="167">
        <v>45618</v>
      </c>
    </row>
    <row r="52" spans="1:12">
      <c r="A52" s="61"/>
      <c r="B52" s="61"/>
      <c r="C52" s="61"/>
      <c r="D52" s="146"/>
      <c r="E52" s="134"/>
      <c r="F52" s="61"/>
      <c r="G52" s="61"/>
      <c r="H52" s="61"/>
      <c r="I52" s="135"/>
      <c r="J52" s="61"/>
      <c r="K52" s="61"/>
      <c r="L52" s="147"/>
    </row>
    <row r="53" spans="1:12" ht="12.75" customHeight="1">
      <c r="A53" s="1" t="s">
        <v>110</v>
      </c>
      <c r="B53" s="61"/>
      <c r="C53" s="61"/>
      <c r="D53" s="146"/>
      <c r="E53" s="134"/>
      <c r="F53" s="61"/>
      <c r="G53" s="61"/>
      <c r="H53" s="61"/>
      <c r="I53" s="169"/>
      <c r="J53" s="1" t="s">
        <v>108</v>
      </c>
      <c r="K53" s="168"/>
      <c r="L53" s="61"/>
    </row>
    <row r="54" spans="1:12">
      <c r="A54" s="61"/>
      <c r="B54" s="61"/>
      <c r="C54" s="61"/>
      <c r="D54" s="146"/>
      <c r="E54" s="134"/>
      <c r="F54" s="61"/>
      <c r="G54" s="61"/>
      <c r="H54" s="61"/>
      <c r="I54" s="135"/>
      <c r="J54" s="61"/>
      <c r="K54" s="61"/>
      <c r="L54" s="61"/>
    </row>
  </sheetData>
  <mergeCells count="16">
    <mergeCell ref="A43:C43"/>
    <mergeCell ref="A44:I44"/>
    <mergeCell ref="A45:C50"/>
    <mergeCell ref="F45:K50"/>
    <mergeCell ref="A1:L1"/>
    <mergeCell ref="A2:F2"/>
    <mergeCell ref="I2:J2"/>
    <mergeCell ref="K2:L2"/>
    <mergeCell ref="A3:C3"/>
    <mergeCell ref="D3:F3"/>
    <mergeCell ref="J3:K3"/>
    <mergeCell ref="A4:B4"/>
    <mergeCell ref="A5:C5"/>
    <mergeCell ref="A12:F12"/>
    <mergeCell ref="A38:I38"/>
    <mergeCell ref="A39:I3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1C318-5F42-48CD-8F2E-9D431670E100}">
  <dimension ref="A1:Q54"/>
  <sheetViews>
    <sheetView zoomScale="78" zoomScaleNormal="78" workbookViewId="0">
      <selection activeCell="Q7" sqref="Q7"/>
    </sheetView>
  </sheetViews>
  <sheetFormatPr baseColWidth="10" defaultColWidth="9.109375" defaultRowHeight="14.4"/>
  <cols>
    <col min="1" max="1" width="45.88671875" style="1" customWidth="1"/>
    <col min="2" max="2" width="26.88671875" style="1" customWidth="1"/>
    <col min="3" max="3" width="16.33203125" style="1" customWidth="1"/>
    <col min="4" max="4" width="12.5546875" style="7" customWidth="1"/>
    <col min="5" max="5" width="10.44140625" style="148" customWidth="1"/>
    <col min="6" max="6" width="20.6640625" style="1" customWidth="1"/>
    <col min="7" max="7" width="14.5546875" style="1" customWidth="1"/>
    <col min="8" max="8" width="6.88671875" style="1" customWidth="1"/>
    <col min="9" max="9" width="14.33203125" style="149" customWidth="1"/>
    <col min="10" max="10" width="15.5546875" style="1" customWidth="1"/>
    <col min="11" max="11" width="14" style="1" customWidth="1"/>
    <col min="12" max="12" width="17.33203125" style="1" hidden="1" customWidth="1"/>
    <col min="13" max="13" width="11.5546875" style="1" bestFit="1" customWidth="1"/>
    <col min="14" max="14" width="11.5546875" style="1" customWidth="1"/>
    <col min="15" max="15" width="9.109375" style="1"/>
    <col min="16" max="17" width="11" style="1" bestFit="1" customWidth="1"/>
    <col min="18" max="253" width="9.109375" style="1"/>
    <col min="254" max="254" width="45.88671875" style="1" customWidth="1"/>
    <col min="255" max="255" width="26.88671875" style="1" customWidth="1"/>
    <col min="256" max="256" width="16.33203125" style="1" customWidth="1"/>
    <col min="257" max="257" width="12.5546875" style="1" customWidth="1"/>
    <col min="258" max="258" width="10.44140625" style="1" customWidth="1"/>
    <col min="259" max="259" width="20.6640625" style="1" customWidth="1"/>
    <col min="260" max="260" width="14.5546875" style="1" customWidth="1"/>
    <col min="261" max="261" width="6.88671875" style="1" customWidth="1"/>
    <col min="262" max="262" width="14.33203125" style="1" customWidth="1"/>
    <col min="263" max="263" width="15.5546875" style="1" customWidth="1"/>
    <col min="264" max="264" width="14" style="1" customWidth="1"/>
    <col min="265" max="265" width="25.44140625" style="1" customWidth="1"/>
    <col min="266" max="509" width="9.109375" style="1"/>
    <col min="510" max="510" width="45.88671875" style="1" customWidth="1"/>
    <col min="511" max="511" width="26.88671875" style="1" customWidth="1"/>
    <col min="512" max="512" width="16.33203125" style="1" customWidth="1"/>
    <col min="513" max="513" width="12.5546875" style="1" customWidth="1"/>
    <col min="514" max="514" width="10.44140625" style="1" customWidth="1"/>
    <col min="515" max="515" width="20.6640625" style="1" customWidth="1"/>
    <col min="516" max="516" width="14.5546875" style="1" customWidth="1"/>
    <col min="517" max="517" width="6.88671875" style="1" customWidth="1"/>
    <col min="518" max="518" width="14.33203125" style="1" customWidth="1"/>
    <col min="519" max="519" width="15.5546875" style="1" customWidth="1"/>
    <col min="520" max="520" width="14" style="1" customWidth="1"/>
    <col min="521" max="521" width="25.44140625" style="1" customWidth="1"/>
    <col min="522" max="765" width="9.109375" style="1"/>
    <col min="766" max="766" width="45.88671875" style="1" customWidth="1"/>
    <col min="767" max="767" width="26.88671875" style="1" customWidth="1"/>
    <col min="768" max="768" width="16.33203125" style="1" customWidth="1"/>
    <col min="769" max="769" width="12.5546875" style="1" customWidth="1"/>
    <col min="770" max="770" width="10.44140625" style="1" customWidth="1"/>
    <col min="771" max="771" width="20.6640625" style="1" customWidth="1"/>
    <col min="772" max="772" width="14.5546875" style="1" customWidth="1"/>
    <col min="773" max="773" width="6.88671875" style="1" customWidth="1"/>
    <col min="774" max="774" width="14.33203125" style="1" customWidth="1"/>
    <col min="775" max="775" width="15.5546875" style="1" customWidth="1"/>
    <col min="776" max="776" width="14" style="1" customWidth="1"/>
    <col min="777" max="777" width="25.44140625" style="1" customWidth="1"/>
    <col min="778" max="1021" width="9.109375" style="1"/>
    <col min="1022" max="1022" width="45.88671875" style="1" customWidth="1"/>
    <col min="1023" max="1023" width="26.88671875" style="1" customWidth="1"/>
    <col min="1024" max="1024" width="16.33203125" style="1" customWidth="1"/>
    <col min="1025" max="1025" width="12.5546875" style="1" customWidth="1"/>
    <col min="1026" max="1026" width="10.44140625" style="1" customWidth="1"/>
    <col min="1027" max="1027" width="20.6640625" style="1" customWidth="1"/>
    <col min="1028" max="1028" width="14.5546875" style="1" customWidth="1"/>
    <col min="1029" max="1029" width="6.88671875" style="1" customWidth="1"/>
    <col min="1030" max="1030" width="14.33203125" style="1" customWidth="1"/>
    <col min="1031" max="1031" width="15.5546875" style="1" customWidth="1"/>
    <col min="1032" max="1032" width="14" style="1" customWidth="1"/>
    <col min="1033" max="1033" width="25.44140625" style="1" customWidth="1"/>
    <col min="1034" max="1277" width="9.109375" style="1"/>
    <col min="1278" max="1278" width="45.88671875" style="1" customWidth="1"/>
    <col min="1279" max="1279" width="26.88671875" style="1" customWidth="1"/>
    <col min="1280" max="1280" width="16.33203125" style="1" customWidth="1"/>
    <col min="1281" max="1281" width="12.5546875" style="1" customWidth="1"/>
    <col min="1282" max="1282" width="10.44140625" style="1" customWidth="1"/>
    <col min="1283" max="1283" width="20.6640625" style="1" customWidth="1"/>
    <col min="1284" max="1284" width="14.5546875" style="1" customWidth="1"/>
    <col min="1285" max="1285" width="6.88671875" style="1" customWidth="1"/>
    <col min="1286" max="1286" width="14.33203125" style="1" customWidth="1"/>
    <col min="1287" max="1287" width="15.5546875" style="1" customWidth="1"/>
    <col min="1288" max="1288" width="14" style="1" customWidth="1"/>
    <col min="1289" max="1289" width="25.44140625" style="1" customWidth="1"/>
    <col min="1290" max="1533" width="9.109375" style="1"/>
    <col min="1534" max="1534" width="45.88671875" style="1" customWidth="1"/>
    <col min="1535" max="1535" width="26.88671875" style="1" customWidth="1"/>
    <col min="1536" max="1536" width="16.33203125" style="1" customWidth="1"/>
    <col min="1537" max="1537" width="12.5546875" style="1" customWidth="1"/>
    <col min="1538" max="1538" width="10.44140625" style="1" customWidth="1"/>
    <col min="1539" max="1539" width="20.6640625" style="1" customWidth="1"/>
    <col min="1540" max="1540" width="14.5546875" style="1" customWidth="1"/>
    <col min="1541" max="1541" width="6.88671875" style="1" customWidth="1"/>
    <col min="1542" max="1542" width="14.33203125" style="1" customWidth="1"/>
    <col min="1543" max="1543" width="15.5546875" style="1" customWidth="1"/>
    <col min="1544" max="1544" width="14" style="1" customWidth="1"/>
    <col min="1545" max="1545" width="25.44140625" style="1" customWidth="1"/>
    <col min="1546" max="1789" width="9.109375" style="1"/>
    <col min="1790" max="1790" width="45.88671875" style="1" customWidth="1"/>
    <col min="1791" max="1791" width="26.88671875" style="1" customWidth="1"/>
    <col min="1792" max="1792" width="16.33203125" style="1" customWidth="1"/>
    <col min="1793" max="1793" width="12.5546875" style="1" customWidth="1"/>
    <col min="1794" max="1794" width="10.44140625" style="1" customWidth="1"/>
    <col min="1795" max="1795" width="20.6640625" style="1" customWidth="1"/>
    <col min="1796" max="1796" width="14.5546875" style="1" customWidth="1"/>
    <col min="1797" max="1797" width="6.88671875" style="1" customWidth="1"/>
    <col min="1798" max="1798" width="14.33203125" style="1" customWidth="1"/>
    <col min="1799" max="1799" width="15.5546875" style="1" customWidth="1"/>
    <col min="1800" max="1800" width="14" style="1" customWidth="1"/>
    <col min="1801" max="1801" width="25.44140625" style="1" customWidth="1"/>
    <col min="1802" max="2045" width="9.109375" style="1"/>
    <col min="2046" max="2046" width="45.88671875" style="1" customWidth="1"/>
    <col min="2047" max="2047" width="26.88671875" style="1" customWidth="1"/>
    <col min="2048" max="2048" width="16.33203125" style="1" customWidth="1"/>
    <col min="2049" max="2049" width="12.5546875" style="1" customWidth="1"/>
    <col min="2050" max="2050" width="10.44140625" style="1" customWidth="1"/>
    <col min="2051" max="2051" width="20.6640625" style="1" customWidth="1"/>
    <col min="2052" max="2052" width="14.5546875" style="1" customWidth="1"/>
    <col min="2053" max="2053" width="6.88671875" style="1" customWidth="1"/>
    <col min="2054" max="2054" width="14.33203125" style="1" customWidth="1"/>
    <col min="2055" max="2055" width="15.5546875" style="1" customWidth="1"/>
    <col min="2056" max="2056" width="14" style="1" customWidth="1"/>
    <col min="2057" max="2057" width="25.44140625" style="1" customWidth="1"/>
    <col min="2058" max="2301" width="9.109375" style="1"/>
    <col min="2302" max="2302" width="45.88671875" style="1" customWidth="1"/>
    <col min="2303" max="2303" width="26.88671875" style="1" customWidth="1"/>
    <col min="2304" max="2304" width="16.33203125" style="1" customWidth="1"/>
    <col min="2305" max="2305" width="12.5546875" style="1" customWidth="1"/>
    <col min="2306" max="2306" width="10.44140625" style="1" customWidth="1"/>
    <col min="2307" max="2307" width="20.6640625" style="1" customWidth="1"/>
    <col min="2308" max="2308" width="14.5546875" style="1" customWidth="1"/>
    <col min="2309" max="2309" width="6.88671875" style="1" customWidth="1"/>
    <col min="2310" max="2310" width="14.33203125" style="1" customWidth="1"/>
    <col min="2311" max="2311" width="15.5546875" style="1" customWidth="1"/>
    <col min="2312" max="2312" width="14" style="1" customWidth="1"/>
    <col min="2313" max="2313" width="25.44140625" style="1" customWidth="1"/>
    <col min="2314" max="2557" width="9.109375" style="1"/>
    <col min="2558" max="2558" width="45.88671875" style="1" customWidth="1"/>
    <col min="2559" max="2559" width="26.88671875" style="1" customWidth="1"/>
    <col min="2560" max="2560" width="16.33203125" style="1" customWidth="1"/>
    <col min="2561" max="2561" width="12.5546875" style="1" customWidth="1"/>
    <col min="2562" max="2562" width="10.44140625" style="1" customWidth="1"/>
    <col min="2563" max="2563" width="20.6640625" style="1" customWidth="1"/>
    <col min="2564" max="2564" width="14.5546875" style="1" customWidth="1"/>
    <col min="2565" max="2565" width="6.88671875" style="1" customWidth="1"/>
    <col min="2566" max="2566" width="14.33203125" style="1" customWidth="1"/>
    <col min="2567" max="2567" width="15.5546875" style="1" customWidth="1"/>
    <col min="2568" max="2568" width="14" style="1" customWidth="1"/>
    <col min="2569" max="2569" width="25.44140625" style="1" customWidth="1"/>
    <col min="2570" max="2813" width="9.109375" style="1"/>
    <col min="2814" max="2814" width="45.88671875" style="1" customWidth="1"/>
    <col min="2815" max="2815" width="26.88671875" style="1" customWidth="1"/>
    <col min="2816" max="2816" width="16.33203125" style="1" customWidth="1"/>
    <col min="2817" max="2817" width="12.5546875" style="1" customWidth="1"/>
    <col min="2818" max="2818" width="10.44140625" style="1" customWidth="1"/>
    <col min="2819" max="2819" width="20.6640625" style="1" customWidth="1"/>
    <col min="2820" max="2820" width="14.5546875" style="1" customWidth="1"/>
    <col min="2821" max="2821" width="6.88671875" style="1" customWidth="1"/>
    <col min="2822" max="2822" width="14.33203125" style="1" customWidth="1"/>
    <col min="2823" max="2823" width="15.5546875" style="1" customWidth="1"/>
    <col min="2824" max="2824" width="14" style="1" customWidth="1"/>
    <col min="2825" max="2825" width="25.44140625" style="1" customWidth="1"/>
    <col min="2826" max="3069" width="9.109375" style="1"/>
    <col min="3070" max="3070" width="45.88671875" style="1" customWidth="1"/>
    <col min="3071" max="3071" width="26.88671875" style="1" customWidth="1"/>
    <col min="3072" max="3072" width="16.33203125" style="1" customWidth="1"/>
    <col min="3073" max="3073" width="12.5546875" style="1" customWidth="1"/>
    <col min="3074" max="3074" width="10.44140625" style="1" customWidth="1"/>
    <col min="3075" max="3075" width="20.6640625" style="1" customWidth="1"/>
    <col min="3076" max="3076" width="14.5546875" style="1" customWidth="1"/>
    <col min="3077" max="3077" width="6.88671875" style="1" customWidth="1"/>
    <col min="3078" max="3078" width="14.33203125" style="1" customWidth="1"/>
    <col min="3079" max="3079" width="15.5546875" style="1" customWidth="1"/>
    <col min="3080" max="3080" width="14" style="1" customWidth="1"/>
    <col min="3081" max="3081" width="25.44140625" style="1" customWidth="1"/>
    <col min="3082" max="3325" width="9.109375" style="1"/>
    <col min="3326" max="3326" width="45.88671875" style="1" customWidth="1"/>
    <col min="3327" max="3327" width="26.88671875" style="1" customWidth="1"/>
    <col min="3328" max="3328" width="16.33203125" style="1" customWidth="1"/>
    <col min="3329" max="3329" width="12.5546875" style="1" customWidth="1"/>
    <col min="3330" max="3330" width="10.44140625" style="1" customWidth="1"/>
    <col min="3331" max="3331" width="20.6640625" style="1" customWidth="1"/>
    <col min="3332" max="3332" width="14.5546875" style="1" customWidth="1"/>
    <col min="3333" max="3333" width="6.88671875" style="1" customWidth="1"/>
    <col min="3334" max="3334" width="14.33203125" style="1" customWidth="1"/>
    <col min="3335" max="3335" width="15.5546875" style="1" customWidth="1"/>
    <col min="3336" max="3336" width="14" style="1" customWidth="1"/>
    <col min="3337" max="3337" width="25.44140625" style="1" customWidth="1"/>
    <col min="3338" max="3581" width="9.109375" style="1"/>
    <col min="3582" max="3582" width="45.88671875" style="1" customWidth="1"/>
    <col min="3583" max="3583" width="26.88671875" style="1" customWidth="1"/>
    <col min="3584" max="3584" width="16.33203125" style="1" customWidth="1"/>
    <col min="3585" max="3585" width="12.5546875" style="1" customWidth="1"/>
    <col min="3586" max="3586" width="10.44140625" style="1" customWidth="1"/>
    <col min="3587" max="3587" width="20.6640625" style="1" customWidth="1"/>
    <col min="3588" max="3588" width="14.5546875" style="1" customWidth="1"/>
    <col min="3589" max="3589" width="6.88671875" style="1" customWidth="1"/>
    <col min="3590" max="3590" width="14.33203125" style="1" customWidth="1"/>
    <col min="3591" max="3591" width="15.5546875" style="1" customWidth="1"/>
    <col min="3592" max="3592" width="14" style="1" customWidth="1"/>
    <col min="3593" max="3593" width="25.44140625" style="1" customWidth="1"/>
    <col min="3594" max="3837" width="9.109375" style="1"/>
    <col min="3838" max="3838" width="45.88671875" style="1" customWidth="1"/>
    <col min="3839" max="3839" width="26.88671875" style="1" customWidth="1"/>
    <col min="3840" max="3840" width="16.33203125" style="1" customWidth="1"/>
    <col min="3841" max="3841" width="12.5546875" style="1" customWidth="1"/>
    <col min="3842" max="3842" width="10.44140625" style="1" customWidth="1"/>
    <col min="3843" max="3843" width="20.6640625" style="1" customWidth="1"/>
    <col min="3844" max="3844" width="14.5546875" style="1" customWidth="1"/>
    <col min="3845" max="3845" width="6.88671875" style="1" customWidth="1"/>
    <col min="3846" max="3846" width="14.33203125" style="1" customWidth="1"/>
    <col min="3847" max="3847" width="15.5546875" style="1" customWidth="1"/>
    <col min="3848" max="3848" width="14" style="1" customWidth="1"/>
    <col min="3849" max="3849" width="25.44140625" style="1" customWidth="1"/>
    <col min="3850" max="4093" width="9.109375" style="1"/>
    <col min="4094" max="4094" width="45.88671875" style="1" customWidth="1"/>
    <col min="4095" max="4095" width="26.88671875" style="1" customWidth="1"/>
    <col min="4096" max="4096" width="16.33203125" style="1" customWidth="1"/>
    <col min="4097" max="4097" width="12.5546875" style="1" customWidth="1"/>
    <col min="4098" max="4098" width="10.44140625" style="1" customWidth="1"/>
    <col min="4099" max="4099" width="20.6640625" style="1" customWidth="1"/>
    <col min="4100" max="4100" width="14.5546875" style="1" customWidth="1"/>
    <col min="4101" max="4101" width="6.88671875" style="1" customWidth="1"/>
    <col min="4102" max="4102" width="14.33203125" style="1" customWidth="1"/>
    <col min="4103" max="4103" width="15.5546875" style="1" customWidth="1"/>
    <col min="4104" max="4104" width="14" style="1" customWidth="1"/>
    <col min="4105" max="4105" width="25.44140625" style="1" customWidth="1"/>
    <col min="4106" max="4349" width="9.109375" style="1"/>
    <col min="4350" max="4350" width="45.88671875" style="1" customWidth="1"/>
    <col min="4351" max="4351" width="26.88671875" style="1" customWidth="1"/>
    <col min="4352" max="4352" width="16.33203125" style="1" customWidth="1"/>
    <col min="4353" max="4353" width="12.5546875" style="1" customWidth="1"/>
    <col min="4354" max="4354" width="10.44140625" style="1" customWidth="1"/>
    <col min="4355" max="4355" width="20.6640625" style="1" customWidth="1"/>
    <col min="4356" max="4356" width="14.5546875" style="1" customWidth="1"/>
    <col min="4357" max="4357" width="6.88671875" style="1" customWidth="1"/>
    <col min="4358" max="4358" width="14.33203125" style="1" customWidth="1"/>
    <col min="4359" max="4359" width="15.5546875" style="1" customWidth="1"/>
    <col min="4360" max="4360" width="14" style="1" customWidth="1"/>
    <col min="4361" max="4361" width="25.44140625" style="1" customWidth="1"/>
    <col min="4362" max="4605" width="9.109375" style="1"/>
    <col min="4606" max="4606" width="45.88671875" style="1" customWidth="1"/>
    <col min="4607" max="4607" width="26.88671875" style="1" customWidth="1"/>
    <col min="4608" max="4608" width="16.33203125" style="1" customWidth="1"/>
    <col min="4609" max="4609" width="12.5546875" style="1" customWidth="1"/>
    <col min="4610" max="4610" width="10.44140625" style="1" customWidth="1"/>
    <col min="4611" max="4611" width="20.6640625" style="1" customWidth="1"/>
    <col min="4612" max="4612" width="14.5546875" style="1" customWidth="1"/>
    <col min="4613" max="4613" width="6.88671875" style="1" customWidth="1"/>
    <col min="4614" max="4614" width="14.33203125" style="1" customWidth="1"/>
    <col min="4615" max="4615" width="15.5546875" style="1" customWidth="1"/>
    <col min="4616" max="4616" width="14" style="1" customWidth="1"/>
    <col min="4617" max="4617" width="25.44140625" style="1" customWidth="1"/>
    <col min="4618" max="4861" width="9.109375" style="1"/>
    <col min="4862" max="4862" width="45.88671875" style="1" customWidth="1"/>
    <col min="4863" max="4863" width="26.88671875" style="1" customWidth="1"/>
    <col min="4864" max="4864" width="16.33203125" style="1" customWidth="1"/>
    <col min="4865" max="4865" width="12.5546875" style="1" customWidth="1"/>
    <col min="4866" max="4866" width="10.44140625" style="1" customWidth="1"/>
    <col min="4867" max="4867" width="20.6640625" style="1" customWidth="1"/>
    <col min="4868" max="4868" width="14.5546875" style="1" customWidth="1"/>
    <col min="4869" max="4869" width="6.88671875" style="1" customWidth="1"/>
    <col min="4870" max="4870" width="14.33203125" style="1" customWidth="1"/>
    <col min="4871" max="4871" width="15.5546875" style="1" customWidth="1"/>
    <col min="4872" max="4872" width="14" style="1" customWidth="1"/>
    <col min="4873" max="4873" width="25.44140625" style="1" customWidth="1"/>
    <col min="4874" max="5117" width="9.109375" style="1"/>
    <col min="5118" max="5118" width="45.88671875" style="1" customWidth="1"/>
    <col min="5119" max="5119" width="26.88671875" style="1" customWidth="1"/>
    <col min="5120" max="5120" width="16.33203125" style="1" customWidth="1"/>
    <col min="5121" max="5121" width="12.5546875" style="1" customWidth="1"/>
    <col min="5122" max="5122" width="10.44140625" style="1" customWidth="1"/>
    <col min="5123" max="5123" width="20.6640625" style="1" customWidth="1"/>
    <col min="5124" max="5124" width="14.5546875" style="1" customWidth="1"/>
    <col min="5125" max="5125" width="6.88671875" style="1" customWidth="1"/>
    <col min="5126" max="5126" width="14.33203125" style="1" customWidth="1"/>
    <col min="5127" max="5127" width="15.5546875" style="1" customWidth="1"/>
    <col min="5128" max="5128" width="14" style="1" customWidth="1"/>
    <col min="5129" max="5129" width="25.44140625" style="1" customWidth="1"/>
    <col min="5130" max="5373" width="9.109375" style="1"/>
    <col min="5374" max="5374" width="45.88671875" style="1" customWidth="1"/>
    <col min="5375" max="5375" width="26.88671875" style="1" customWidth="1"/>
    <col min="5376" max="5376" width="16.33203125" style="1" customWidth="1"/>
    <col min="5377" max="5377" width="12.5546875" style="1" customWidth="1"/>
    <col min="5378" max="5378" width="10.44140625" style="1" customWidth="1"/>
    <col min="5379" max="5379" width="20.6640625" style="1" customWidth="1"/>
    <col min="5380" max="5380" width="14.5546875" style="1" customWidth="1"/>
    <col min="5381" max="5381" width="6.88671875" style="1" customWidth="1"/>
    <col min="5382" max="5382" width="14.33203125" style="1" customWidth="1"/>
    <col min="5383" max="5383" width="15.5546875" style="1" customWidth="1"/>
    <col min="5384" max="5384" width="14" style="1" customWidth="1"/>
    <col min="5385" max="5385" width="25.44140625" style="1" customWidth="1"/>
    <col min="5386" max="5629" width="9.109375" style="1"/>
    <col min="5630" max="5630" width="45.88671875" style="1" customWidth="1"/>
    <col min="5631" max="5631" width="26.88671875" style="1" customWidth="1"/>
    <col min="5632" max="5632" width="16.33203125" style="1" customWidth="1"/>
    <col min="5633" max="5633" width="12.5546875" style="1" customWidth="1"/>
    <col min="5634" max="5634" width="10.44140625" style="1" customWidth="1"/>
    <col min="5635" max="5635" width="20.6640625" style="1" customWidth="1"/>
    <col min="5636" max="5636" width="14.5546875" style="1" customWidth="1"/>
    <col min="5637" max="5637" width="6.88671875" style="1" customWidth="1"/>
    <col min="5638" max="5638" width="14.33203125" style="1" customWidth="1"/>
    <col min="5639" max="5639" width="15.5546875" style="1" customWidth="1"/>
    <col min="5640" max="5640" width="14" style="1" customWidth="1"/>
    <col min="5641" max="5641" width="25.44140625" style="1" customWidth="1"/>
    <col min="5642" max="5885" width="9.109375" style="1"/>
    <col min="5886" max="5886" width="45.88671875" style="1" customWidth="1"/>
    <col min="5887" max="5887" width="26.88671875" style="1" customWidth="1"/>
    <col min="5888" max="5888" width="16.33203125" style="1" customWidth="1"/>
    <col min="5889" max="5889" width="12.5546875" style="1" customWidth="1"/>
    <col min="5890" max="5890" width="10.44140625" style="1" customWidth="1"/>
    <col min="5891" max="5891" width="20.6640625" style="1" customWidth="1"/>
    <col min="5892" max="5892" width="14.5546875" style="1" customWidth="1"/>
    <col min="5893" max="5893" width="6.88671875" style="1" customWidth="1"/>
    <col min="5894" max="5894" width="14.33203125" style="1" customWidth="1"/>
    <col min="5895" max="5895" width="15.5546875" style="1" customWidth="1"/>
    <col min="5896" max="5896" width="14" style="1" customWidth="1"/>
    <col min="5897" max="5897" width="25.44140625" style="1" customWidth="1"/>
    <col min="5898" max="6141" width="9.109375" style="1"/>
    <col min="6142" max="6142" width="45.88671875" style="1" customWidth="1"/>
    <col min="6143" max="6143" width="26.88671875" style="1" customWidth="1"/>
    <col min="6144" max="6144" width="16.33203125" style="1" customWidth="1"/>
    <col min="6145" max="6145" width="12.5546875" style="1" customWidth="1"/>
    <col min="6146" max="6146" width="10.44140625" style="1" customWidth="1"/>
    <col min="6147" max="6147" width="20.6640625" style="1" customWidth="1"/>
    <col min="6148" max="6148" width="14.5546875" style="1" customWidth="1"/>
    <col min="6149" max="6149" width="6.88671875" style="1" customWidth="1"/>
    <col min="6150" max="6150" width="14.33203125" style="1" customWidth="1"/>
    <col min="6151" max="6151" width="15.5546875" style="1" customWidth="1"/>
    <col min="6152" max="6152" width="14" style="1" customWidth="1"/>
    <col min="6153" max="6153" width="25.44140625" style="1" customWidth="1"/>
    <col min="6154" max="6397" width="9.109375" style="1"/>
    <col min="6398" max="6398" width="45.88671875" style="1" customWidth="1"/>
    <col min="6399" max="6399" width="26.88671875" style="1" customWidth="1"/>
    <col min="6400" max="6400" width="16.33203125" style="1" customWidth="1"/>
    <col min="6401" max="6401" width="12.5546875" style="1" customWidth="1"/>
    <col min="6402" max="6402" width="10.44140625" style="1" customWidth="1"/>
    <col min="6403" max="6403" width="20.6640625" style="1" customWidth="1"/>
    <col min="6404" max="6404" width="14.5546875" style="1" customWidth="1"/>
    <col min="6405" max="6405" width="6.88671875" style="1" customWidth="1"/>
    <col min="6406" max="6406" width="14.33203125" style="1" customWidth="1"/>
    <col min="6407" max="6407" width="15.5546875" style="1" customWidth="1"/>
    <col min="6408" max="6408" width="14" style="1" customWidth="1"/>
    <col min="6409" max="6409" width="25.44140625" style="1" customWidth="1"/>
    <col min="6410" max="6653" width="9.109375" style="1"/>
    <col min="6654" max="6654" width="45.88671875" style="1" customWidth="1"/>
    <col min="6655" max="6655" width="26.88671875" style="1" customWidth="1"/>
    <col min="6656" max="6656" width="16.33203125" style="1" customWidth="1"/>
    <col min="6657" max="6657" width="12.5546875" style="1" customWidth="1"/>
    <col min="6658" max="6658" width="10.44140625" style="1" customWidth="1"/>
    <col min="6659" max="6659" width="20.6640625" style="1" customWidth="1"/>
    <col min="6660" max="6660" width="14.5546875" style="1" customWidth="1"/>
    <col min="6661" max="6661" width="6.88671875" style="1" customWidth="1"/>
    <col min="6662" max="6662" width="14.33203125" style="1" customWidth="1"/>
    <col min="6663" max="6663" width="15.5546875" style="1" customWidth="1"/>
    <col min="6664" max="6664" width="14" style="1" customWidth="1"/>
    <col min="6665" max="6665" width="25.44140625" style="1" customWidth="1"/>
    <col min="6666" max="6909" width="9.109375" style="1"/>
    <col min="6910" max="6910" width="45.88671875" style="1" customWidth="1"/>
    <col min="6911" max="6911" width="26.88671875" style="1" customWidth="1"/>
    <col min="6912" max="6912" width="16.33203125" style="1" customWidth="1"/>
    <col min="6913" max="6913" width="12.5546875" style="1" customWidth="1"/>
    <col min="6914" max="6914" width="10.44140625" style="1" customWidth="1"/>
    <col min="6915" max="6915" width="20.6640625" style="1" customWidth="1"/>
    <col min="6916" max="6916" width="14.5546875" style="1" customWidth="1"/>
    <col min="6917" max="6917" width="6.88671875" style="1" customWidth="1"/>
    <col min="6918" max="6918" width="14.33203125" style="1" customWidth="1"/>
    <col min="6919" max="6919" width="15.5546875" style="1" customWidth="1"/>
    <col min="6920" max="6920" width="14" style="1" customWidth="1"/>
    <col min="6921" max="6921" width="25.44140625" style="1" customWidth="1"/>
    <col min="6922" max="7165" width="9.109375" style="1"/>
    <col min="7166" max="7166" width="45.88671875" style="1" customWidth="1"/>
    <col min="7167" max="7167" width="26.88671875" style="1" customWidth="1"/>
    <col min="7168" max="7168" width="16.33203125" style="1" customWidth="1"/>
    <col min="7169" max="7169" width="12.5546875" style="1" customWidth="1"/>
    <col min="7170" max="7170" width="10.44140625" style="1" customWidth="1"/>
    <col min="7171" max="7171" width="20.6640625" style="1" customWidth="1"/>
    <col min="7172" max="7172" width="14.5546875" style="1" customWidth="1"/>
    <col min="7173" max="7173" width="6.88671875" style="1" customWidth="1"/>
    <col min="7174" max="7174" width="14.33203125" style="1" customWidth="1"/>
    <col min="7175" max="7175" width="15.5546875" style="1" customWidth="1"/>
    <col min="7176" max="7176" width="14" style="1" customWidth="1"/>
    <col min="7177" max="7177" width="25.44140625" style="1" customWidth="1"/>
    <col min="7178" max="7421" width="9.109375" style="1"/>
    <col min="7422" max="7422" width="45.88671875" style="1" customWidth="1"/>
    <col min="7423" max="7423" width="26.88671875" style="1" customWidth="1"/>
    <col min="7424" max="7424" width="16.33203125" style="1" customWidth="1"/>
    <col min="7425" max="7425" width="12.5546875" style="1" customWidth="1"/>
    <col min="7426" max="7426" width="10.44140625" style="1" customWidth="1"/>
    <col min="7427" max="7427" width="20.6640625" style="1" customWidth="1"/>
    <col min="7428" max="7428" width="14.5546875" style="1" customWidth="1"/>
    <col min="7429" max="7429" width="6.88671875" style="1" customWidth="1"/>
    <col min="7430" max="7430" width="14.33203125" style="1" customWidth="1"/>
    <col min="7431" max="7431" width="15.5546875" style="1" customWidth="1"/>
    <col min="7432" max="7432" width="14" style="1" customWidth="1"/>
    <col min="7433" max="7433" width="25.44140625" style="1" customWidth="1"/>
    <col min="7434" max="7677" width="9.109375" style="1"/>
    <col min="7678" max="7678" width="45.88671875" style="1" customWidth="1"/>
    <col min="7679" max="7679" width="26.88671875" style="1" customWidth="1"/>
    <col min="7680" max="7680" width="16.33203125" style="1" customWidth="1"/>
    <col min="7681" max="7681" width="12.5546875" style="1" customWidth="1"/>
    <col min="7682" max="7682" width="10.44140625" style="1" customWidth="1"/>
    <col min="7683" max="7683" width="20.6640625" style="1" customWidth="1"/>
    <col min="7684" max="7684" width="14.5546875" style="1" customWidth="1"/>
    <col min="7685" max="7685" width="6.88671875" style="1" customWidth="1"/>
    <col min="7686" max="7686" width="14.33203125" style="1" customWidth="1"/>
    <col min="7687" max="7687" width="15.5546875" style="1" customWidth="1"/>
    <col min="7688" max="7688" width="14" style="1" customWidth="1"/>
    <col min="7689" max="7689" width="25.44140625" style="1" customWidth="1"/>
    <col min="7690" max="7933" width="9.109375" style="1"/>
    <col min="7934" max="7934" width="45.88671875" style="1" customWidth="1"/>
    <col min="7935" max="7935" width="26.88671875" style="1" customWidth="1"/>
    <col min="7936" max="7936" width="16.33203125" style="1" customWidth="1"/>
    <col min="7937" max="7937" width="12.5546875" style="1" customWidth="1"/>
    <col min="7938" max="7938" width="10.44140625" style="1" customWidth="1"/>
    <col min="7939" max="7939" width="20.6640625" style="1" customWidth="1"/>
    <col min="7940" max="7940" width="14.5546875" style="1" customWidth="1"/>
    <col min="7941" max="7941" width="6.88671875" style="1" customWidth="1"/>
    <col min="7942" max="7942" width="14.33203125" style="1" customWidth="1"/>
    <col min="7943" max="7943" width="15.5546875" style="1" customWidth="1"/>
    <col min="7944" max="7944" width="14" style="1" customWidth="1"/>
    <col min="7945" max="7945" width="25.44140625" style="1" customWidth="1"/>
    <col min="7946" max="8189" width="9.109375" style="1"/>
    <col min="8190" max="8190" width="45.88671875" style="1" customWidth="1"/>
    <col min="8191" max="8191" width="26.88671875" style="1" customWidth="1"/>
    <col min="8192" max="8192" width="16.33203125" style="1" customWidth="1"/>
    <col min="8193" max="8193" width="12.5546875" style="1" customWidth="1"/>
    <col min="8194" max="8194" width="10.44140625" style="1" customWidth="1"/>
    <col min="8195" max="8195" width="20.6640625" style="1" customWidth="1"/>
    <col min="8196" max="8196" width="14.5546875" style="1" customWidth="1"/>
    <col min="8197" max="8197" width="6.88671875" style="1" customWidth="1"/>
    <col min="8198" max="8198" width="14.33203125" style="1" customWidth="1"/>
    <col min="8199" max="8199" width="15.5546875" style="1" customWidth="1"/>
    <col min="8200" max="8200" width="14" style="1" customWidth="1"/>
    <col min="8201" max="8201" width="25.44140625" style="1" customWidth="1"/>
    <col min="8202" max="8445" width="9.109375" style="1"/>
    <col min="8446" max="8446" width="45.88671875" style="1" customWidth="1"/>
    <col min="8447" max="8447" width="26.88671875" style="1" customWidth="1"/>
    <col min="8448" max="8448" width="16.33203125" style="1" customWidth="1"/>
    <col min="8449" max="8449" width="12.5546875" style="1" customWidth="1"/>
    <col min="8450" max="8450" width="10.44140625" style="1" customWidth="1"/>
    <col min="8451" max="8451" width="20.6640625" style="1" customWidth="1"/>
    <col min="8452" max="8452" width="14.5546875" style="1" customWidth="1"/>
    <col min="8453" max="8453" width="6.88671875" style="1" customWidth="1"/>
    <col min="8454" max="8454" width="14.33203125" style="1" customWidth="1"/>
    <col min="8455" max="8455" width="15.5546875" style="1" customWidth="1"/>
    <col min="8456" max="8456" width="14" style="1" customWidth="1"/>
    <col min="8457" max="8457" width="25.44140625" style="1" customWidth="1"/>
    <col min="8458" max="8701" width="9.109375" style="1"/>
    <col min="8702" max="8702" width="45.88671875" style="1" customWidth="1"/>
    <col min="8703" max="8703" width="26.88671875" style="1" customWidth="1"/>
    <col min="8704" max="8704" width="16.33203125" style="1" customWidth="1"/>
    <col min="8705" max="8705" width="12.5546875" style="1" customWidth="1"/>
    <col min="8706" max="8706" width="10.44140625" style="1" customWidth="1"/>
    <col min="8707" max="8707" width="20.6640625" style="1" customWidth="1"/>
    <col min="8708" max="8708" width="14.5546875" style="1" customWidth="1"/>
    <col min="8709" max="8709" width="6.88671875" style="1" customWidth="1"/>
    <col min="8710" max="8710" width="14.33203125" style="1" customWidth="1"/>
    <col min="8711" max="8711" width="15.5546875" style="1" customWidth="1"/>
    <col min="8712" max="8712" width="14" style="1" customWidth="1"/>
    <col min="8713" max="8713" width="25.44140625" style="1" customWidth="1"/>
    <col min="8714" max="8957" width="9.109375" style="1"/>
    <col min="8958" max="8958" width="45.88671875" style="1" customWidth="1"/>
    <col min="8959" max="8959" width="26.88671875" style="1" customWidth="1"/>
    <col min="8960" max="8960" width="16.33203125" style="1" customWidth="1"/>
    <col min="8961" max="8961" width="12.5546875" style="1" customWidth="1"/>
    <col min="8962" max="8962" width="10.44140625" style="1" customWidth="1"/>
    <col min="8963" max="8963" width="20.6640625" style="1" customWidth="1"/>
    <col min="8964" max="8964" width="14.5546875" style="1" customWidth="1"/>
    <col min="8965" max="8965" width="6.88671875" style="1" customWidth="1"/>
    <col min="8966" max="8966" width="14.33203125" style="1" customWidth="1"/>
    <col min="8967" max="8967" width="15.5546875" style="1" customWidth="1"/>
    <col min="8968" max="8968" width="14" style="1" customWidth="1"/>
    <col min="8969" max="8969" width="25.44140625" style="1" customWidth="1"/>
    <col min="8970" max="9213" width="9.109375" style="1"/>
    <col min="9214" max="9214" width="45.88671875" style="1" customWidth="1"/>
    <col min="9215" max="9215" width="26.88671875" style="1" customWidth="1"/>
    <col min="9216" max="9216" width="16.33203125" style="1" customWidth="1"/>
    <col min="9217" max="9217" width="12.5546875" style="1" customWidth="1"/>
    <col min="9218" max="9218" width="10.44140625" style="1" customWidth="1"/>
    <col min="9219" max="9219" width="20.6640625" style="1" customWidth="1"/>
    <col min="9220" max="9220" width="14.5546875" style="1" customWidth="1"/>
    <col min="9221" max="9221" width="6.88671875" style="1" customWidth="1"/>
    <col min="9222" max="9222" width="14.33203125" style="1" customWidth="1"/>
    <col min="9223" max="9223" width="15.5546875" style="1" customWidth="1"/>
    <col min="9224" max="9224" width="14" style="1" customWidth="1"/>
    <col min="9225" max="9225" width="25.44140625" style="1" customWidth="1"/>
    <col min="9226" max="9469" width="9.109375" style="1"/>
    <col min="9470" max="9470" width="45.88671875" style="1" customWidth="1"/>
    <col min="9471" max="9471" width="26.88671875" style="1" customWidth="1"/>
    <col min="9472" max="9472" width="16.33203125" style="1" customWidth="1"/>
    <col min="9473" max="9473" width="12.5546875" style="1" customWidth="1"/>
    <col min="9474" max="9474" width="10.44140625" style="1" customWidth="1"/>
    <col min="9475" max="9475" width="20.6640625" style="1" customWidth="1"/>
    <col min="9476" max="9476" width="14.5546875" style="1" customWidth="1"/>
    <col min="9477" max="9477" width="6.88671875" style="1" customWidth="1"/>
    <col min="9478" max="9478" width="14.33203125" style="1" customWidth="1"/>
    <col min="9479" max="9479" width="15.5546875" style="1" customWidth="1"/>
    <col min="9480" max="9480" width="14" style="1" customWidth="1"/>
    <col min="9481" max="9481" width="25.44140625" style="1" customWidth="1"/>
    <col min="9482" max="9725" width="9.109375" style="1"/>
    <col min="9726" max="9726" width="45.88671875" style="1" customWidth="1"/>
    <col min="9727" max="9727" width="26.88671875" style="1" customWidth="1"/>
    <col min="9728" max="9728" width="16.33203125" style="1" customWidth="1"/>
    <col min="9729" max="9729" width="12.5546875" style="1" customWidth="1"/>
    <col min="9730" max="9730" width="10.44140625" style="1" customWidth="1"/>
    <col min="9731" max="9731" width="20.6640625" style="1" customWidth="1"/>
    <col min="9732" max="9732" width="14.5546875" style="1" customWidth="1"/>
    <col min="9733" max="9733" width="6.88671875" style="1" customWidth="1"/>
    <col min="9734" max="9734" width="14.33203125" style="1" customWidth="1"/>
    <col min="9735" max="9735" width="15.5546875" style="1" customWidth="1"/>
    <col min="9736" max="9736" width="14" style="1" customWidth="1"/>
    <col min="9737" max="9737" width="25.44140625" style="1" customWidth="1"/>
    <col min="9738" max="9981" width="9.109375" style="1"/>
    <col min="9982" max="9982" width="45.88671875" style="1" customWidth="1"/>
    <col min="9983" max="9983" width="26.88671875" style="1" customWidth="1"/>
    <col min="9984" max="9984" width="16.33203125" style="1" customWidth="1"/>
    <col min="9985" max="9985" width="12.5546875" style="1" customWidth="1"/>
    <col min="9986" max="9986" width="10.44140625" style="1" customWidth="1"/>
    <col min="9987" max="9987" width="20.6640625" style="1" customWidth="1"/>
    <col min="9988" max="9988" width="14.5546875" style="1" customWidth="1"/>
    <col min="9989" max="9989" width="6.88671875" style="1" customWidth="1"/>
    <col min="9990" max="9990" width="14.33203125" style="1" customWidth="1"/>
    <col min="9991" max="9991" width="15.5546875" style="1" customWidth="1"/>
    <col min="9992" max="9992" width="14" style="1" customWidth="1"/>
    <col min="9993" max="9993" width="25.44140625" style="1" customWidth="1"/>
    <col min="9994" max="10237" width="9.109375" style="1"/>
    <col min="10238" max="10238" width="45.88671875" style="1" customWidth="1"/>
    <col min="10239" max="10239" width="26.88671875" style="1" customWidth="1"/>
    <col min="10240" max="10240" width="16.33203125" style="1" customWidth="1"/>
    <col min="10241" max="10241" width="12.5546875" style="1" customWidth="1"/>
    <col min="10242" max="10242" width="10.44140625" style="1" customWidth="1"/>
    <col min="10243" max="10243" width="20.6640625" style="1" customWidth="1"/>
    <col min="10244" max="10244" width="14.5546875" style="1" customWidth="1"/>
    <col min="10245" max="10245" width="6.88671875" style="1" customWidth="1"/>
    <col min="10246" max="10246" width="14.33203125" style="1" customWidth="1"/>
    <col min="10247" max="10247" width="15.5546875" style="1" customWidth="1"/>
    <col min="10248" max="10248" width="14" style="1" customWidth="1"/>
    <col min="10249" max="10249" width="25.44140625" style="1" customWidth="1"/>
    <col min="10250" max="10493" width="9.109375" style="1"/>
    <col min="10494" max="10494" width="45.88671875" style="1" customWidth="1"/>
    <col min="10495" max="10495" width="26.88671875" style="1" customWidth="1"/>
    <col min="10496" max="10496" width="16.33203125" style="1" customWidth="1"/>
    <col min="10497" max="10497" width="12.5546875" style="1" customWidth="1"/>
    <col min="10498" max="10498" width="10.44140625" style="1" customWidth="1"/>
    <col min="10499" max="10499" width="20.6640625" style="1" customWidth="1"/>
    <col min="10500" max="10500" width="14.5546875" style="1" customWidth="1"/>
    <col min="10501" max="10501" width="6.88671875" style="1" customWidth="1"/>
    <col min="10502" max="10502" width="14.33203125" style="1" customWidth="1"/>
    <col min="10503" max="10503" width="15.5546875" style="1" customWidth="1"/>
    <col min="10504" max="10504" width="14" style="1" customWidth="1"/>
    <col min="10505" max="10505" width="25.44140625" style="1" customWidth="1"/>
    <col min="10506" max="10749" width="9.109375" style="1"/>
    <col min="10750" max="10750" width="45.88671875" style="1" customWidth="1"/>
    <col min="10751" max="10751" width="26.88671875" style="1" customWidth="1"/>
    <col min="10752" max="10752" width="16.33203125" style="1" customWidth="1"/>
    <col min="10753" max="10753" width="12.5546875" style="1" customWidth="1"/>
    <col min="10754" max="10754" width="10.44140625" style="1" customWidth="1"/>
    <col min="10755" max="10755" width="20.6640625" style="1" customWidth="1"/>
    <col min="10756" max="10756" width="14.5546875" style="1" customWidth="1"/>
    <col min="10757" max="10757" width="6.88671875" style="1" customWidth="1"/>
    <col min="10758" max="10758" width="14.33203125" style="1" customWidth="1"/>
    <col min="10759" max="10759" width="15.5546875" style="1" customWidth="1"/>
    <col min="10760" max="10760" width="14" style="1" customWidth="1"/>
    <col min="10761" max="10761" width="25.44140625" style="1" customWidth="1"/>
    <col min="10762" max="11005" width="9.109375" style="1"/>
    <col min="11006" max="11006" width="45.88671875" style="1" customWidth="1"/>
    <col min="11007" max="11007" width="26.88671875" style="1" customWidth="1"/>
    <col min="11008" max="11008" width="16.33203125" style="1" customWidth="1"/>
    <col min="11009" max="11009" width="12.5546875" style="1" customWidth="1"/>
    <col min="11010" max="11010" width="10.44140625" style="1" customWidth="1"/>
    <col min="11011" max="11011" width="20.6640625" style="1" customWidth="1"/>
    <col min="11012" max="11012" width="14.5546875" style="1" customWidth="1"/>
    <col min="11013" max="11013" width="6.88671875" style="1" customWidth="1"/>
    <col min="11014" max="11014" width="14.33203125" style="1" customWidth="1"/>
    <col min="11015" max="11015" width="15.5546875" style="1" customWidth="1"/>
    <col min="11016" max="11016" width="14" style="1" customWidth="1"/>
    <col min="11017" max="11017" width="25.44140625" style="1" customWidth="1"/>
    <col min="11018" max="11261" width="9.109375" style="1"/>
    <col min="11262" max="11262" width="45.88671875" style="1" customWidth="1"/>
    <col min="11263" max="11263" width="26.88671875" style="1" customWidth="1"/>
    <col min="11264" max="11264" width="16.33203125" style="1" customWidth="1"/>
    <col min="11265" max="11265" width="12.5546875" style="1" customWidth="1"/>
    <col min="11266" max="11266" width="10.44140625" style="1" customWidth="1"/>
    <col min="11267" max="11267" width="20.6640625" style="1" customWidth="1"/>
    <col min="11268" max="11268" width="14.5546875" style="1" customWidth="1"/>
    <col min="11269" max="11269" width="6.88671875" style="1" customWidth="1"/>
    <col min="11270" max="11270" width="14.33203125" style="1" customWidth="1"/>
    <col min="11271" max="11271" width="15.5546875" style="1" customWidth="1"/>
    <col min="11272" max="11272" width="14" style="1" customWidth="1"/>
    <col min="11273" max="11273" width="25.44140625" style="1" customWidth="1"/>
    <col min="11274" max="11517" width="9.109375" style="1"/>
    <col min="11518" max="11518" width="45.88671875" style="1" customWidth="1"/>
    <col min="11519" max="11519" width="26.88671875" style="1" customWidth="1"/>
    <col min="11520" max="11520" width="16.33203125" style="1" customWidth="1"/>
    <col min="11521" max="11521" width="12.5546875" style="1" customWidth="1"/>
    <col min="11522" max="11522" width="10.44140625" style="1" customWidth="1"/>
    <col min="11523" max="11523" width="20.6640625" style="1" customWidth="1"/>
    <col min="11524" max="11524" width="14.5546875" style="1" customWidth="1"/>
    <col min="11525" max="11525" width="6.88671875" style="1" customWidth="1"/>
    <col min="11526" max="11526" width="14.33203125" style="1" customWidth="1"/>
    <col min="11527" max="11527" width="15.5546875" style="1" customWidth="1"/>
    <col min="11528" max="11528" width="14" style="1" customWidth="1"/>
    <col min="11529" max="11529" width="25.44140625" style="1" customWidth="1"/>
    <col min="11530" max="11773" width="9.109375" style="1"/>
    <col min="11774" max="11774" width="45.88671875" style="1" customWidth="1"/>
    <col min="11775" max="11775" width="26.88671875" style="1" customWidth="1"/>
    <col min="11776" max="11776" width="16.33203125" style="1" customWidth="1"/>
    <col min="11777" max="11777" width="12.5546875" style="1" customWidth="1"/>
    <col min="11778" max="11778" width="10.44140625" style="1" customWidth="1"/>
    <col min="11779" max="11779" width="20.6640625" style="1" customWidth="1"/>
    <col min="11780" max="11780" width="14.5546875" style="1" customWidth="1"/>
    <col min="11781" max="11781" width="6.88671875" style="1" customWidth="1"/>
    <col min="11782" max="11782" width="14.33203125" style="1" customWidth="1"/>
    <col min="11783" max="11783" width="15.5546875" style="1" customWidth="1"/>
    <col min="11784" max="11784" width="14" style="1" customWidth="1"/>
    <col min="11785" max="11785" width="25.44140625" style="1" customWidth="1"/>
    <col min="11786" max="12029" width="9.109375" style="1"/>
    <col min="12030" max="12030" width="45.88671875" style="1" customWidth="1"/>
    <col min="12031" max="12031" width="26.88671875" style="1" customWidth="1"/>
    <col min="12032" max="12032" width="16.33203125" style="1" customWidth="1"/>
    <col min="12033" max="12033" width="12.5546875" style="1" customWidth="1"/>
    <col min="12034" max="12034" width="10.44140625" style="1" customWidth="1"/>
    <col min="12035" max="12035" width="20.6640625" style="1" customWidth="1"/>
    <col min="12036" max="12036" width="14.5546875" style="1" customWidth="1"/>
    <col min="12037" max="12037" width="6.88671875" style="1" customWidth="1"/>
    <col min="12038" max="12038" width="14.33203125" style="1" customWidth="1"/>
    <col min="12039" max="12039" width="15.5546875" style="1" customWidth="1"/>
    <col min="12040" max="12040" width="14" style="1" customWidth="1"/>
    <col min="12041" max="12041" width="25.44140625" style="1" customWidth="1"/>
    <col min="12042" max="12285" width="9.109375" style="1"/>
    <col min="12286" max="12286" width="45.88671875" style="1" customWidth="1"/>
    <col min="12287" max="12287" width="26.88671875" style="1" customWidth="1"/>
    <col min="12288" max="12288" width="16.33203125" style="1" customWidth="1"/>
    <col min="12289" max="12289" width="12.5546875" style="1" customWidth="1"/>
    <col min="12290" max="12290" width="10.44140625" style="1" customWidth="1"/>
    <col min="12291" max="12291" width="20.6640625" style="1" customWidth="1"/>
    <col min="12292" max="12292" width="14.5546875" style="1" customWidth="1"/>
    <col min="12293" max="12293" width="6.88671875" style="1" customWidth="1"/>
    <col min="12294" max="12294" width="14.33203125" style="1" customWidth="1"/>
    <col min="12295" max="12295" width="15.5546875" style="1" customWidth="1"/>
    <col min="12296" max="12296" width="14" style="1" customWidth="1"/>
    <col min="12297" max="12297" width="25.44140625" style="1" customWidth="1"/>
    <col min="12298" max="12541" width="9.109375" style="1"/>
    <col min="12542" max="12542" width="45.88671875" style="1" customWidth="1"/>
    <col min="12543" max="12543" width="26.88671875" style="1" customWidth="1"/>
    <col min="12544" max="12544" width="16.33203125" style="1" customWidth="1"/>
    <col min="12545" max="12545" width="12.5546875" style="1" customWidth="1"/>
    <col min="12546" max="12546" width="10.44140625" style="1" customWidth="1"/>
    <col min="12547" max="12547" width="20.6640625" style="1" customWidth="1"/>
    <col min="12548" max="12548" width="14.5546875" style="1" customWidth="1"/>
    <col min="12549" max="12549" width="6.88671875" style="1" customWidth="1"/>
    <col min="12550" max="12550" width="14.33203125" style="1" customWidth="1"/>
    <col min="12551" max="12551" width="15.5546875" style="1" customWidth="1"/>
    <col min="12552" max="12552" width="14" style="1" customWidth="1"/>
    <col min="12553" max="12553" width="25.44140625" style="1" customWidth="1"/>
    <col min="12554" max="12797" width="9.109375" style="1"/>
    <col min="12798" max="12798" width="45.88671875" style="1" customWidth="1"/>
    <col min="12799" max="12799" width="26.88671875" style="1" customWidth="1"/>
    <col min="12800" max="12800" width="16.33203125" style="1" customWidth="1"/>
    <col min="12801" max="12801" width="12.5546875" style="1" customWidth="1"/>
    <col min="12802" max="12802" width="10.44140625" style="1" customWidth="1"/>
    <col min="12803" max="12803" width="20.6640625" style="1" customWidth="1"/>
    <col min="12804" max="12804" width="14.5546875" style="1" customWidth="1"/>
    <col min="12805" max="12805" width="6.88671875" style="1" customWidth="1"/>
    <col min="12806" max="12806" width="14.33203125" style="1" customWidth="1"/>
    <col min="12807" max="12807" width="15.5546875" style="1" customWidth="1"/>
    <col min="12808" max="12808" width="14" style="1" customWidth="1"/>
    <col min="12809" max="12809" width="25.44140625" style="1" customWidth="1"/>
    <col min="12810" max="13053" width="9.109375" style="1"/>
    <col min="13054" max="13054" width="45.88671875" style="1" customWidth="1"/>
    <col min="13055" max="13055" width="26.88671875" style="1" customWidth="1"/>
    <col min="13056" max="13056" width="16.33203125" style="1" customWidth="1"/>
    <col min="13057" max="13057" width="12.5546875" style="1" customWidth="1"/>
    <col min="13058" max="13058" width="10.44140625" style="1" customWidth="1"/>
    <col min="13059" max="13059" width="20.6640625" style="1" customWidth="1"/>
    <col min="13060" max="13060" width="14.5546875" style="1" customWidth="1"/>
    <col min="13061" max="13061" width="6.88671875" style="1" customWidth="1"/>
    <col min="13062" max="13062" width="14.33203125" style="1" customWidth="1"/>
    <col min="13063" max="13063" width="15.5546875" style="1" customWidth="1"/>
    <col min="13064" max="13064" width="14" style="1" customWidth="1"/>
    <col min="13065" max="13065" width="25.44140625" style="1" customWidth="1"/>
    <col min="13066" max="13309" width="9.109375" style="1"/>
    <col min="13310" max="13310" width="45.88671875" style="1" customWidth="1"/>
    <col min="13311" max="13311" width="26.88671875" style="1" customWidth="1"/>
    <col min="13312" max="13312" width="16.33203125" style="1" customWidth="1"/>
    <col min="13313" max="13313" width="12.5546875" style="1" customWidth="1"/>
    <col min="13314" max="13314" width="10.44140625" style="1" customWidth="1"/>
    <col min="13315" max="13315" width="20.6640625" style="1" customWidth="1"/>
    <col min="13316" max="13316" width="14.5546875" style="1" customWidth="1"/>
    <col min="13317" max="13317" width="6.88671875" style="1" customWidth="1"/>
    <col min="13318" max="13318" width="14.33203125" style="1" customWidth="1"/>
    <col min="13319" max="13319" width="15.5546875" style="1" customWidth="1"/>
    <col min="13320" max="13320" width="14" style="1" customWidth="1"/>
    <col min="13321" max="13321" width="25.44140625" style="1" customWidth="1"/>
    <col min="13322" max="13565" width="9.109375" style="1"/>
    <col min="13566" max="13566" width="45.88671875" style="1" customWidth="1"/>
    <col min="13567" max="13567" width="26.88671875" style="1" customWidth="1"/>
    <col min="13568" max="13568" width="16.33203125" style="1" customWidth="1"/>
    <col min="13569" max="13569" width="12.5546875" style="1" customWidth="1"/>
    <col min="13570" max="13570" width="10.44140625" style="1" customWidth="1"/>
    <col min="13571" max="13571" width="20.6640625" style="1" customWidth="1"/>
    <col min="13572" max="13572" width="14.5546875" style="1" customWidth="1"/>
    <col min="13573" max="13573" width="6.88671875" style="1" customWidth="1"/>
    <col min="13574" max="13574" width="14.33203125" style="1" customWidth="1"/>
    <col min="13575" max="13575" width="15.5546875" style="1" customWidth="1"/>
    <col min="13576" max="13576" width="14" style="1" customWidth="1"/>
    <col min="13577" max="13577" width="25.44140625" style="1" customWidth="1"/>
    <col min="13578" max="13821" width="9.109375" style="1"/>
    <col min="13822" max="13822" width="45.88671875" style="1" customWidth="1"/>
    <col min="13823" max="13823" width="26.88671875" style="1" customWidth="1"/>
    <col min="13824" max="13824" width="16.33203125" style="1" customWidth="1"/>
    <col min="13825" max="13825" width="12.5546875" style="1" customWidth="1"/>
    <col min="13826" max="13826" width="10.44140625" style="1" customWidth="1"/>
    <col min="13827" max="13827" width="20.6640625" style="1" customWidth="1"/>
    <col min="13828" max="13828" width="14.5546875" style="1" customWidth="1"/>
    <col min="13829" max="13829" width="6.88671875" style="1" customWidth="1"/>
    <col min="13830" max="13830" width="14.33203125" style="1" customWidth="1"/>
    <col min="13831" max="13831" width="15.5546875" style="1" customWidth="1"/>
    <col min="13832" max="13832" width="14" style="1" customWidth="1"/>
    <col min="13833" max="13833" width="25.44140625" style="1" customWidth="1"/>
    <col min="13834" max="14077" width="9.109375" style="1"/>
    <col min="14078" max="14078" width="45.88671875" style="1" customWidth="1"/>
    <col min="14079" max="14079" width="26.88671875" style="1" customWidth="1"/>
    <col min="14080" max="14080" width="16.33203125" style="1" customWidth="1"/>
    <col min="14081" max="14081" width="12.5546875" style="1" customWidth="1"/>
    <col min="14082" max="14082" width="10.44140625" style="1" customWidth="1"/>
    <col min="14083" max="14083" width="20.6640625" style="1" customWidth="1"/>
    <col min="14084" max="14084" width="14.5546875" style="1" customWidth="1"/>
    <col min="14085" max="14085" width="6.88671875" style="1" customWidth="1"/>
    <col min="14086" max="14086" width="14.33203125" style="1" customWidth="1"/>
    <col min="14087" max="14087" width="15.5546875" style="1" customWidth="1"/>
    <col min="14088" max="14088" width="14" style="1" customWidth="1"/>
    <col min="14089" max="14089" width="25.44140625" style="1" customWidth="1"/>
    <col min="14090" max="14333" width="9.109375" style="1"/>
    <col min="14334" max="14334" width="45.88671875" style="1" customWidth="1"/>
    <col min="14335" max="14335" width="26.88671875" style="1" customWidth="1"/>
    <col min="14336" max="14336" width="16.33203125" style="1" customWidth="1"/>
    <col min="14337" max="14337" width="12.5546875" style="1" customWidth="1"/>
    <col min="14338" max="14338" width="10.44140625" style="1" customWidth="1"/>
    <col min="14339" max="14339" width="20.6640625" style="1" customWidth="1"/>
    <col min="14340" max="14340" width="14.5546875" style="1" customWidth="1"/>
    <col min="14341" max="14341" width="6.88671875" style="1" customWidth="1"/>
    <col min="14342" max="14342" width="14.33203125" style="1" customWidth="1"/>
    <col min="14343" max="14343" width="15.5546875" style="1" customWidth="1"/>
    <col min="14344" max="14344" width="14" style="1" customWidth="1"/>
    <col min="14345" max="14345" width="25.44140625" style="1" customWidth="1"/>
    <col min="14346" max="14589" width="9.109375" style="1"/>
    <col min="14590" max="14590" width="45.88671875" style="1" customWidth="1"/>
    <col min="14591" max="14591" width="26.88671875" style="1" customWidth="1"/>
    <col min="14592" max="14592" width="16.33203125" style="1" customWidth="1"/>
    <col min="14593" max="14593" width="12.5546875" style="1" customWidth="1"/>
    <col min="14594" max="14594" width="10.44140625" style="1" customWidth="1"/>
    <col min="14595" max="14595" width="20.6640625" style="1" customWidth="1"/>
    <col min="14596" max="14596" width="14.5546875" style="1" customWidth="1"/>
    <col min="14597" max="14597" width="6.88671875" style="1" customWidth="1"/>
    <col min="14598" max="14598" width="14.33203125" style="1" customWidth="1"/>
    <col min="14599" max="14599" width="15.5546875" style="1" customWidth="1"/>
    <col min="14600" max="14600" width="14" style="1" customWidth="1"/>
    <col min="14601" max="14601" width="25.44140625" style="1" customWidth="1"/>
    <col min="14602" max="14845" width="9.109375" style="1"/>
    <col min="14846" max="14846" width="45.88671875" style="1" customWidth="1"/>
    <col min="14847" max="14847" width="26.88671875" style="1" customWidth="1"/>
    <col min="14848" max="14848" width="16.33203125" style="1" customWidth="1"/>
    <col min="14849" max="14849" width="12.5546875" style="1" customWidth="1"/>
    <col min="14850" max="14850" width="10.44140625" style="1" customWidth="1"/>
    <col min="14851" max="14851" width="20.6640625" style="1" customWidth="1"/>
    <col min="14852" max="14852" width="14.5546875" style="1" customWidth="1"/>
    <col min="14853" max="14853" width="6.88671875" style="1" customWidth="1"/>
    <col min="14854" max="14854" width="14.33203125" style="1" customWidth="1"/>
    <col min="14855" max="14855" width="15.5546875" style="1" customWidth="1"/>
    <col min="14856" max="14856" width="14" style="1" customWidth="1"/>
    <col min="14857" max="14857" width="25.44140625" style="1" customWidth="1"/>
    <col min="14858" max="15101" width="9.109375" style="1"/>
    <col min="15102" max="15102" width="45.88671875" style="1" customWidth="1"/>
    <col min="15103" max="15103" width="26.88671875" style="1" customWidth="1"/>
    <col min="15104" max="15104" width="16.33203125" style="1" customWidth="1"/>
    <col min="15105" max="15105" width="12.5546875" style="1" customWidth="1"/>
    <col min="15106" max="15106" width="10.44140625" style="1" customWidth="1"/>
    <col min="15107" max="15107" width="20.6640625" style="1" customWidth="1"/>
    <col min="15108" max="15108" width="14.5546875" style="1" customWidth="1"/>
    <col min="15109" max="15109" width="6.88671875" style="1" customWidth="1"/>
    <col min="15110" max="15110" width="14.33203125" style="1" customWidth="1"/>
    <col min="15111" max="15111" width="15.5546875" style="1" customWidth="1"/>
    <col min="15112" max="15112" width="14" style="1" customWidth="1"/>
    <col min="15113" max="15113" width="25.44140625" style="1" customWidth="1"/>
    <col min="15114" max="15357" width="9.109375" style="1"/>
    <col min="15358" max="15358" width="45.88671875" style="1" customWidth="1"/>
    <col min="15359" max="15359" width="26.88671875" style="1" customWidth="1"/>
    <col min="15360" max="15360" width="16.33203125" style="1" customWidth="1"/>
    <col min="15361" max="15361" width="12.5546875" style="1" customWidth="1"/>
    <col min="15362" max="15362" width="10.44140625" style="1" customWidth="1"/>
    <col min="15363" max="15363" width="20.6640625" style="1" customWidth="1"/>
    <col min="15364" max="15364" width="14.5546875" style="1" customWidth="1"/>
    <col min="15365" max="15365" width="6.88671875" style="1" customWidth="1"/>
    <col min="15366" max="15366" width="14.33203125" style="1" customWidth="1"/>
    <col min="15367" max="15367" width="15.5546875" style="1" customWidth="1"/>
    <col min="15368" max="15368" width="14" style="1" customWidth="1"/>
    <col min="15369" max="15369" width="25.44140625" style="1" customWidth="1"/>
    <col min="15370" max="15613" width="9.109375" style="1"/>
    <col min="15614" max="15614" width="45.88671875" style="1" customWidth="1"/>
    <col min="15615" max="15615" width="26.88671875" style="1" customWidth="1"/>
    <col min="15616" max="15616" width="16.33203125" style="1" customWidth="1"/>
    <col min="15617" max="15617" width="12.5546875" style="1" customWidth="1"/>
    <col min="15618" max="15618" width="10.44140625" style="1" customWidth="1"/>
    <col min="15619" max="15619" width="20.6640625" style="1" customWidth="1"/>
    <col min="15620" max="15620" width="14.5546875" style="1" customWidth="1"/>
    <col min="15621" max="15621" width="6.88671875" style="1" customWidth="1"/>
    <col min="15622" max="15622" width="14.33203125" style="1" customWidth="1"/>
    <col min="15623" max="15623" width="15.5546875" style="1" customWidth="1"/>
    <col min="15624" max="15624" width="14" style="1" customWidth="1"/>
    <col min="15625" max="15625" width="25.44140625" style="1" customWidth="1"/>
    <col min="15626" max="15869" width="9.109375" style="1"/>
    <col min="15870" max="15870" width="45.88671875" style="1" customWidth="1"/>
    <col min="15871" max="15871" width="26.88671875" style="1" customWidth="1"/>
    <col min="15872" max="15872" width="16.33203125" style="1" customWidth="1"/>
    <col min="15873" max="15873" width="12.5546875" style="1" customWidth="1"/>
    <col min="15874" max="15874" width="10.44140625" style="1" customWidth="1"/>
    <col min="15875" max="15875" width="20.6640625" style="1" customWidth="1"/>
    <col min="15876" max="15876" width="14.5546875" style="1" customWidth="1"/>
    <col min="15877" max="15877" width="6.88671875" style="1" customWidth="1"/>
    <col min="15878" max="15878" width="14.33203125" style="1" customWidth="1"/>
    <col min="15879" max="15879" width="15.5546875" style="1" customWidth="1"/>
    <col min="15880" max="15880" width="14" style="1" customWidth="1"/>
    <col min="15881" max="15881" width="25.44140625" style="1" customWidth="1"/>
    <col min="15882" max="16125" width="9.109375" style="1"/>
    <col min="16126" max="16126" width="45.88671875" style="1" customWidth="1"/>
    <col min="16127" max="16127" width="26.88671875" style="1" customWidth="1"/>
    <col min="16128" max="16128" width="16.33203125" style="1" customWidth="1"/>
    <col min="16129" max="16129" width="12.5546875" style="1" customWidth="1"/>
    <col min="16130" max="16130" width="10.44140625" style="1" customWidth="1"/>
    <col min="16131" max="16131" width="20.6640625" style="1" customWidth="1"/>
    <col min="16132" max="16132" width="14.5546875" style="1" customWidth="1"/>
    <col min="16133" max="16133" width="6.88671875" style="1" customWidth="1"/>
    <col min="16134" max="16134" width="14.33203125" style="1" customWidth="1"/>
    <col min="16135" max="16135" width="15.5546875" style="1" customWidth="1"/>
    <col min="16136" max="16136" width="14" style="1" customWidth="1"/>
    <col min="16137" max="16137" width="25.44140625" style="1" customWidth="1"/>
    <col min="16138" max="16384" width="9.109375" style="1"/>
  </cols>
  <sheetData>
    <row r="1" spans="1:17" ht="45" customHeight="1" thickBot="1">
      <c r="A1" s="446" t="s">
        <v>0</v>
      </c>
      <c r="B1" s="446"/>
      <c r="C1" s="446"/>
      <c r="D1" s="446"/>
      <c r="E1" s="446"/>
      <c r="F1" s="446"/>
      <c r="G1" s="446"/>
      <c r="H1" s="446"/>
      <c r="I1" s="446"/>
      <c r="J1" s="446"/>
      <c r="K1" s="446"/>
      <c r="L1" s="446"/>
    </row>
    <row r="2" spans="1:17" ht="27.75" customHeight="1" thickBot="1">
      <c r="A2" s="447" t="s">
        <v>313</v>
      </c>
      <c r="B2" s="448"/>
      <c r="C2" s="448"/>
      <c r="D2" s="448"/>
      <c r="E2" s="448"/>
      <c r="F2" s="449"/>
      <c r="G2" s="2"/>
      <c r="H2" s="2"/>
      <c r="I2" s="450"/>
      <c r="J2" s="450"/>
      <c r="K2" s="450"/>
      <c r="L2" s="450"/>
      <c r="M2" s="347"/>
      <c r="N2" s="348"/>
    </row>
    <row r="3" spans="1:17" ht="30.75" customHeight="1" thickBot="1">
      <c r="A3" s="452" t="s">
        <v>182</v>
      </c>
      <c r="B3" s="453"/>
      <c r="C3" s="454"/>
      <c r="D3" s="455" t="s">
        <v>1</v>
      </c>
      <c r="E3" s="456"/>
      <c r="F3" s="457"/>
      <c r="G3" s="4"/>
      <c r="H3" s="4"/>
      <c r="I3" s="5" t="s">
        <v>2</v>
      </c>
      <c r="J3" s="458"/>
      <c r="K3" s="459"/>
      <c r="L3" s="333"/>
      <c r="M3" s="465"/>
      <c r="N3" s="466"/>
    </row>
    <row r="4" spans="1:17" ht="37.5" customHeight="1" thickBot="1">
      <c r="A4" s="452" t="s">
        <v>4</v>
      </c>
      <c r="B4" s="453"/>
      <c r="C4" s="3"/>
      <c r="D4" s="8"/>
      <c r="E4" s="9"/>
      <c r="F4" s="10"/>
      <c r="G4" s="10"/>
      <c r="H4" s="10"/>
      <c r="I4" s="11"/>
      <c r="J4" s="12"/>
      <c r="K4" s="12"/>
      <c r="L4" s="12"/>
      <c r="M4" s="349"/>
      <c r="N4" s="350"/>
    </row>
    <row r="5" spans="1:17" ht="16.8" thickBot="1">
      <c r="A5" s="460" t="s">
        <v>5</v>
      </c>
      <c r="B5" s="461"/>
      <c r="C5" s="461"/>
      <c r="D5" s="14"/>
      <c r="E5" s="15"/>
      <c r="F5" s="16" t="s">
        <v>6</v>
      </c>
      <c r="G5" s="17" t="s">
        <v>6</v>
      </c>
      <c r="H5" s="17"/>
      <c r="I5" s="18" t="s">
        <v>7</v>
      </c>
      <c r="J5" s="19" t="s">
        <v>8</v>
      </c>
      <c r="K5" s="20" t="s">
        <v>9</v>
      </c>
      <c r="L5" s="20" t="s">
        <v>10</v>
      </c>
      <c r="M5" s="351" t="s">
        <v>11</v>
      </c>
      <c r="N5" s="352" t="s">
        <v>12</v>
      </c>
    </row>
    <row r="6" spans="1:17" ht="35.4" customHeight="1">
      <c r="A6" s="22" t="s">
        <v>13</v>
      </c>
      <c r="B6" s="23"/>
      <c r="C6" s="23"/>
      <c r="D6" s="24"/>
      <c r="E6" s="25"/>
      <c r="F6" s="26"/>
      <c r="G6" s="27"/>
      <c r="H6" s="28"/>
      <c r="I6" s="29"/>
      <c r="J6" s="30">
        <v>0.45</v>
      </c>
      <c r="K6" s="31">
        <f>J6*12</f>
        <v>5.4</v>
      </c>
      <c r="L6" s="334"/>
      <c r="M6" s="353">
        <v>0.48</v>
      </c>
      <c r="N6" s="354">
        <v>0.5</v>
      </c>
    </row>
    <row r="7" spans="1:17" ht="19.5" customHeight="1">
      <c r="A7" s="33" t="s">
        <v>14</v>
      </c>
      <c r="B7" s="34"/>
      <c r="C7" s="34"/>
      <c r="D7" s="35"/>
      <c r="E7" s="36"/>
      <c r="F7" s="37"/>
      <c r="G7" s="37"/>
      <c r="H7" s="37"/>
      <c r="I7" s="38"/>
      <c r="J7" s="39">
        <v>0.35</v>
      </c>
      <c r="K7" s="40">
        <f>J7*12</f>
        <v>4.1999999999999993</v>
      </c>
      <c r="L7" s="335"/>
      <c r="M7" s="355">
        <v>0.35</v>
      </c>
      <c r="N7" s="356">
        <v>0.35</v>
      </c>
      <c r="P7" s="1">
        <f>0.35-1.07</f>
        <v>-0.72000000000000008</v>
      </c>
    </row>
    <row r="8" spans="1:17" ht="24.75" customHeight="1">
      <c r="A8" s="22" t="s">
        <v>15</v>
      </c>
      <c r="B8" s="23"/>
      <c r="C8" s="23"/>
      <c r="D8" s="24"/>
      <c r="E8" s="25"/>
      <c r="F8" s="42"/>
      <c r="G8" s="42"/>
      <c r="H8" s="42"/>
      <c r="I8" s="43"/>
      <c r="J8" s="44">
        <f>K8/12</f>
        <v>0</v>
      </c>
      <c r="K8" s="45"/>
      <c r="L8" s="334"/>
      <c r="M8" s="357">
        <v>0</v>
      </c>
      <c r="N8" s="358">
        <v>0</v>
      </c>
    </row>
    <row r="9" spans="1:17" ht="24.75" customHeight="1">
      <c r="A9" s="46" t="s">
        <v>16</v>
      </c>
      <c r="B9" s="47"/>
      <c r="C9" s="47"/>
      <c r="D9" s="48"/>
      <c r="E9" s="49"/>
      <c r="F9" s="42"/>
      <c r="G9" s="42"/>
      <c r="H9" s="42"/>
      <c r="I9" s="43"/>
      <c r="J9" s="44"/>
      <c r="K9" s="45"/>
      <c r="L9" s="334"/>
      <c r="M9" s="357"/>
      <c r="N9" s="358"/>
    </row>
    <row r="10" spans="1:17" ht="30.75" customHeight="1" thickBot="1">
      <c r="A10" s="50" t="s">
        <v>17</v>
      </c>
      <c r="B10" s="51"/>
      <c r="C10" s="51"/>
      <c r="D10" s="52"/>
      <c r="E10" s="53"/>
      <c r="F10" s="54">
        <f>SUM(F6:F7)</f>
        <v>0</v>
      </c>
      <c r="G10" s="54">
        <f>SUM(G6:G7)</f>
        <v>0</v>
      </c>
      <c r="H10" s="54"/>
      <c r="I10" s="55"/>
      <c r="J10" s="56">
        <f>SUM(J6:J9)</f>
        <v>0.8</v>
      </c>
      <c r="K10" s="56">
        <f>SUM(K6:K9)</f>
        <v>9.6</v>
      </c>
      <c r="L10" s="336"/>
      <c r="M10" s="359">
        <f>SUM(M6:M9)</f>
        <v>0.83</v>
      </c>
      <c r="N10" s="360">
        <f>SUM(N6:N9)</f>
        <v>0.85</v>
      </c>
    </row>
    <row r="11" spans="1:17" ht="16.8" thickBot="1">
      <c r="A11" s="58"/>
      <c r="B11" s="58"/>
      <c r="C11" s="58"/>
      <c r="D11" s="59"/>
      <c r="E11" s="60"/>
      <c r="F11" s="61"/>
      <c r="G11" s="61"/>
      <c r="H11" s="61"/>
      <c r="I11" s="62"/>
      <c r="J11" s="63"/>
      <c r="K11" s="64"/>
      <c r="L11" s="64"/>
      <c r="M11" s="349"/>
      <c r="N11" s="350"/>
    </row>
    <row r="12" spans="1:17" ht="15.75" customHeight="1" thickBot="1">
      <c r="A12" s="467" t="s">
        <v>18</v>
      </c>
      <c r="B12" s="468"/>
      <c r="C12" s="468"/>
      <c r="D12" s="468"/>
      <c r="E12" s="468"/>
      <c r="F12" s="468"/>
      <c r="G12" s="65"/>
      <c r="H12" s="65"/>
      <c r="I12" s="66"/>
      <c r="J12" s="67"/>
      <c r="K12" s="67"/>
      <c r="L12" s="67"/>
      <c r="M12" s="349"/>
      <c r="N12" s="350"/>
    </row>
    <row r="13" spans="1:17" ht="46.5" customHeight="1">
      <c r="A13" s="68" t="s">
        <v>19</v>
      </c>
      <c r="B13" s="69" t="s">
        <v>20</v>
      </c>
      <c r="C13" s="69" t="s">
        <v>21</v>
      </c>
      <c r="D13" s="70" t="s">
        <v>22</v>
      </c>
      <c r="E13" s="71" t="s">
        <v>23</v>
      </c>
      <c r="F13" s="72" t="s">
        <v>24</v>
      </c>
      <c r="G13" s="72" t="s">
        <v>25</v>
      </c>
      <c r="H13" s="72" t="s">
        <v>26</v>
      </c>
      <c r="I13" s="73" t="s">
        <v>27</v>
      </c>
      <c r="J13" s="72" t="s">
        <v>28</v>
      </c>
      <c r="K13" s="74" t="s">
        <v>9</v>
      </c>
      <c r="L13" s="337" t="s">
        <v>29</v>
      </c>
      <c r="M13" s="349"/>
      <c r="N13" s="350"/>
    </row>
    <row r="14" spans="1:17" ht="25.5" customHeight="1" thickBot="1">
      <c r="A14" s="75" t="s">
        <v>30</v>
      </c>
      <c r="B14" s="76"/>
      <c r="C14" s="76"/>
      <c r="D14" s="77"/>
      <c r="E14" s="78"/>
      <c r="F14" s="79"/>
      <c r="G14" s="79"/>
      <c r="H14" s="79"/>
      <c r="I14" s="80"/>
      <c r="J14" s="81"/>
      <c r="K14" s="82"/>
      <c r="L14" s="338"/>
      <c r="M14" s="349"/>
      <c r="N14" s="350"/>
    </row>
    <row r="15" spans="1:17" ht="42" customHeight="1" thickBot="1">
      <c r="A15" s="83" t="s">
        <v>31</v>
      </c>
      <c r="B15" s="84" t="s">
        <v>32</v>
      </c>
      <c r="C15" s="84" t="s">
        <v>33</v>
      </c>
      <c r="D15" s="85">
        <v>0.27</v>
      </c>
      <c r="E15" s="86">
        <v>0.03</v>
      </c>
      <c r="F15" s="87">
        <f>D15*(1+E15)</f>
        <v>0.27810000000000001</v>
      </c>
      <c r="G15" s="88">
        <v>0.3</v>
      </c>
      <c r="H15" s="89" t="s">
        <v>34</v>
      </c>
      <c r="I15" s="150">
        <f>4.34/1.59</f>
        <v>2.7295597484276728</v>
      </c>
      <c r="J15" s="151">
        <f>G15*I15</f>
        <v>0.81886792452830182</v>
      </c>
      <c r="K15" s="152">
        <f>J15*12</f>
        <v>9.8264150943396213</v>
      </c>
      <c r="L15" s="339"/>
      <c r="M15" s="361">
        <f>0.4*I15</f>
        <v>1.0918238993710692</v>
      </c>
      <c r="N15" s="362">
        <f>0.45*I15</f>
        <v>1.2283018867924529</v>
      </c>
      <c r="O15" s="155">
        <f>192*J15</f>
        <v>157.22264150943394</v>
      </c>
      <c r="P15" s="406">
        <f>(240+288+408)*M15</f>
        <v>1021.9471698113207</v>
      </c>
      <c r="Q15" s="406">
        <f>(384+288)*N15</f>
        <v>825.41886792452829</v>
      </c>
    </row>
    <row r="16" spans="1:17" ht="42" customHeight="1" thickBot="1">
      <c r="A16" s="83" t="s">
        <v>35</v>
      </c>
      <c r="B16" s="84" t="s">
        <v>36</v>
      </c>
      <c r="C16" s="84" t="s">
        <v>33</v>
      </c>
      <c r="D16" s="85">
        <v>0</v>
      </c>
      <c r="E16" s="86">
        <v>0.03</v>
      </c>
      <c r="F16" s="87">
        <f>D16*(1+E16)</f>
        <v>0</v>
      </c>
      <c r="G16" s="88">
        <v>0.02</v>
      </c>
      <c r="H16" s="89" t="s">
        <v>34</v>
      </c>
      <c r="I16" s="150">
        <f>4.22/1.3</f>
        <v>3.2461538461538457</v>
      </c>
      <c r="J16" s="151">
        <f>G16*I16</f>
        <v>6.4923076923076917E-2</v>
      </c>
      <c r="K16" s="152">
        <f>J16*12</f>
        <v>0.779076923076923</v>
      </c>
      <c r="L16" s="339"/>
      <c r="M16" s="361">
        <f>+G16*I16</f>
        <v>6.4923076923076917E-2</v>
      </c>
      <c r="N16" s="362">
        <f>+M16</f>
        <v>6.4923076923076917E-2</v>
      </c>
      <c r="O16" s="1">
        <f>1800*0.06</f>
        <v>108</v>
      </c>
      <c r="Q16" s="406">
        <f>+O15+P15+Q15+O16</f>
        <v>2112.5886792452829</v>
      </c>
    </row>
    <row r="17" spans="1:17" ht="30.75" customHeight="1" thickBot="1">
      <c r="A17" s="90" t="s">
        <v>37</v>
      </c>
      <c r="B17" s="91"/>
      <c r="C17" s="92"/>
      <c r="D17" s="93"/>
      <c r="E17" s="94"/>
      <c r="F17" s="95"/>
      <c r="G17" s="95"/>
      <c r="H17" s="95"/>
      <c r="I17" s="96"/>
      <c r="J17" s="153">
        <f>SUM(J15:J16)</f>
        <v>0.88379100145137879</v>
      </c>
      <c r="K17" s="153">
        <f>SUM(K15:K16)</f>
        <v>10.605492017416545</v>
      </c>
      <c r="L17" s="340"/>
      <c r="M17" s="363">
        <f>SUM(M15:M16)</f>
        <v>1.156746976294146</v>
      </c>
      <c r="N17" s="364">
        <f>SUM(N15:N16)</f>
        <v>1.2932249637155298</v>
      </c>
      <c r="Q17" s="1">
        <f>2113.58+126.6</f>
        <v>2240.1799999999998</v>
      </c>
    </row>
    <row r="18" spans="1:17" ht="27.75" customHeight="1">
      <c r="A18" s="91" t="s">
        <v>38</v>
      </c>
      <c r="B18" s="95"/>
      <c r="C18" s="92"/>
      <c r="D18" s="93"/>
      <c r="E18" s="94"/>
      <c r="F18" s="95"/>
      <c r="G18" s="95"/>
      <c r="H18" s="95"/>
      <c r="I18" s="96"/>
      <c r="J18" s="97"/>
      <c r="K18" s="98"/>
      <c r="L18" s="341"/>
      <c r="M18" s="349"/>
      <c r="N18" s="350"/>
      <c r="Q18" s="406">
        <f>+Q16-Q17</f>
        <v>-127.59132075471689</v>
      </c>
    </row>
    <row r="19" spans="1:17" ht="30" customHeight="1">
      <c r="A19" s="99" t="s">
        <v>39</v>
      </c>
      <c r="B19" s="89" t="s">
        <v>40</v>
      </c>
      <c r="C19" s="100"/>
      <c r="D19" s="101">
        <v>0</v>
      </c>
      <c r="E19" s="86">
        <v>0.05</v>
      </c>
      <c r="F19" s="87">
        <f>D19*(1+E19)</f>
        <v>0</v>
      </c>
      <c r="G19" s="102">
        <f>F19/0.9144</f>
        <v>0</v>
      </c>
      <c r="H19" s="89" t="s">
        <v>34</v>
      </c>
      <c r="I19" s="154">
        <v>0</v>
      </c>
      <c r="J19" s="154">
        <f>I19*G19</f>
        <v>0</v>
      </c>
      <c r="K19" s="152">
        <f>J19*12</f>
        <v>0</v>
      </c>
      <c r="L19" s="342"/>
      <c r="M19" s="365"/>
      <c r="N19" s="366"/>
      <c r="O19" s="155"/>
      <c r="Q19" s="1">
        <f>+'4886MX'!O18</f>
        <v>45.084905660376762</v>
      </c>
    </row>
    <row r="20" spans="1:17" ht="30" customHeight="1">
      <c r="A20" s="99" t="s">
        <v>41</v>
      </c>
      <c r="B20" s="89"/>
      <c r="C20" s="100"/>
      <c r="D20" s="101">
        <v>0</v>
      </c>
      <c r="E20" s="86">
        <v>0.05</v>
      </c>
      <c r="F20" s="87">
        <f>D20*(1+E20)</f>
        <v>0</v>
      </c>
      <c r="G20" s="102">
        <f>F20/0.9144</f>
        <v>0</v>
      </c>
      <c r="H20" s="89" t="s">
        <v>34</v>
      </c>
      <c r="I20" s="152"/>
      <c r="J20" s="154">
        <f>I20*G20</f>
        <v>0</v>
      </c>
      <c r="K20" s="152">
        <f>J20*12</f>
        <v>0</v>
      </c>
      <c r="L20" s="342"/>
      <c r="M20" s="365"/>
      <c r="N20" s="366"/>
      <c r="O20" s="155"/>
      <c r="Q20" s="1">
        <f>+'4885MX'!R18</f>
        <v>-104.19670537010143</v>
      </c>
    </row>
    <row r="21" spans="1:17" ht="30" customHeight="1">
      <c r="A21" s="105" t="s">
        <v>42</v>
      </c>
      <c r="B21" s="105"/>
      <c r="C21" s="89"/>
      <c r="D21" s="106">
        <v>1</v>
      </c>
      <c r="E21" s="86">
        <v>0.05</v>
      </c>
      <c r="F21" s="105">
        <f>D21*(1+E21)</f>
        <v>1.05</v>
      </c>
      <c r="G21" s="102">
        <f>E21*(1+F21)</f>
        <v>0.10249999999999999</v>
      </c>
      <c r="H21" s="107"/>
      <c r="I21" s="104">
        <v>0.02</v>
      </c>
      <c r="J21" s="108">
        <f>+I21</f>
        <v>0.02</v>
      </c>
      <c r="K21" s="103">
        <f>J21*12</f>
        <v>0.24</v>
      </c>
      <c r="L21" s="343"/>
      <c r="M21" s="349"/>
      <c r="N21" s="350"/>
      <c r="Q21" s="1">
        <f>+'4884MX'!O21</f>
        <v>43.199999999999818</v>
      </c>
    </row>
    <row r="22" spans="1:17" ht="30" customHeight="1">
      <c r="A22" s="105" t="s">
        <v>43</v>
      </c>
      <c r="B22" s="105"/>
      <c r="C22" s="89"/>
      <c r="D22" s="106">
        <v>1</v>
      </c>
      <c r="E22" s="86">
        <v>0.05</v>
      </c>
      <c r="F22" s="105">
        <f>D22*(1+E22)</f>
        <v>1.05</v>
      </c>
      <c r="G22" s="102">
        <f>E22*(1+F22)</f>
        <v>0.10249999999999999</v>
      </c>
      <c r="H22" s="107"/>
      <c r="I22" s="104">
        <v>0.02</v>
      </c>
      <c r="J22" s="108">
        <f>+I22</f>
        <v>0.02</v>
      </c>
      <c r="K22" s="103">
        <f>J22*12</f>
        <v>0.24</v>
      </c>
      <c r="L22" s="343"/>
      <c r="M22" s="349"/>
      <c r="N22" s="350"/>
    </row>
    <row r="23" spans="1:17" ht="30" customHeight="1">
      <c r="A23" s="109" t="s">
        <v>44</v>
      </c>
      <c r="B23" s="109"/>
      <c r="C23" s="95"/>
      <c r="D23" s="110">
        <v>1</v>
      </c>
      <c r="E23" s="86">
        <v>0.05</v>
      </c>
      <c r="F23" s="111">
        <f>D23*(1+E23)</f>
        <v>1.05</v>
      </c>
      <c r="G23" s="102">
        <f>E23*(1+F23)</f>
        <v>0.10249999999999999</v>
      </c>
      <c r="H23" s="112"/>
      <c r="I23" s="104">
        <v>0.02</v>
      </c>
      <c r="J23" s="113">
        <f>+I23</f>
        <v>0.02</v>
      </c>
      <c r="K23" s="98">
        <f>J23*12</f>
        <v>0.24</v>
      </c>
      <c r="L23" s="343"/>
      <c r="M23" s="349"/>
      <c r="N23" s="350"/>
    </row>
    <row r="24" spans="1:17" ht="28.5" customHeight="1">
      <c r="A24" s="90" t="s">
        <v>45</v>
      </c>
      <c r="B24" s="95"/>
      <c r="C24" s="109"/>
      <c r="D24" s="114"/>
      <c r="E24" s="94"/>
      <c r="F24" s="95"/>
      <c r="G24" s="95"/>
      <c r="H24" s="95"/>
      <c r="I24" s="98"/>
      <c r="J24" s="153">
        <f>SUM(J19:J23)</f>
        <v>0.06</v>
      </c>
      <c r="K24" s="153">
        <f>SUM(K19:K23)</f>
        <v>0.72</v>
      </c>
      <c r="L24" s="344"/>
      <c r="M24" s="363">
        <f>+J24</f>
        <v>0.06</v>
      </c>
      <c r="N24" s="364">
        <f>+M24</f>
        <v>0.06</v>
      </c>
    </row>
    <row r="25" spans="1:17" ht="15.6">
      <c r="A25" s="92" t="s">
        <v>46</v>
      </c>
      <c r="B25" s="109"/>
      <c r="C25" s="95"/>
      <c r="D25" s="115"/>
      <c r="E25" s="116"/>
      <c r="F25" s="112"/>
      <c r="G25" s="112"/>
      <c r="H25" s="112"/>
      <c r="I25" s="98"/>
      <c r="J25" s="97"/>
      <c r="K25" s="117"/>
      <c r="L25" s="343"/>
      <c r="M25" s="349"/>
      <c r="N25" s="350"/>
    </row>
    <row r="26" spans="1:17" ht="15.6">
      <c r="A26" s="109" t="s">
        <v>47</v>
      </c>
      <c r="B26" s="105"/>
      <c r="C26" s="89"/>
      <c r="D26" s="106">
        <v>0</v>
      </c>
      <c r="E26" s="86">
        <v>0.05</v>
      </c>
      <c r="F26" s="105">
        <f>D26*(1+E26)</f>
        <v>0</v>
      </c>
      <c r="G26" s="105">
        <f>E26*(1+F26)</f>
        <v>0.05</v>
      </c>
      <c r="H26" s="107"/>
      <c r="I26" s="152">
        <v>0</v>
      </c>
      <c r="J26" s="156">
        <f>I26*F26</f>
        <v>0</v>
      </c>
      <c r="K26" s="98">
        <f>J26*12</f>
        <v>0</v>
      </c>
      <c r="L26" s="343"/>
      <c r="M26" s="349"/>
      <c r="N26" s="350"/>
    </row>
    <row r="27" spans="1:17" ht="15.6">
      <c r="A27" s="105" t="s">
        <v>48</v>
      </c>
      <c r="B27" s="105"/>
      <c r="C27" s="89"/>
      <c r="D27" s="106">
        <v>1</v>
      </c>
      <c r="E27" s="86">
        <v>0.05</v>
      </c>
      <c r="F27" s="105">
        <f t="shared" ref="F27:G34" si="0">D27*(1+E27)</f>
        <v>1.05</v>
      </c>
      <c r="G27" s="102">
        <f t="shared" si="0"/>
        <v>0.10249999999999999</v>
      </c>
      <c r="H27" s="107"/>
      <c r="I27" s="152">
        <v>0</v>
      </c>
      <c r="J27" s="156">
        <f t="shared" ref="J27:J34" si="1">I27*F27</f>
        <v>0</v>
      </c>
      <c r="K27" s="98">
        <f t="shared" ref="K27:K35" si="2">J27*12</f>
        <v>0</v>
      </c>
      <c r="L27" s="343"/>
      <c r="M27" s="349"/>
      <c r="N27" s="350"/>
    </row>
    <row r="28" spans="1:17" ht="15.6">
      <c r="A28" s="105" t="s">
        <v>49</v>
      </c>
      <c r="B28" s="105"/>
      <c r="C28" s="89"/>
      <c r="D28" s="106">
        <v>0</v>
      </c>
      <c r="E28" s="86">
        <v>0.05</v>
      </c>
      <c r="F28" s="105">
        <f>D28*(1+E28)</f>
        <v>0</v>
      </c>
      <c r="G28" s="102">
        <f>E28*(1+F28)</f>
        <v>0.05</v>
      </c>
      <c r="H28" s="107"/>
      <c r="I28" s="152">
        <v>0</v>
      </c>
      <c r="J28" s="156">
        <f t="shared" si="1"/>
        <v>0</v>
      </c>
      <c r="K28" s="103">
        <f t="shared" si="2"/>
        <v>0</v>
      </c>
      <c r="L28" s="343"/>
      <c r="M28" s="349"/>
      <c r="N28" s="350"/>
    </row>
    <row r="29" spans="1:17" ht="15.6">
      <c r="A29" s="105" t="s">
        <v>50</v>
      </c>
      <c r="B29" s="105"/>
      <c r="C29" s="89"/>
      <c r="D29" s="106">
        <v>0</v>
      </c>
      <c r="E29" s="86">
        <v>0.05</v>
      </c>
      <c r="F29" s="87">
        <f t="shared" si="0"/>
        <v>0</v>
      </c>
      <c r="G29" s="102">
        <f t="shared" si="0"/>
        <v>0.05</v>
      </c>
      <c r="H29" s="107"/>
      <c r="I29" s="152">
        <v>0</v>
      </c>
      <c r="J29" s="156">
        <f t="shared" si="1"/>
        <v>0</v>
      </c>
      <c r="K29" s="98">
        <f t="shared" si="2"/>
        <v>0</v>
      </c>
      <c r="L29" s="343"/>
      <c r="M29" s="349"/>
      <c r="N29" s="350"/>
    </row>
    <row r="30" spans="1:17" ht="15.6">
      <c r="A30" s="105" t="s">
        <v>51</v>
      </c>
      <c r="B30" s="105"/>
      <c r="C30" s="89"/>
      <c r="D30" s="106">
        <v>0</v>
      </c>
      <c r="E30" s="86">
        <v>0.05</v>
      </c>
      <c r="F30" s="87">
        <f t="shared" si="0"/>
        <v>0</v>
      </c>
      <c r="G30" s="102">
        <f t="shared" si="0"/>
        <v>0.05</v>
      </c>
      <c r="H30" s="107"/>
      <c r="I30" s="152">
        <v>0</v>
      </c>
      <c r="J30" s="156">
        <v>0.02</v>
      </c>
      <c r="K30" s="98">
        <f t="shared" si="2"/>
        <v>0.24</v>
      </c>
      <c r="L30" s="343"/>
      <c r="M30" s="349"/>
      <c r="N30" s="350"/>
    </row>
    <row r="31" spans="1:17" ht="15.6">
      <c r="A31" s="109" t="s">
        <v>52</v>
      </c>
      <c r="B31" s="109"/>
      <c r="C31" s="95"/>
      <c r="D31" s="106">
        <v>1</v>
      </c>
      <c r="E31" s="86">
        <v>0.05</v>
      </c>
      <c r="F31" s="118">
        <f t="shared" si="0"/>
        <v>1.05</v>
      </c>
      <c r="G31" s="102">
        <f t="shared" si="0"/>
        <v>0.10249999999999999</v>
      </c>
      <c r="H31" s="112"/>
      <c r="I31" s="157">
        <v>0</v>
      </c>
      <c r="J31" s="156"/>
      <c r="K31" s="98">
        <f t="shared" si="2"/>
        <v>0</v>
      </c>
      <c r="L31" s="343"/>
      <c r="M31" s="349"/>
      <c r="N31" s="350"/>
    </row>
    <row r="32" spans="1:17" ht="15.6">
      <c r="A32" s="109" t="s">
        <v>53</v>
      </c>
      <c r="B32" s="109"/>
      <c r="C32" s="95"/>
      <c r="D32" s="106">
        <v>0</v>
      </c>
      <c r="E32" s="86">
        <v>0.05</v>
      </c>
      <c r="F32" s="111">
        <f t="shared" si="0"/>
        <v>0</v>
      </c>
      <c r="G32" s="102">
        <f t="shared" si="0"/>
        <v>0.05</v>
      </c>
      <c r="H32" s="112"/>
      <c r="I32" s="157">
        <v>0</v>
      </c>
      <c r="J32" s="156">
        <f t="shared" si="1"/>
        <v>0</v>
      </c>
      <c r="K32" s="98">
        <f t="shared" si="2"/>
        <v>0</v>
      </c>
      <c r="L32" s="343"/>
      <c r="M32" s="349"/>
      <c r="N32" s="350"/>
    </row>
    <row r="33" spans="1:15" ht="15.6">
      <c r="A33" s="109" t="s">
        <v>54</v>
      </c>
      <c r="B33" s="109"/>
      <c r="C33" s="95"/>
      <c r="D33" s="106">
        <v>0</v>
      </c>
      <c r="E33" s="86">
        <v>0.05</v>
      </c>
      <c r="F33" s="111">
        <f t="shared" si="0"/>
        <v>0</v>
      </c>
      <c r="G33" s="102">
        <f t="shared" si="0"/>
        <v>0.05</v>
      </c>
      <c r="H33" s="112"/>
      <c r="I33" s="157">
        <v>0</v>
      </c>
      <c r="J33" s="156">
        <v>0.02</v>
      </c>
      <c r="K33" s="98">
        <f t="shared" si="2"/>
        <v>0.24</v>
      </c>
      <c r="L33" s="343"/>
      <c r="M33" s="349"/>
      <c r="N33" s="350"/>
    </row>
    <row r="34" spans="1:15" ht="15.6">
      <c r="A34" s="109" t="s">
        <v>55</v>
      </c>
      <c r="B34" s="109"/>
      <c r="C34" s="95"/>
      <c r="D34" s="106">
        <v>1</v>
      </c>
      <c r="E34" s="86">
        <v>0.05</v>
      </c>
      <c r="F34" s="118">
        <f t="shared" si="0"/>
        <v>1.05</v>
      </c>
      <c r="G34" s="102">
        <f t="shared" si="0"/>
        <v>0.10249999999999999</v>
      </c>
      <c r="H34" s="112"/>
      <c r="I34" s="157">
        <v>0</v>
      </c>
      <c r="J34" s="156">
        <f t="shared" si="1"/>
        <v>0</v>
      </c>
      <c r="K34" s="98">
        <f t="shared" si="2"/>
        <v>0</v>
      </c>
      <c r="L34" s="343"/>
      <c r="M34" s="349"/>
      <c r="N34" s="350"/>
    </row>
    <row r="35" spans="1:15" ht="21" customHeight="1">
      <c r="A35" s="109" t="s">
        <v>56</v>
      </c>
      <c r="B35" s="109"/>
      <c r="C35" s="95"/>
      <c r="D35" s="106">
        <v>1</v>
      </c>
      <c r="E35" s="86">
        <v>0.05</v>
      </c>
      <c r="F35" s="111">
        <f>D35*(1+E35)</f>
        <v>1.05</v>
      </c>
      <c r="G35" s="102">
        <f>E35*(1+F35)</f>
        <v>0.10249999999999999</v>
      </c>
      <c r="H35" s="112"/>
      <c r="I35" s="157">
        <v>0</v>
      </c>
      <c r="J35" s="156">
        <f>0.8/24</f>
        <v>3.3333333333333333E-2</v>
      </c>
      <c r="K35" s="98">
        <f t="shared" si="2"/>
        <v>0.4</v>
      </c>
      <c r="L35" s="343"/>
      <c r="M35" s="349"/>
      <c r="N35" s="350"/>
    </row>
    <row r="36" spans="1:15" ht="18.75" customHeight="1">
      <c r="A36" s="119" t="s">
        <v>57</v>
      </c>
      <c r="B36" s="109"/>
      <c r="C36" s="91"/>
      <c r="D36" s="120"/>
      <c r="E36" s="121"/>
      <c r="F36" s="122"/>
      <c r="G36" s="122"/>
      <c r="H36" s="122"/>
      <c r="I36" s="158"/>
      <c r="J36" s="153">
        <f>SUM(J26:J35)</f>
        <v>7.3333333333333334E-2</v>
      </c>
      <c r="K36" s="123">
        <f>SUM(K26:K35)</f>
        <v>0.88</v>
      </c>
      <c r="L36" s="345">
        <f>SUM(L26:L35)</f>
        <v>0</v>
      </c>
      <c r="M36" s="367">
        <f>+J36</f>
        <v>7.3333333333333334E-2</v>
      </c>
      <c r="N36" s="368">
        <f>+J36</f>
        <v>7.3333333333333334E-2</v>
      </c>
    </row>
    <row r="37" spans="1:15" ht="18.75" customHeight="1" thickBot="1">
      <c r="A37" s="124"/>
      <c r="B37" s="124"/>
      <c r="C37" s="125"/>
      <c r="D37" s="126"/>
      <c r="E37" s="127"/>
      <c r="F37" s="128"/>
      <c r="G37" s="128"/>
      <c r="H37" s="128"/>
      <c r="I37" s="129"/>
      <c r="J37" s="130"/>
      <c r="K37" s="130"/>
      <c r="L37" s="211"/>
      <c r="M37" s="349"/>
      <c r="N37" s="350"/>
    </row>
    <row r="38" spans="1:15" ht="27" customHeight="1" thickBot="1">
      <c r="A38" s="462" t="s">
        <v>58</v>
      </c>
      <c r="B38" s="463"/>
      <c r="C38" s="463"/>
      <c r="D38" s="463"/>
      <c r="E38" s="463"/>
      <c r="F38" s="463"/>
      <c r="G38" s="463"/>
      <c r="H38" s="463"/>
      <c r="I38" s="464"/>
      <c r="J38" s="159">
        <f>SUM(J17+J24+J36)</f>
        <v>1.0171243347847121</v>
      </c>
      <c r="K38" s="159">
        <f>SUM(K17+K24+K36)</f>
        <v>12.205492017416546</v>
      </c>
      <c r="L38" s="212"/>
      <c r="M38" s="215">
        <f>SUM(M17+M24+M36)</f>
        <v>1.2900803096274793</v>
      </c>
      <c r="N38" s="159">
        <f>SUM(N17+N24+N36)</f>
        <v>1.4265582970488631</v>
      </c>
    </row>
    <row r="39" spans="1:15" ht="27" customHeight="1" thickBot="1">
      <c r="A39" s="462" t="s">
        <v>59</v>
      </c>
      <c r="B39" s="463"/>
      <c r="C39" s="463"/>
      <c r="D39" s="463"/>
      <c r="E39" s="463"/>
      <c r="F39" s="463"/>
      <c r="G39" s="463"/>
      <c r="H39" s="463"/>
      <c r="I39" s="464"/>
      <c r="J39" s="160">
        <f>+J38+J10</f>
        <v>1.8171243347847121</v>
      </c>
      <c r="K39" s="160">
        <f>+K38+K10</f>
        <v>21.805492017416547</v>
      </c>
      <c r="L39" s="212"/>
      <c r="M39" s="369">
        <f>+M38+M10</f>
        <v>2.1200803096274794</v>
      </c>
      <c r="N39" s="370">
        <f>+N38+N10</f>
        <v>2.2765582970488629</v>
      </c>
    </row>
    <row r="40" spans="1:15" ht="27" customHeight="1" thickBot="1">
      <c r="A40" s="131" t="s">
        <v>175</v>
      </c>
      <c r="B40" s="132"/>
      <c r="C40" s="132"/>
      <c r="D40" s="132"/>
      <c r="E40" s="132"/>
      <c r="F40" s="132"/>
      <c r="G40" s="132"/>
      <c r="H40" s="132"/>
      <c r="I40" s="132"/>
      <c r="J40" s="160">
        <f>5500/100000</f>
        <v>5.5E-2</v>
      </c>
      <c r="K40" s="160"/>
      <c r="L40" s="212"/>
      <c r="M40" s="369">
        <f>5500/100000</f>
        <v>5.5E-2</v>
      </c>
      <c r="N40" s="370">
        <f>5500/100000</f>
        <v>5.5E-2</v>
      </c>
    </row>
    <row r="41" spans="1:15" ht="27" customHeight="1" thickBot="1">
      <c r="A41" s="131" t="s">
        <v>176</v>
      </c>
      <c r="B41" s="132"/>
      <c r="C41" s="132"/>
      <c r="D41" s="132"/>
      <c r="E41" s="132"/>
      <c r="F41" s="132"/>
      <c r="G41" s="132"/>
      <c r="H41" s="132"/>
      <c r="I41" s="132"/>
      <c r="J41" s="160">
        <f>+J39+J40</f>
        <v>1.8721243347847121</v>
      </c>
      <c r="K41" s="160"/>
      <c r="L41" s="212"/>
      <c r="M41" s="369">
        <f>+M39+M40</f>
        <v>2.1750803096274796</v>
      </c>
      <c r="N41" s="370">
        <f>+N39+N40</f>
        <v>2.3315582970488631</v>
      </c>
    </row>
    <row r="42" spans="1:15" ht="27" customHeight="1" thickBot="1">
      <c r="A42" s="131" t="s">
        <v>177</v>
      </c>
      <c r="B42" s="132"/>
      <c r="C42" s="132"/>
      <c r="D42" s="132"/>
      <c r="E42" s="132"/>
      <c r="F42" s="132"/>
      <c r="G42" s="132"/>
      <c r="H42" s="132"/>
      <c r="I42" s="132"/>
      <c r="J42" s="160">
        <f>+J39/0.83-J39</f>
        <v>0.37218209266674851</v>
      </c>
      <c r="K42" s="160">
        <f>+K38/0.8-K38</f>
        <v>3.0513730043541365</v>
      </c>
      <c r="L42" s="213"/>
      <c r="M42" s="369">
        <f>+M41/0.83-M41</f>
        <v>0.44549837667068859</v>
      </c>
      <c r="N42" s="370">
        <f>+N41/0.83-N41</f>
        <v>0.47754808493771916</v>
      </c>
    </row>
    <row r="43" spans="1:15" ht="28.5" customHeight="1" thickBot="1">
      <c r="A43" s="436"/>
      <c r="B43" s="437"/>
      <c r="C43" s="437"/>
      <c r="D43" s="133"/>
      <c r="E43" s="134"/>
      <c r="F43" s="61"/>
      <c r="G43" s="61"/>
      <c r="H43" s="61"/>
      <c r="I43" s="135"/>
      <c r="J43" s="61" t="s">
        <v>60</v>
      </c>
      <c r="K43" s="61" t="s">
        <v>61</v>
      </c>
      <c r="L43" s="214"/>
      <c r="M43" s="371"/>
      <c r="N43" s="350"/>
    </row>
    <row r="44" spans="1:15" ht="30.6" customHeight="1">
      <c r="A44" s="469" t="s">
        <v>62</v>
      </c>
      <c r="B44" s="469"/>
      <c r="C44" s="469"/>
      <c r="D44" s="469"/>
      <c r="E44" s="469"/>
      <c r="F44" s="469"/>
      <c r="G44" s="469"/>
      <c r="H44" s="469"/>
      <c r="I44" s="469"/>
      <c r="J44" s="136">
        <f>+J39+J42</f>
        <v>2.1893064274514606</v>
      </c>
      <c r="K44" s="136">
        <f>+K39+K42</f>
        <v>24.856865021770684</v>
      </c>
      <c r="L44" s="346"/>
      <c r="M44" s="385">
        <f>+M39+M42</f>
        <v>2.565578686298168</v>
      </c>
      <c r="N44" s="386">
        <f>+N39+N42</f>
        <v>2.7541063819865821</v>
      </c>
      <c r="O44" s="137"/>
    </row>
    <row r="45" spans="1:15" ht="16.2">
      <c r="A45" s="440"/>
      <c r="B45" s="441"/>
      <c r="C45" s="441"/>
      <c r="D45" s="138"/>
      <c r="E45" s="139"/>
      <c r="F45" s="440"/>
      <c r="G45" s="441"/>
      <c r="H45" s="441"/>
      <c r="I45" s="441"/>
      <c r="J45" s="441"/>
      <c r="K45" s="444"/>
      <c r="L45" s="140"/>
      <c r="M45" s="387"/>
      <c r="N45" s="388"/>
    </row>
    <row r="46" spans="1:15" ht="16.2">
      <c r="A46" s="440"/>
      <c r="B46" s="441"/>
      <c r="C46" s="441"/>
      <c r="D46" s="138"/>
      <c r="E46" s="139"/>
      <c r="F46" s="440"/>
      <c r="G46" s="441"/>
      <c r="H46" s="441"/>
      <c r="I46" s="441"/>
      <c r="J46" s="441"/>
      <c r="K46" s="444"/>
      <c r="L46" s="142"/>
      <c r="M46" s="389"/>
      <c r="N46" s="390"/>
    </row>
    <row r="47" spans="1:15" ht="16.2">
      <c r="A47" s="440"/>
      <c r="B47" s="441"/>
      <c r="C47" s="441"/>
      <c r="D47" s="138"/>
      <c r="E47" s="139"/>
      <c r="F47" s="440"/>
      <c r="G47" s="441"/>
      <c r="H47" s="441"/>
      <c r="I47" s="441"/>
      <c r="J47" s="441"/>
      <c r="K47" s="444"/>
      <c r="L47" s="140"/>
      <c r="M47" s="349"/>
      <c r="N47" s="350"/>
    </row>
    <row r="48" spans="1:15" ht="16.2">
      <c r="A48" s="440"/>
      <c r="B48" s="441"/>
      <c r="C48" s="441"/>
      <c r="D48" s="138"/>
      <c r="E48" s="139"/>
      <c r="F48" s="440"/>
      <c r="G48" s="441"/>
      <c r="H48" s="441"/>
      <c r="I48" s="441"/>
      <c r="J48" s="441"/>
      <c r="K48" s="444"/>
      <c r="L48" s="140"/>
      <c r="M48" s="349"/>
      <c r="N48" s="350"/>
    </row>
    <row r="49" spans="1:14" ht="16.8" thickBot="1">
      <c r="A49" s="440"/>
      <c r="B49" s="441"/>
      <c r="C49" s="441"/>
      <c r="D49" s="138"/>
      <c r="E49" s="139"/>
      <c r="F49" s="440"/>
      <c r="G49" s="441"/>
      <c r="H49" s="441"/>
      <c r="I49" s="441"/>
      <c r="J49" s="441"/>
      <c r="K49" s="444"/>
      <c r="L49" s="140"/>
      <c r="M49" s="391"/>
      <c r="N49" s="392"/>
    </row>
    <row r="50" spans="1:14" ht="4.5" customHeight="1" thickBot="1">
      <c r="A50" s="442"/>
      <c r="B50" s="443"/>
      <c r="C50" s="443"/>
      <c r="D50" s="144"/>
      <c r="E50" s="145"/>
      <c r="F50" s="442"/>
      <c r="G50" s="443"/>
      <c r="H50" s="443"/>
      <c r="I50" s="443"/>
      <c r="J50" s="443"/>
      <c r="K50" s="445"/>
      <c r="L50" s="140"/>
    </row>
    <row r="51" spans="1:14">
      <c r="A51" s="1" t="s">
        <v>107</v>
      </c>
      <c r="J51" s="1" t="s">
        <v>108</v>
      </c>
      <c r="K51" s="167">
        <v>45618</v>
      </c>
    </row>
    <row r="52" spans="1:14">
      <c r="A52" s="61"/>
      <c r="B52" s="61"/>
      <c r="C52" s="61"/>
      <c r="D52" s="146"/>
      <c r="E52" s="134"/>
      <c r="F52" s="61"/>
      <c r="G52" s="61"/>
      <c r="H52" s="61"/>
      <c r="I52" s="135"/>
      <c r="J52" s="61"/>
      <c r="K52" s="61"/>
      <c r="L52" s="147"/>
    </row>
    <row r="53" spans="1:14" ht="12.75" customHeight="1">
      <c r="A53" s="1" t="s">
        <v>110</v>
      </c>
      <c r="B53" s="61"/>
      <c r="C53" s="61"/>
      <c r="D53" s="146"/>
      <c r="E53" s="134"/>
      <c r="F53" s="61"/>
      <c r="G53" s="61"/>
      <c r="H53" s="61"/>
      <c r="I53" s="169"/>
      <c r="J53" s="1" t="s">
        <v>108</v>
      </c>
      <c r="K53" s="168"/>
      <c r="L53" s="61"/>
    </row>
    <row r="54" spans="1:14">
      <c r="A54" s="61"/>
      <c r="B54" s="61"/>
      <c r="C54" s="61"/>
      <c r="D54" s="146"/>
      <c r="E54" s="134"/>
      <c r="F54" s="61"/>
      <c r="G54" s="61"/>
      <c r="H54" s="61"/>
      <c r="I54" s="135"/>
      <c r="J54" s="61"/>
      <c r="K54" s="61"/>
      <c r="L54" s="61"/>
    </row>
  </sheetData>
  <mergeCells count="17">
    <mergeCell ref="A1:L1"/>
    <mergeCell ref="A2:F2"/>
    <mergeCell ref="I2:J2"/>
    <mergeCell ref="K2:L2"/>
    <mergeCell ref="A3:C3"/>
    <mergeCell ref="D3:F3"/>
    <mergeCell ref="J3:K3"/>
    <mergeCell ref="A39:I39"/>
    <mergeCell ref="A43:C43"/>
    <mergeCell ref="A44:I44"/>
    <mergeCell ref="A45:C50"/>
    <mergeCell ref="F45:K50"/>
    <mergeCell ref="M3:N3"/>
    <mergeCell ref="A4:B4"/>
    <mergeCell ref="A5:C5"/>
    <mergeCell ref="A12:F12"/>
    <mergeCell ref="A38:I3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C0C1-FD60-4AE7-B0F7-3CA03C40B64A}">
  <dimension ref="A1:H15"/>
  <sheetViews>
    <sheetView tabSelected="1" workbookViewId="0">
      <selection activeCell="I10" sqref="I10"/>
    </sheetView>
  </sheetViews>
  <sheetFormatPr baseColWidth="10" defaultRowHeight="14.4"/>
  <cols>
    <col min="1" max="1" width="10.5546875" style="161" customWidth="1"/>
    <col min="2" max="2" width="39.6640625" style="161" bestFit="1" customWidth="1"/>
    <col min="3" max="3" width="14.109375" style="161" customWidth="1"/>
    <col min="4" max="4" width="25.33203125" style="161" bestFit="1" customWidth="1"/>
    <col min="5" max="5" width="23.5546875" style="161" customWidth="1"/>
    <col min="6" max="6" width="17" style="161" customWidth="1"/>
    <col min="7" max="7" width="14.44140625" customWidth="1"/>
    <col min="8" max="8" width="16.88671875" customWidth="1"/>
  </cols>
  <sheetData>
    <row r="1" spans="1:8" s="161" customFormat="1">
      <c r="A1" s="164" t="s">
        <v>63</v>
      </c>
      <c r="B1" s="164" t="s">
        <v>64</v>
      </c>
      <c r="C1" s="164" t="s">
        <v>73</v>
      </c>
      <c r="D1" s="164" t="s">
        <v>65</v>
      </c>
      <c r="E1" s="164" t="s">
        <v>66</v>
      </c>
      <c r="F1" s="164" t="s">
        <v>67</v>
      </c>
    </row>
    <row r="2" spans="1:8">
      <c r="A2" s="162" t="s">
        <v>68</v>
      </c>
      <c r="B2" s="162" t="s">
        <v>72</v>
      </c>
      <c r="C2" s="162" t="s">
        <v>74</v>
      </c>
      <c r="D2" s="163">
        <v>2.2799999999999998</v>
      </c>
      <c r="E2" s="163">
        <v>2.58</v>
      </c>
      <c r="F2" s="163"/>
    </row>
    <row r="3" spans="1:8">
      <c r="A3" s="162" t="s">
        <v>69</v>
      </c>
      <c r="B3" s="162" t="s">
        <v>78</v>
      </c>
      <c r="C3" s="162" t="s">
        <v>75</v>
      </c>
      <c r="D3" s="163">
        <v>2.06</v>
      </c>
      <c r="E3" s="163">
        <v>2.33</v>
      </c>
      <c r="F3" s="163">
        <v>2.56</v>
      </c>
    </row>
    <row r="4" spans="1:8">
      <c r="A4" s="162" t="s">
        <v>70</v>
      </c>
      <c r="B4" s="162" t="s">
        <v>79</v>
      </c>
      <c r="C4" s="162" t="s">
        <v>76</v>
      </c>
      <c r="D4" s="163">
        <v>2.27</v>
      </c>
      <c r="E4" s="163">
        <v>2.58</v>
      </c>
      <c r="F4" s="163"/>
    </row>
    <row r="5" spans="1:8">
      <c r="A5" s="162" t="s">
        <v>71</v>
      </c>
      <c r="B5" s="162" t="s">
        <v>80</v>
      </c>
      <c r="C5" s="162" t="s">
        <v>77</v>
      </c>
      <c r="D5" s="163" t="s">
        <v>81</v>
      </c>
      <c r="E5" s="163" t="s">
        <v>82</v>
      </c>
      <c r="F5" s="163" t="s">
        <v>83</v>
      </c>
    </row>
    <row r="6" spans="1:8">
      <c r="D6" s="407">
        <v>0.72</v>
      </c>
      <c r="E6" s="407">
        <v>0.72</v>
      </c>
      <c r="F6" s="161">
        <v>0.72</v>
      </c>
    </row>
    <row r="8" spans="1:8">
      <c r="D8" s="407"/>
      <c r="E8" s="407"/>
      <c r="F8" s="407"/>
    </row>
    <row r="10" spans="1:8">
      <c r="D10" s="407"/>
      <c r="E10" s="407"/>
    </row>
    <row r="12" spans="1:8">
      <c r="D12" s="407"/>
      <c r="E12" s="164" t="s">
        <v>323</v>
      </c>
      <c r="F12" s="164" t="s">
        <v>65</v>
      </c>
      <c r="G12" s="164" t="s">
        <v>66</v>
      </c>
      <c r="H12" s="164" t="s">
        <v>67</v>
      </c>
    </row>
    <row r="13" spans="1:8">
      <c r="C13" s="514"/>
      <c r="E13" s="162" t="s">
        <v>320</v>
      </c>
      <c r="F13" s="163">
        <v>2.1800000000000002</v>
      </c>
      <c r="G13" s="163">
        <v>2.4900000000000002</v>
      </c>
      <c r="H13" s="163">
        <v>2.74</v>
      </c>
    </row>
    <row r="14" spans="1:8" ht="43.2">
      <c r="B14" s="513"/>
      <c r="C14" s="515"/>
      <c r="D14" s="513"/>
      <c r="E14" s="516" t="s">
        <v>321</v>
      </c>
      <c r="F14" s="163">
        <v>0.72</v>
      </c>
      <c r="G14" s="163">
        <v>0.72</v>
      </c>
      <c r="H14" s="162">
        <v>0.72</v>
      </c>
    </row>
    <row r="15" spans="1:8">
      <c r="E15" s="518" t="s">
        <v>322</v>
      </c>
      <c r="F15" s="517">
        <f>SUM(F13:F14)</f>
        <v>2.9000000000000004</v>
      </c>
      <c r="G15" s="517">
        <f t="shared" ref="G15:H15" si="0">SUM(G13:G14)</f>
        <v>3.21</v>
      </c>
      <c r="H15" s="517">
        <f t="shared" si="0"/>
        <v>3.46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B1B9C-D43C-4F88-969C-D8AE321BC818}">
  <sheetPr>
    <pageSetUpPr fitToPage="1"/>
  </sheetPr>
  <dimension ref="A2:AN41"/>
  <sheetViews>
    <sheetView zoomScaleNormal="100" workbookViewId="0">
      <pane xSplit="5" ySplit="3" topLeftCell="F22" activePane="bottomRight" state="frozen"/>
      <selection pane="topRight" activeCell="F1" sqref="F1"/>
      <selection pane="bottomLeft" activeCell="A3" sqref="A3"/>
      <selection pane="bottomRight" activeCell="G9" sqref="G9"/>
    </sheetView>
  </sheetViews>
  <sheetFormatPr baseColWidth="10" defaultRowHeight="14.4" outlineLevelRow="1"/>
  <cols>
    <col min="2" max="2" width="13.33203125" style="161" customWidth="1"/>
    <col min="3" max="3" width="25.33203125" style="161" bestFit="1" customWidth="1"/>
    <col min="4" max="12" width="11.44140625" customWidth="1"/>
    <col min="13" max="18" width="11.44140625" hidden="1" customWidth="1"/>
    <col min="19" max="19" width="17.109375" customWidth="1"/>
    <col min="20" max="22" width="11.88671875" customWidth="1"/>
    <col min="23" max="24" width="11.5546875" customWidth="1"/>
    <col min="25" max="25" width="11.44140625" customWidth="1"/>
    <col min="26" max="26" width="11.44140625" style="411" customWidth="1"/>
    <col min="27" max="32" width="11.44140625" customWidth="1"/>
    <col min="33" max="33" width="11.44140625" hidden="1" customWidth="1"/>
    <col min="34" max="38" width="11.44140625" customWidth="1"/>
    <col min="39" max="39" width="12.77734375" bestFit="1" customWidth="1"/>
  </cols>
  <sheetData>
    <row r="2" spans="1:40">
      <c r="AE2" s="161" t="s">
        <v>271</v>
      </c>
      <c r="AF2" s="161" t="s">
        <v>270</v>
      </c>
      <c r="AH2" s="161" t="s">
        <v>278</v>
      </c>
      <c r="AI2" s="161" t="s">
        <v>270</v>
      </c>
      <c r="AJ2" s="161" t="s">
        <v>271</v>
      </c>
      <c r="AK2" s="161" t="s">
        <v>271</v>
      </c>
      <c r="AL2" s="161" t="s">
        <v>270</v>
      </c>
      <c r="AM2" s="161" t="s">
        <v>278</v>
      </c>
      <c r="AN2" s="161" t="s">
        <v>270</v>
      </c>
    </row>
    <row r="3" spans="1:40" ht="43.2">
      <c r="A3" s="311" t="s">
        <v>144</v>
      </c>
      <c r="B3" s="311" t="s">
        <v>155</v>
      </c>
      <c r="C3" s="311" t="s">
        <v>170</v>
      </c>
      <c r="D3" s="311" t="s">
        <v>145</v>
      </c>
      <c r="E3" s="312" t="s">
        <v>171</v>
      </c>
      <c r="F3" s="311" t="s">
        <v>146</v>
      </c>
      <c r="G3" s="311" t="s">
        <v>147</v>
      </c>
      <c r="H3" s="311" t="s">
        <v>84</v>
      </c>
      <c r="I3" s="311" t="s">
        <v>148</v>
      </c>
      <c r="J3" s="311" t="s">
        <v>149</v>
      </c>
      <c r="K3" s="311" t="s">
        <v>150</v>
      </c>
      <c r="L3" s="313" t="s">
        <v>151</v>
      </c>
      <c r="M3" s="314" t="s">
        <v>85</v>
      </c>
      <c r="N3" s="314" t="s">
        <v>152</v>
      </c>
      <c r="O3" s="314" t="s">
        <v>153</v>
      </c>
      <c r="P3" s="311" t="s">
        <v>154</v>
      </c>
      <c r="Q3" s="322" t="s">
        <v>155</v>
      </c>
      <c r="R3" s="311" t="s">
        <v>156</v>
      </c>
      <c r="S3" s="311" t="s">
        <v>173</v>
      </c>
      <c r="T3" s="311" t="s">
        <v>172</v>
      </c>
      <c r="U3" s="311" t="s">
        <v>205</v>
      </c>
      <c r="V3" s="311" t="s">
        <v>206</v>
      </c>
      <c r="W3" s="311" t="s">
        <v>174</v>
      </c>
      <c r="X3" s="311" t="s">
        <v>184</v>
      </c>
      <c r="Y3" s="311" t="s">
        <v>183</v>
      </c>
      <c r="Z3" s="412" t="s">
        <v>239</v>
      </c>
      <c r="AA3" s="311" t="s">
        <v>240</v>
      </c>
      <c r="AB3" s="311" t="s">
        <v>236</v>
      </c>
      <c r="AC3" s="311" t="s">
        <v>279</v>
      </c>
      <c r="AD3" s="423" t="s">
        <v>281</v>
      </c>
      <c r="AE3" s="470" t="s">
        <v>195</v>
      </c>
      <c r="AF3" s="471"/>
      <c r="AG3" s="311" t="s">
        <v>194</v>
      </c>
      <c r="AH3" s="470" t="s">
        <v>185</v>
      </c>
      <c r="AI3" s="471"/>
      <c r="AJ3" s="311" t="s">
        <v>186</v>
      </c>
      <c r="AK3" s="470" t="s">
        <v>188</v>
      </c>
      <c r="AL3" s="471"/>
      <c r="AM3" s="470" t="s">
        <v>187</v>
      </c>
      <c r="AN3" s="471"/>
    </row>
    <row r="4" spans="1:40" outlineLevel="1">
      <c r="A4" s="315" t="s">
        <v>86</v>
      </c>
      <c r="B4" s="315" t="s">
        <v>160</v>
      </c>
      <c r="C4" s="162" t="s">
        <v>72</v>
      </c>
      <c r="D4" s="315" t="s">
        <v>87</v>
      </c>
      <c r="E4" s="316">
        <v>240</v>
      </c>
      <c r="F4" s="315">
        <v>24</v>
      </c>
      <c r="G4" s="315" t="s">
        <v>157</v>
      </c>
      <c r="H4" s="320" t="s">
        <v>88</v>
      </c>
      <c r="I4" s="320" t="s">
        <v>157</v>
      </c>
      <c r="J4" s="320" t="s">
        <v>158</v>
      </c>
      <c r="K4" s="315" t="s">
        <v>159</v>
      </c>
      <c r="L4" s="317">
        <v>45713</v>
      </c>
      <c r="M4" s="318">
        <v>2.1800000000000002</v>
      </c>
      <c r="N4" s="318">
        <v>0</v>
      </c>
      <c r="O4" s="319">
        <v>2.2799999999999998</v>
      </c>
      <c r="P4" s="321">
        <f t="shared" ref="P4:P9" si="0">+O4*E4</f>
        <v>547.19999999999993</v>
      </c>
      <c r="Q4" s="323" t="s">
        <v>160</v>
      </c>
      <c r="R4" s="315" t="s">
        <v>161</v>
      </c>
      <c r="S4" s="315" t="s">
        <v>233</v>
      </c>
      <c r="T4" s="316">
        <f>+E4+2</f>
        <v>242</v>
      </c>
      <c r="U4" s="316">
        <f>+W4/1.53</f>
        <v>50.196078431372548</v>
      </c>
      <c r="V4" s="316">
        <f>+X4/1.3</f>
        <v>3.7230769230769227</v>
      </c>
      <c r="W4" s="315">
        <f>+E4*0.32</f>
        <v>76.8</v>
      </c>
      <c r="X4" s="315">
        <f>+T4*0.02</f>
        <v>4.84</v>
      </c>
      <c r="Y4" s="315">
        <v>1</v>
      </c>
      <c r="Z4" s="413">
        <f>+E4*1.01</f>
        <v>242.4</v>
      </c>
      <c r="AA4" s="413">
        <f>+E4*1.01</f>
        <v>242.4</v>
      </c>
      <c r="AB4" s="315" t="s">
        <v>237</v>
      </c>
      <c r="AC4" s="315" t="s">
        <v>280</v>
      </c>
      <c r="AD4" s="413">
        <f>+AA4</f>
        <v>242.4</v>
      </c>
      <c r="AE4" s="315" t="s">
        <v>272</v>
      </c>
      <c r="AF4" s="316">
        <f t="shared" ref="AF4:AF9" si="1">1*E4</f>
        <v>240</v>
      </c>
      <c r="AG4" s="316"/>
      <c r="AH4" s="315" t="s">
        <v>314</v>
      </c>
      <c r="AI4" s="315">
        <f>+AF4/24+2</f>
        <v>12</v>
      </c>
      <c r="AJ4" s="315">
        <v>89</v>
      </c>
      <c r="AK4" s="315" t="s">
        <v>276</v>
      </c>
      <c r="AL4" s="315">
        <f>(AF4*3)+2</f>
        <v>722</v>
      </c>
      <c r="AM4" s="315" t="s">
        <v>277</v>
      </c>
      <c r="AN4" s="315">
        <f>+AI4</f>
        <v>12</v>
      </c>
    </row>
    <row r="5" spans="1:40" outlineLevel="1">
      <c r="A5" s="315" t="s">
        <v>86</v>
      </c>
      <c r="B5" s="315" t="s">
        <v>160</v>
      </c>
      <c r="C5" s="162" t="s">
        <v>72</v>
      </c>
      <c r="D5" s="315" t="s">
        <v>89</v>
      </c>
      <c r="E5" s="316">
        <v>336</v>
      </c>
      <c r="F5" s="315">
        <v>24</v>
      </c>
      <c r="G5" s="315" t="s">
        <v>157</v>
      </c>
      <c r="H5" s="320" t="s">
        <v>90</v>
      </c>
      <c r="I5" s="320" t="s">
        <v>157</v>
      </c>
      <c r="J5" s="320" t="s">
        <v>158</v>
      </c>
      <c r="K5" s="315" t="s">
        <v>159</v>
      </c>
      <c r="L5" s="317">
        <v>45713</v>
      </c>
      <c r="M5" s="318">
        <v>2.1800000000000002</v>
      </c>
      <c r="N5" s="318">
        <v>0</v>
      </c>
      <c r="O5" s="319">
        <v>2.2799999999999998</v>
      </c>
      <c r="P5" s="321">
        <f t="shared" si="0"/>
        <v>766.07999999999993</v>
      </c>
      <c r="Q5" s="323" t="s">
        <v>160</v>
      </c>
      <c r="R5" s="315" t="s">
        <v>161</v>
      </c>
      <c r="S5" s="315" t="s">
        <v>233</v>
      </c>
      <c r="T5" s="316">
        <f t="shared" ref="T5:T9" si="2">+E5+2</f>
        <v>338</v>
      </c>
      <c r="U5" s="316">
        <f t="shared" ref="U5:U30" si="3">+W5/1.53</f>
        <v>70.274509803921561</v>
      </c>
      <c r="V5" s="316">
        <f t="shared" ref="V5:V30" si="4">+X5/1.3</f>
        <v>5.1999999999999993</v>
      </c>
      <c r="W5" s="315">
        <f t="shared" ref="W5:W9" si="5">+E5*0.32</f>
        <v>107.52</v>
      </c>
      <c r="X5" s="315">
        <f t="shared" ref="X5:X9" si="6">+T5*0.02</f>
        <v>6.76</v>
      </c>
      <c r="Y5" s="315">
        <v>1</v>
      </c>
      <c r="Z5" s="413">
        <f t="shared" ref="Z5:Z9" si="7">+E5*1.01</f>
        <v>339.36</v>
      </c>
      <c r="AA5" s="413">
        <f t="shared" ref="AA5:AA9" si="8">+E5*1.01</f>
        <v>339.36</v>
      </c>
      <c r="AB5" s="315" t="s">
        <v>237</v>
      </c>
      <c r="AC5" s="315" t="s">
        <v>280</v>
      </c>
      <c r="AD5" s="413">
        <f t="shared" ref="AD5:AD30" si="9">+AA5</f>
        <v>339.36</v>
      </c>
      <c r="AE5" s="315" t="s">
        <v>272</v>
      </c>
      <c r="AF5" s="316">
        <f t="shared" si="1"/>
        <v>336</v>
      </c>
      <c r="AG5" s="315"/>
      <c r="AH5" s="315" t="s">
        <v>314</v>
      </c>
      <c r="AI5" s="315">
        <f t="shared" ref="AI5:AI30" si="10">+AF5/24+2</f>
        <v>16</v>
      </c>
      <c r="AJ5" s="315">
        <v>89</v>
      </c>
      <c r="AK5" s="315" t="s">
        <v>276</v>
      </c>
      <c r="AL5" s="315">
        <f t="shared" ref="AL5:AL30" si="11">(AF5*3)+2</f>
        <v>1010</v>
      </c>
      <c r="AM5" s="315" t="s">
        <v>277</v>
      </c>
      <c r="AN5" s="315">
        <f t="shared" ref="AN5:AN30" si="12">+AI5</f>
        <v>16</v>
      </c>
    </row>
    <row r="6" spans="1:40" outlineLevel="1">
      <c r="A6" s="315" t="s">
        <v>86</v>
      </c>
      <c r="B6" s="315" t="s">
        <v>160</v>
      </c>
      <c r="C6" s="162" t="s">
        <v>72</v>
      </c>
      <c r="D6" s="315" t="s">
        <v>91</v>
      </c>
      <c r="E6" s="316">
        <v>384</v>
      </c>
      <c r="F6" s="315">
        <v>24</v>
      </c>
      <c r="G6" s="315" t="s">
        <v>157</v>
      </c>
      <c r="H6" s="320" t="s">
        <v>92</v>
      </c>
      <c r="I6" s="320" t="s">
        <v>157</v>
      </c>
      <c r="J6" s="320" t="s">
        <v>158</v>
      </c>
      <c r="K6" s="315" t="s">
        <v>159</v>
      </c>
      <c r="L6" s="317">
        <v>45713</v>
      </c>
      <c r="M6" s="318">
        <v>2.1800000000000002</v>
      </c>
      <c r="N6" s="318">
        <v>0</v>
      </c>
      <c r="O6" s="319">
        <v>2.2799999999999998</v>
      </c>
      <c r="P6" s="321">
        <f t="shared" si="0"/>
        <v>875.52</v>
      </c>
      <c r="Q6" s="323" t="s">
        <v>160</v>
      </c>
      <c r="R6" s="315" t="s">
        <v>161</v>
      </c>
      <c r="S6" s="315" t="s">
        <v>233</v>
      </c>
      <c r="T6" s="316">
        <f t="shared" si="2"/>
        <v>386</v>
      </c>
      <c r="U6" s="316">
        <f t="shared" si="3"/>
        <v>80.313725490196077</v>
      </c>
      <c r="V6" s="316">
        <f t="shared" si="4"/>
        <v>5.9384615384615378</v>
      </c>
      <c r="W6" s="315">
        <f t="shared" si="5"/>
        <v>122.88</v>
      </c>
      <c r="X6" s="315">
        <f t="shared" si="6"/>
        <v>7.72</v>
      </c>
      <c r="Y6" s="315">
        <v>1</v>
      </c>
      <c r="Z6" s="413">
        <f t="shared" si="7"/>
        <v>387.84000000000003</v>
      </c>
      <c r="AA6" s="413">
        <f t="shared" si="8"/>
        <v>387.84000000000003</v>
      </c>
      <c r="AB6" s="315" t="s">
        <v>237</v>
      </c>
      <c r="AC6" s="315" t="s">
        <v>280</v>
      </c>
      <c r="AD6" s="413">
        <f t="shared" si="9"/>
        <v>387.84000000000003</v>
      </c>
      <c r="AE6" s="315" t="s">
        <v>272</v>
      </c>
      <c r="AF6" s="316">
        <f t="shared" si="1"/>
        <v>384</v>
      </c>
      <c r="AG6" s="315"/>
      <c r="AH6" s="315" t="s">
        <v>314</v>
      </c>
      <c r="AI6" s="315">
        <f t="shared" si="10"/>
        <v>18</v>
      </c>
      <c r="AJ6" s="315">
        <v>89</v>
      </c>
      <c r="AK6" s="315" t="s">
        <v>276</v>
      </c>
      <c r="AL6" s="315">
        <f t="shared" si="11"/>
        <v>1154</v>
      </c>
      <c r="AM6" s="315" t="s">
        <v>277</v>
      </c>
      <c r="AN6" s="315">
        <f t="shared" si="12"/>
        <v>18</v>
      </c>
    </row>
    <row r="7" spans="1:40" outlineLevel="1">
      <c r="A7" s="315" t="s">
        <v>93</v>
      </c>
      <c r="B7" s="315" t="s">
        <v>160</v>
      </c>
      <c r="C7" s="162" t="s">
        <v>72</v>
      </c>
      <c r="D7" s="315" t="s">
        <v>94</v>
      </c>
      <c r="E7" s="316">
        <v>360</v>
      </c>
      <c r="F7" s="315">
        <v>24</v>
      </c>
      <c r="G7" s="315" t="s">
        <v>157</v>
      </c>
      <c r="H7" s="320" t="s">
        <v>162</v>
      </c>
      <c r="I7" s="320" t="s">
        <v>157</v>
      </c>
      <c r="J7" s="320" t="s">
        <v>158</v>
      </c>
      <c r="K7" s="315" t="s">
        <v>159</v>
      </c>
      <c r="L7" s="317">
        <v>45713</v>
      </c>
      <c r="M7" s="318">
        <v>2.4900000000000002</v>
      </c>
      <c r="N7" s="318">
        <v>0</v>
      </c>
      <c r="O7" s="319">
        <v>2.58</v>
      </c>
      <c r="P7" s="321">
        <f t="shared" si="0"/>
        <v>928.80000000000007</v>
      </c>
      <c r="Q7" s="323" t="s">
        <v>160</v>
      </c>
      <c r="R7" s="315" t="s">
        <v>161</v>
      </c>
      <c r="S7" s="315" t="s">
        <v>233</v>
      </c>
      <c r="T7" s="316">
        <f t="shared" si="2"/>
        <v>362</v>
      </c>
      <c r="U7" s="316">
        <f t="shared" si="3"/>
        <v>75.294117647058826</v>
      </c>
      <c r="V7" s="316">
        <f t="shared" si="4"/>
        <v>5.569230769230769</v>
      </c>
      <c r="W7" s="315">
        <f t="shared" si="5"/>
        <v>115.2</v>
      </c>
      <c r="X7" s="315">
        <f t="shared" si="6"/>
        <v>7.24</v>
      </c>
      <c r="Y7" s="315">
        <v>1</v>
      </c>
      <c r="Z7" s="413">
        <f t="shared" si="7"/>
        <v>363.6</v>
      </c>
      <c r="AA7" s="413">
        <f t="shared" si="8"/>
        <v>363.6</v>
      </c>
      <c r="AB7" s="315" t="s">
        <v>237</v>
      </c>
      <c r="AC7" s="315" t="s">
        <v>280</v>
      </c>
      <c r="AD7" s="413">
        <f t="shared" si="9"/>
        <v>363.6</v>
      </c>
      <c r="AE7" s="315" t="s">
        <v>272</v>
      </c>
      <c r="AF7" s="316">
        <f t="shared" si="1"/>
        <v>360</v>
      </c>
      <c r="AG7" s="315"/>
      <c r="AH7" s="315" t="s">
        <v>314</v>
      </c>
      <c r="AI7" s="315">
        <f t="shared" si="10"/>
        <v>17</v>
      </c>
      <c r="AJ7" s="315">
        <v>89</v>
      </c>
      <c r="AK7" s="315" t="s">
        <v>276</v>
      </c>
      <c r="AL7" s="315">
        <f t="shared" si="11"/>
        <v>1082</v>
      </c>
      <c r="AM7" s="315" t="s">
        <v>277</v>
      </c>
      <c r="AN7" s="315">
        <f t="shared" si="12"/>
        <v>17</v>
      </c>
    </row>
    <row r="8" spans="1:40" outlineLevel="1">
      <c r="A8" s="315" t="s">
        <v>93</v>
      </c>
      <c r="B8" s="315" t="s">
        <v>160</v>
      </c>
      <c r="C8" s="162" t="s">
        <v>72</v>
      </c>
      <c r="D8" s="315" t="s">
        <v>95</v>
      </c>
      <c r="E8" s="316">
        <v>264</v>
      </c>
      <c r="F8" s="315">
        <v>24</v>
      </c>
      <c r="G8" s="315" t="s">
        <v>157</v>
      </c>
      <c r="H8" s="320" t="s">
        <v>163</v>
      </c>
      <c r="I8" s="320" t="s">
        <v>157</v>
      </c>
      <c r="J8" s="320" t="s">
        <v>158</v>
      </c>
      <c r="K8" s="315" t="s">
        <v>159</v>
      </c>
      <c r="L8" s="317">
        <v>45713</v>
      </c>
      <c r="M8" s="318">
        <v>2.4900000000000002</v>
      </c>
      <c r="N8" s="318">
        <v>0</v>
      </c>
      <c r="O8" s="319">
        <v>2.58</v>
      </c>
      <c r="P8" s="321">
        <f t="shared" si="0"/>
        <v>681.12</v>
      </c>
      <c r="Q8" s="323" t="s">
        <v>160</v>
      </c>
      <c r="R8" s="315" t="s">
        <v>161</v>
      </c>
      <c r="S8" s="315" t="s">
        <v>233</v>
      </c>
      <c r="T8" s="316">
        <f t="shared" si="2"/>
        <v>266</v>
      </c>
      <c r="U8" s="316">
        <f t="shared" si="3"/>
        <v>55.215686274509807</v>
      </c>
      <c r="V8" s="316">
        <f t="shared" si="4"/>
        <v>4.092307692307692</v>
      </c>
      <c r="W8" s="315">
        <f t="shared" si="5"/>
        <v>84.48</v>
      </c>
      <c r="X8" s="315">
        <f t="shared" si="6"/>
        <v>5.32</v>
      </c>
      <c r="Y8" s="315">
        <v>1</v>
      </c>
      <c r="Z8" s="413">
        <f t="shared" si="7"/>
        <v>266.64</v>
      </c>
      <c r="AA8" s="413">
        <f t="shared" si="8"/>
        <v>266.64</v>
      </c>
      <c r="AB8" s="315" t="s">
        <v>237</v>
      </c>
      <c r="AC8" s="315" t="s">
        <v>280</v>
      </c>
      <c r="AD8" s="413">
        <f t="shared" si="9"/>
        <v>266.64</v>
      </c>
      <c r="AE8" s="315" t="s">
        <v>272</v>
      </c>
      <c r="AF8" s="316">
        <f t="shared" si="1"/>
        <v>264</v>
      </c>
      <c r="AG8" s="315"/>
      <c r="AH8" s="315" t="s">
        <v>314</v>
      </c>
      <c r="AI8" s="315">
        <f t="shared" si="10"/>
        <v>13</v>
      </c>
      <c r="AJ8" s="315">
        <v>89</v>
      </c>
      <c r="AK8" s="315" t="s">
        <v>276</v>
      </c>
      <c r="AL8" s="315">
        <f t="shared" si="11"/>
        <v>794</v>
      </c>
      <c r="AM8" s="315" t="s">
        <v>277</v>
      </c>
      <c r="AN8" s="315">
        <f t="shared" si="12"/>
        <v>13</v>
      </c>
    </row>
    <row r="9" spans="1:40" outlineLevel="1">
      <c r="A9" s="315" t="s">
        <v>93</v>
      </c>
      <c r="B9" s="315" t="s">
        <v>160</v>
      </c>
      <c r="C9" s="162" t="s">
        <v>72</v>
      </c>
      <c r="D9" s="315" t="s">
        <v>96</v>
      </c>
      <c r="E9" s="316">
        <v>216</v>
      </c>
      <c r="F9" s="315">
        <v>24</v>
      </c>
      <c r="G9" s="315" t="s">
        <v>157</v>
      </c>
      <c r="H9" s="320" t="s">
        <v>164</v>
      </c>
      <c r="I9" s="320" t="s">
        <v>157</v>
      </c>
      <c r="J9" s="320" t="s">
        <v>158</v>
      </c>
      <c r="K9" s="315" t="s">
        <v>159</v>
      </c>
      <c r="L9" s="317">
        <v>45713</v>
      </c>
      <c r="M9" s="318">
        <v>2.4900000000000002</v>
      </c>
      <c r="N9" s="318">
        <v>0</v>
      </c>
      <c r="O9" s="319">
        <v>2.58</v>
      </c>
      <c r="P9" s="321">
        <f t="shared" si="0"/>
        <v>557.28</v>
      </c>
      <c r="Q9" s="323" t="s">
        <v>160</v>
      </c>
      <c r="R9" s="315" t="s">
        <v>161</v>
      </c>
      <c r="S9" s="315" t="s">
        <v>233</v>
      </c>
      <c r="T9" s="316">
        <f t="shared" si="2"/>
        <v>218</v>
      </c>
      <c r="U9" s="316">
        <f t="shared" si="3"/>
        <v>45.176470588235297</v>
      </c>
      <c r="V9" s="316">
        <f t="shared" si="4"/>
        <v>3.3538461538461539</v>
      </c>
      <c r="W9" s="315">
        <f t="shared" si="5"/>
        <v>69.12</v>
      </c>
      <c r="X9" s="315">
        <f t="shared" si="6"/>
        <v>4.3600000000000003</v>
      </c>
      <c r="Y9" s="315">
        <v>1</v>
      </c>
      <c r="Z9" s="413">
        <f t="shared" si="7"/>
        <v>218.16</v>
      </c>
      <c r="AA9" s="413">
        <f t="shared" si="8"/>
        <v>218.16</v>
      </c>
      <c r="AB9" s="315" t="s">
        <v>237</v>
      </c>
      <c r="AC9" s="315" t="s">
        <v>280</v>
      </c>
      <c r="AD9" s="413">
        <f t="shared" si="9"/>
        <v>218.16</v>
      </c>
      <c r="AE9" s="315" t="s">
        <v>273</v>
      </c>
      <c r="AF9" s="316">
        <f t="shared" si="1"/>
        <v>216</v>
      </c>
      <c r="AG9" s="315"/>
      <c r="AH9" s="315" t="s">
        <v>315</v>
      </c>
      <c r="AI9" s="315">
        <f t="shared" si="10"/>
        <v>11</v>
      </c>
      <c r="AJ9" s="315">
        <v>97</v>
      </c>
      <c r="AK9" s="315" t="s">
        <v>276</v>
      </c>
      <c r="AL9" s="315">
        <f t="shared" si="11"/>
        <v>650</v>
      </c>
      <c r="AM9" s="315" t="s">
        <v>277</v>
      </c>
      <c r="AN9" s="315">
        <f t="shared" si="12"/>
        <v>11</v>
      </c>
    </row>
    <row r="10" spans="1:40">
      <c r="A10" s="315"/>
      <c r="B10" s="405" t="s">
        <v>189</v>
      </c>
      <c r="C10" s="162"/>
      <c r="D10" s="315"/>
      <c r="E10" s="316">
        <f>SUBTOTAL(9,E4:E9)</f>
        <v>1800</v>
      </c>
      <c r="F10" s="315"/>
      <c r="G10" s="315"/>
      <c r="H10" s="320"/>
      <c r="I10" s="320"/>
      <c r="J10" s="320"/>
      <c r="K10" s="315"/>
      <c r="L10" s="317"/>
      <c r="M10" s="318"/>
      <c r="N10" s="318"/>
      <c r="O10" s="319"/>
      <c r="P10" s="321">
        <f>SUBTOTAL(9,P4:P9)</f>
        <v>4356</v>
      </c>
      <c r="Q10" s="323"/>
      <c r="R10" s="315"/>
      <c r="S10" s="315"/>
      <c r="T10" s="316">
        <f>SUBTOTAL(9,T4:T9)</f>
        <v>1812</v>
      </c>
      <c r="U10" s="316">
        <f>SUBTOTAL(9,U4:U9)</f>
        <v>376.47058823529409</v>
      </c>
      <c r="V10" s="316">
        <f>SUBTOTAL(9,V4:V9)</f>
        <v>27.876923076923074</v>
      </c>
      <c r="W10" s="315">
        <f>SUBTOTAL(9,W4:W9)</f>
        <v>576</v>
      </c>
      <c r="X10" s="315">
        <f>SUBTOTAL(9,X4:X9)</f>
        <v>36.24</v>
      </c>
      <c r="Y10" s="315"/>
      <c r="Z10" s="413"/>
      <c r="AA10" s="413"/>
      <c r="AB10" s="315"/>
      <c r="AC10" s="315"/>
      <c r="AD10" s="315"/>
      <c r="AE10" s="315"/>
      <c r="AF10" s="316"/>
      <c r="AG10" s="315"/>
      <c r="AH10" s="315"/>
      <c r="AI10" s="315"/>
      <c r="AJ10" s="315"/>
      <c r="AK10" s="315"/>
      <c r="AL10" s="315"/>
      <c r="AM10" s="315"/>
      <c r="AN10" s="315"/>
    </row>
    <row r="11" spans="1:40" outlineLevel="1">
      <c r="A11" s="324" t="s">
        <v>97</v>
      </c>
      <c r="B11" s="324" t="s">
        <v>165</v>
      </c>
      <c r="C11" s="162" t="s">
        <v>78</v>
      </c>
      <c r="D11" s="324" t="s">
        <v>91</v>
      </c>
      <c r="E11" s="325">
        <v>192</v>
      </c>
      <c r="F11" s="324">
        <v>24</v>
      </c>
      <c r="G11" s="324" t="s">
        <v>157</v>
      </c>
      <c r="H11" s="166" t="s">
        <v>92</v>
      </c>
      <c r="I11" s="166" t="s">
        <v>157</v>
      </c>
      <c r="J11" s="166" t="s">
        <v>158</v>
      </c>
      <c r="K11" s="324" t="s">
        <v>159</v>
      </c>
      <c r="L11" s="326">
        <v>45713</v>
      </c>
      <c r="M11" s="327">
        <v>2.06</v>
      </c>
      <c r="N11" s="327">
        <v>0</v>
      </c>
      <c r="O11" s="328">
        <v>2.06</v>
      </c>
      <c r="P11" s="329">
        <v>395.52</v>
      </c>
      <c r="Q11" s="330" t="s">
        <v>165</v>
      </c>
      <c r="R11" s="324" t="s">
        <v>161</v>
      </c>
      <c r="S11" s="324" t="s">
        <v>234</v>
      </c>
      <c r="T11" s="316">
        <f>+E11+2</f>
        <v>194</v>
      </c>
      <c r="U11" s="316">
        <f t="shared" si="3"/>
        <v>53.96078431372549</v>
      </c>
      <c r="V11" s="316">
        <f t="shared" si="4"/>
        <v>2.9846153846153842</v>
      </c>
      <c r="W11" s="315">
        <f>+E11*0.43</f>
        <v>82.56</v>
      </c>
      <c r="X11" s="315">
        <f>+T11*0.02</f>
        <v>3.88</v>
      </c>
      <c r="Y11" s="315">
        <v>1</v>
      </c>
      <c r="Z11" s="413">
        <f t="shared" ref="Z11:Z16" si="13">+E11*1.01</f>
        <v>193.92000000000002</v>
      </c>
      <c r="AA11" s="413">
        <f t="shared" ref="AA11:AA16" si="14">+E11*1.01</f>
        <v>193.92000000000002</v>
      </c>
      <c r="AB11" s="315" t="s">
        <v>237</v>
      </c>
      <c r="AC11" s="315" t="s">
        <v>280</v>
      </c>
      <c r="AD11" s="413">
        <f t="shared" si="9"/>
        <v>193.92000000000002</v>
      </c>
      <c r="AE11" s="315" t="s">
        <v>272</v>
      </c>
      <c r="AF11" s="316">
        <f t="shared" ref="AF11:AF16" si="15">1*E11</f>
        <v>192</v>
      </c>
      <c r="AG11" s="324"/>
      <c r="AH11" s="315" t="s">
        <v>314</v>
      </c>
      <c r="AI11" s="315">
        <f t="shared" si="10"/>
        <v>10</v>
      </c>
      <c r="AJ11" s="324">
        <v>89</v>
      </c>
      <c r="AK11" s="315" t="s">
        <v>276</v>
      </c>
      <c r="AL11" s="315">
        <f t="shared" si="11"/>
        <v>578</v>
      </c>
      <c r="AM11" s="315" t="s">
        <v>277</v>
      </c>
      <c r="AN11" s="315">
        <f t="shared" si="12"/>
        <v>10</v>
      </c>
    </row>
    <row r="12" spans="1:40" outlineLevel="1">
      <c r="A12" s="324" t="s">
        <v>98</v>
      </c>
      <c r="B12" s="324" t="s">
        <v>165</v>
      </c>
      <c r="C12" s="162" t="s">
        <v>78</v>
      </c>
      <c r="D12" s="324" t="s">
        <v>94</v>
      </c>
      <c r="E12" s="325">
        <v>240</v>
      </c>
      <c r="F12" s="324">
        <v>24</v>
      </c>
      <c r="G12" s="324" t="s">
        <v>157</v>
      </c>
      <c r="H12" s="166" t="s">
        <v>162</v>
      </c>
      <c r="I12" s="166" t="s">
        <v>157</v>
      </c>
      <c r="J12" s="166" t="s">
        <v>158</v>
      </c>
      <c r="K12" s="324" t="s">
        <v>159</v>
      </c>
      <c r="L12" s="326">
        <v>45713</v>
      </c>
      <c r="M12" s="327">
        <v>2.33</v>
      </c>
      <c r="N12" s="327">
        <v>0</v>
      </c>
      <c r="O12" s="328">
        <v>2.33</v>
      </c>
      <c r="P12" s="329">
        <v>559.20000000000005</v>
      </c>
      <c r="Q12" s="330" t="s">
        <v>165</v>
      </c>
      <c r="R12" s="324" t="s">
        <v>161</v>
      </c>
      <c r="S12" s="324" t="s">
        <v>234</v>
      </c>
      <c r="T12" s="316">
        <f t="shared" ref="T12:T16" si="16">+E12+2</f>
        <v>242</v>
      </c>
      <c r="U12" s="316">
        <f t="shared" si="3"/>
        <v>67.450980392156865</v>
      </c>
      <c r="V12" s="316">
        <f t="shared" si="4"/>
        <v>3.7230769230769227</v>
      </c>
      <c r="W12" s="315">
        <f t="shared" ref="W12:W16" si="17">+E12*0.43</f>
        <v>103.2</v>
      </c>
      <c r="X12" s="315">
        <f t="shared" ref="X12:X16" si="18">+T12*0.02</f>
        <v>4.84</v>
      </c>
      <c r="Y12" s="315">
        <v>1</v>
      </c>
      <c r="Z12" s="413">
        <f t="shared" si="13"/>
        <v>242.4</v>
      </c>
      <c r="AA12" s="413">
        <f t="shared" si="14"/>
        <v>242.4</v>
      </c>
      <c r="AB12" s="315" t="s">
        <v>237</v>
      </c>
      <c r="AC12" s="315" t="s">
        <v>280</v>
      </c>
      <c r="AD12" s="413">
        <f t="shared" si="9"/>
        <v>242.4</v>
      </c>
      <c r="AE12" s="315" t="s">
        <v>272</v>
      </c>
      <c r="AF12" s="316">
        <f t="shared" si="15"/>
        <v>240</v>
      </c>
      <c r="AG12" s="324"/>
      <c r="AH12" s="315" t="s">
        <v>314</v>
      </c>
      <c r="AI12" s="315">
        <f t="shared" si="10"/>
        <v>12</v>
      </c>
      <c r="AJ12" s="324">
        <v>89</v>
      </c>
      <c r="AK12" s="315" t="s">
        <v>276</v>
      </c>
      <c r="AL12" s="315">
        <f t="shared" si="11"/>
        <v>722</v>
      </c>
      <c r="AM12" s="315" t="s">
        <v>277</v>
      </c>
      <c r="AN12" s="315">
        <f t="shared" si="12"/>
        <v>12</v>
      </c>
    </row>
    <row r="13" spans="1:40" outlineLevel="1">
      <c r="A13" s="324" t="s">
        <v>98</v>
      </c>
      <c r="B13" s="324" t="s">
        <v>165</v>
      </c>
      <c r="C13" s="162" t="s">
        <v>78</v>
      </c>
      <c r="D13" s="324" t="s">
        <v>95</v>
      </c>
      <c r="E13" s="325">
        <v>288</v>
      </c>
      <c r="F13" s="324">
        <v>24</v>
      </c>
      <c r="G13" s="324" t="s">
        <v>157</v>
      </c>
      <c r="H13" s="166" t="s">
        <v>163</v>
      </c>
      <c r="I13" s="166" t="s">
        <v>157</v>
      </c>
      <c r="J13" s="166" t="s">
        <v>158</v>
      </c>
      <c r="K13" s="324" t="s">
        <v>159</v>
      </c>
      <c r="L13" s="326">
        <v>45713</v>
      </c>
      <c r="M13" s="327">
        <v>2.33</v>
      </c>
      <c r="N13" s="327">
        <v>0</v>
      </c>
      <c r="O13" s="328">
        <v>2.33</v>
      </c>
      <c r="P13" s="329">
        <v>671.04</v>
      </c>
      <c r="Q13" s="330" t="s">
        <v>165</v>
      </c>
      <c r="R13" s="324" t="s">
        <v>161</v>
      </c>
      <c r="S13" s="324" t="s">
        <v>234</v>
      </c>
      <c r="T13" s="316">
        <f t="shared" si="16"/>
        <v>290</v>
      </c>
      <c r="U13" s="316">
        <f t="shared" si="3"/>
        <v>80.941176470588232</v>
      </c>
      <c r="V13" s="316">
        <f t="shared" si="4"/>
        <v>4.4615384615384617</v>
      </c>
      <c r="W13" s="315">
        <f t="shared" si="17"/>
        <v>123.84</v>
      </c>
      <c r="X13" s="315">
        <f t="shared" si="18"/>
        <v>5.8</v>
      </c>
      <c r="Y13" s="315">
        <v>1</v>
      </c>
      <c r="Z13" s="413">
        <f t="shared" si="13"/>
        <v>290.88</v>
      </c>
      <c r="AA13" s="413">
        <f t="shared" si="14"/>
        <v>290.88</v>
      </c>
      <c r="AB13" s="315" t="s">
        <v>237</v>
      </c>
      <c r="AC13" s="315" t="s">
        <v>280</v>
      </c>
      <c r="AD13" s="413">
        <f t="shared" si="9"/>
        <v>290.88</v>
      </c>
      <c r="AE13" s="315" t="s">
        <v>272</v>
      </c>
      <c r="AF13" s="316">
        <f t="shared" si="15"/>
        <v>288</v>
      </c>
      <c r="AG13" s="324"/>
      <c r="AH13" s="315" t="s">
        <v>314</v>
      </c>
      <c r="AI13" s="315">
        <f t="shared" si="10"/>
        <v>14</v>
      </c>
      <c r="AJ13" s="324">
        <v>89</v>
      </c>
      <c r="AK13" s="315" t="s">
        <v>276</v>
      </c>
      <c r="AL13" s="315">
        <f t="shared" si="11"/>
        <v>866</v>
      </c>
      <c r="AM13" s="315" t="s">
        <v>277</v>
      </c>
      <c r="AN13" s="315">
        <f t="shared" si="12"/>
        <v>14</v>
      </c>
    </row>
    <row r="14" spans="1:40" outlineLevel="1">
      <c r="A14" s="324" t="s">
        <v>98</v>
      </c>
      <c r="B14" s="324" t="s">
        <v>165</v>
      </c>
      <c r="C14" s="162" t="s">
        <v>78</v>
      </c>
      <c r="D14" s="324" t="s">
        <v>96</v>
      </c>
      <c r="E14" s="325">
        <v>408</v>
      </c>
      <c r="F14" s="324">
        <v>24</v>
      </c>
      <c r="G14" s="324" t="s">
        <v>157</v>
      </c>
      <c r="H14" s="166" t="s">
        <v>164</v>
      </c>
      <c r="I14" s="166" t="s">
        <v>157</v>
      </c>
      <c r="J14" s="166" t="s">
        <v>158</v>
      </c>
      <c r="K14" s="324" t="s">
        <v>159</v>
      </c>
      <c r="L14" s="326">
        <v>45713</v>
      </c>
      <c r="M14" s="327">
        <v>2.33</v>
      </c>
      <c r="N14" s="327">
        <v>0</v>
      </c>
      <c r="O14" s="328">
        <v>2.33</v>
      </c>
      <c r="P14" s="329">
        <v>950.64</v>
      </c>
      <c r="Q14" s="330" t="s">
        <v>165</v>
      </c>
      <c r="R14" s="324" t="s">
        <v>161</v>
      </c>
      <c r="S14" s="324" t="s">
        <v>234</v>
      </c>
      <c r="T14" s="316">
        <f t="shared" si="16"/>
        <v>410</v>
      </c>
      <c r="U14" s="316">
        <f t="shared" si="3"/>
        <v>114.66666666666666</v>
      </c>
      <c r="V14" s="316">
        <f t="shared" si="4"/>
        <v>6.3076923076923066</v>
      </c>
      <c r="W14" s="315">
        <f t="shared" si="17"/>
        <v>175.44</v>
      </c>
      <c r="X14" s="315">
        <f t="shared" si="18"/>
        <v>8.1999999999999993</v>
      </c>
      <c r="Y14" s="315">
        <v>1</v>
      </c>
      <c r="Z14" s="413">
        <f t="shared" si="13"/>
        <v>412.08</v>
      </c>
      <c r="AA14" s="413">
        <f t="shared" si="14"/>
        <v>412.08</v>
      </c>
      <c r="AB14" s="315" t="s">
        <v>237</v>
      </c>
      <c r="AC14" s="315" t="s">
        <v>280</v>
      </c>
      <c r="AD14" s="413">
        <f t="shared" si="9"/>
        <v>412.08</v>
      </c>
      <c r="AE14" s="315" t="s">
        <v>273</v>
      </c>
      <c r="AF14" s="316">
        <f t="shared" si="15"/>
        <v>408</v>
      </c>
      <c r="AG14" s="324"/>
      <c r="AH14" s="315" t="s">
        <v>315</v>
      </c>
      <c r="AI14" s="315">
        <f t="shared" si="10"/>
        <v>19</v>
      </c>
      <c r="AJ14" s="324">
        <v>97</v>
      </c>
      <c r="AK14" s="315" t="s">
        <v>276</v>
      </c>
      <c r="AL14" s="315">
        <f t="shared" si="11"/>
        <v>1226</v>
      </c>
      <c r="AM14" s="315" t="s">
        <v>277</v>
      </c>
      <c r="AN14" s="315">
        <f t="shared" si="12"/>
        <v>19</v>
      </c>
    </row>
    <row r="15" spans="1:40" outlineLevel="1">
      <c r="A15" s="324" t="s">
        <v>99</v>
      </c>
      <c r="B15" s="324" t="s">
        <v>165</v>
      </c>
      <c r="C15" s="162" t="s">
        <v>78</v>
      </c>
      <c r="D15" s="324" t="s">
        <v>100</v>
      </c>
      <c r="E15" s="325">
        <v>384</v>
      </c>
      <c r="F15" s="324">
        <v>24</v>
      </c>
      <c r="G15" s="324" t="s">
        <v>157</v>
      </c>
      <c r="H15" s="166" t="s">
        <v>166</v>
      </c>
      <c r="I15" s="166" t="s">
        <v>157</v>
      </c>
      <c r="J15" s="166" t="s">
        <v>158</v>
      </c>
      <c r="K15" s="324" t="s">
        <v>159</v>
      </c>
      <c r="L15" s="326">
        <v>45713</v>
      </c>
      <c r="M15" s="327">
        <v>2.56</v>
      </c>
      <c r="N15" s="327">
        <v>0</v>
      </c>
      <c r="O15" s="328">
        <v>2.56</v>
      </c>
      <c r="P15" s="329">
        <v>983.04</v>
      </c>
      <c r="Q15" s="330" t="s">
        <v>165</v>
      </c>
      <c r="R15" s="324" t="s">
        <v>161</v>
      </c>
      <c r="S15" s="324" t="s">
        <v>234</v>
      </c>
      <c r="T15" s="316">
        <f t="shared" si="16"/>
        <v>386</v>
      </c>
      <c r="U15" s="316">
        <f t="shared" si="3"/>
        <v>107.92156862745098</v>
      </c>
      <c r="V15" s="316">
        <f t="shared" si="4"/>
        <v>5.9384615384615378</v>
      </c>
      <c r="W15" s="315">
        <f t="shared" si="17"/>
        <v>165.12</v>
      </c>
      <c r="X15" s="315">
        <f t="shared" si="18"/>
        <v>7.72</v>
      </c>
      <c r="Y15" s="315">
        <v>1</v>
      </c>
      <c r="Z15" s="413">
        <f t="shared" si="13"/>
        <v>387.84000000000003</v>
      </c>
      <c r="AA15" s="413">
        <f t="shared" si="14"/>
        <v>387.84000000000003</v>
      </c>
      <c r="AB15" s="324" t="s">
        <v>238</v>
      </c>
      <c r="AC15" s="315" t="s">
        <v>280</v>
      </c>
      <c r="AD15" s="413">
        <f t="shared" si="9"/>
        <v>387.84000000000003</v>
      </c>
      <c r="AE15" s="315" t="s">
        <v>273</v>
      </c>
      <c r="AF15" s="316">
        <f t="shared" si="15"/>
        <v>384</v>
      </c>
      <c r="AG15" s="324"/>
      <c r="AH15" s="315" t="s">
        <v>315</v>
      </c>
      <c r="AI15" s="315">
        <f t="shared" si="10"/>
        <v>18</v>
      </c>
      <c r="AJ15" s="324">
        <v>97</v>
      </c>
      <c r="AK15" s="315" t="s">
        <v>276</v>
      </c>
      <c r="AL15" s="315">
        <f t="shared" si="11"/>
        <v>1154</v>
      </c>
      <c r="AM15" s="315" t="s">
        <v>277</v>
      </c>
      <c r="AN15" s="315">
        <f t="shared" si="12"/>
        <v>18</v>
      </c>
    </row>
    <row r="16" spans="1:40" outlineLevel="1">
      <c r="A16" s="324" t="s">
        <v>99</v>
      </c>
      <c r="B16" s="324" t="s">
        <v>165</v>
      </c>
      <c r="C16" s="162" t="s">
        <v>78</v>
      </c>
      <c r="D16" s="324" t="s">
        <v>101</v>
      </c>
      <c r="E16" s="325">
        <v>288</v>
      </c>
      <c r="F16" s="324">
        <v>24</v>
      </c>
      <c r="G16" s="324" t="s">
        <v>157</v>
      </c>
      <c r="H16" s="166" t="s">
        <v>167</v>
      </c>
      <c r="I16" s="166" t="s">
        <v>157</v>
      </c>
      <c r="J16" s="166" t="s">
        <v>158</v>
      </c>
      <c r="K16" s="324" t="s">
        <v>159</v>
      </c>
      <c r="L16" s="326">
        <v>45713</v>
      </c>
      <c r="M16" s="327">
        <v>2.56</v>
      </c>
      <c r="N16" s="327">
        <v>0</v>
      </c>
      <c r="O16" s="328">
        <v>2.56</v>
      </c>
      <c r="P16" s="329">
        <v>737.28</v>
      </c>
      <c r="Q16" s="330" t="s">
        <v>165</v>
      </c>
      <c r="R16" s="324" t="s">
        <v>161</v>
      </c>
      <c r="S16" s="324" t="s">
        <v>234</v>
      </c>
      <c r="T16" s="316">
        <f t="shared" si="16"/>
        <v>290</v>
      </c>
      <c r="U16" s="316">
        <f t="shared" si="3"/>
        <v>80.941176470588232</v>
      </c>
      <c r="V16" s="316">
        <f t="shared" si="4"/>
        <v>4.4615384615384617</v>
      </c>
      <c r="W16" s="315">
        <f t="shared" si="17"/>
        <v>123.84</v>
      </c>
      <c r="X16" s="315">
        <f t="shared" si="18"/>
        <v>5.8</v>
      </c>
      <c r="Y16" s="315">
        <v>1</v>
      </c>
      <c r="Z16" s="413">
        <f t="shared" si="13"/>
        <v>290.88</v>
      </c>
      <c r="AA16" s="413">
        <f t="shared" si="14"/>
        <v>290.88</v>
      </c>
      <c r="AB16" s="324" t="s">
        <v>238</v>
      </c>
      <c r="AC16" s="315" t="s">
        <v>280</v>
      </c>
      <c r="AD16" s="413">
        <f t="shared" si="9"/>
        <v>290.88</v>
      </c>
      <c r="AE16" s="315" t="s">
        <v>273</v>
      </c>
      <c r="AF16" s="316">
        <f t="shared" si="15"/>
        <v>288</v>
      </c>
      <c r="AG16" s="324"/>
      <c r="AH16" s="315" t="s">
        <v>315</v>
      </c>
      <c r="AI16" s="315">
        <f t="shared" si="10"/>
        <v>14</v>
      </c>
      <c r="AJ16" s="324">
        <v>97</v>
      </c>
      <c r="AK16" s="315" t="s">
        <v>276</v>
      </c>
      <c r="AL16" s="315">
        <f t="shared" si="11"/>
        <v>866</v>
      </c>
      <c r="AM16" s="315" t="s">
        <v>277</v>
      </c>
      <c r="AN16" s="315">
        <f t="shared" si="12"/>
        <v>14</v>
      </c>
    </row>
    <row r="17" spans="1:40">
      <c r="A17" s="324"/>
      <c r="B17" s="393" t="s">
        <v>190</v>
      </c>
      <c r="C17" s="162"/>
      <c r="D17" s="324"/>
      <c r="E17" s="325">
        <f>SUBTOTAL(9,E11:E16)</f>
        <v>1800</v>
      </c>
      <c r="F17" s="324"/>
      <c r="G17" s="324"/>
      <c r="H17" s="166"/>
      <c r="I17" s="166"/>
      <c r="J17" s="166"/>
      <c r="K17" s="324"/>
      <c r="L17" s="326"/>
      <c r="M17" s="327"/>
      <c r="N17" s="327"/>
      <c r="O17" s="328"/>
      <c r="P17" s="329">
        <f>SUBTOTAL(9,P11:P16)</f>
        <v>4296.72</v>
      </c>
      <c r="Q17" s="330"/>
      <c r="R17" s="324"/>
      <c r="S17" s="324"/>
      <c r="T17" s="316">
        <f>SUBTOTAL(9,T11:T16)</f>
        <v>1812</v>
      </c>
      <c r="U17" s="316">
        <f>SUBTOTAL(9,U11:U16)</f>
        <v>505.88235294117646</v>
      </c>
      <c r="V17" s="316">
        <f>SUBTOTAL(9,V11:V16)</f>
        <v>27.876923076923077</v>
      </c>
      <c r="W17" s="315">
        <f>SUBTOTAL(9,W11:W16)</f>
        <v>774.00000000000011</v>
      </c>
      <c r="X17" s="315">
        <f>SUBTOTAL(9,X11:X16)</f>
        <v>36.239999999999995</v>
      </c>
      <c r="Y17" s="315"/>
      <c r="Z17" s="413"/>
      <c r="AA17" s="413"/>
      <c r="AB17" s="324"/>
      <c r="AC17" s="324"/>
      <c r="AD17" s="324"/>
      <c r="AE17" s="324"/>
      <c r="AF17" s="316"/>
      <c r="AG17" s="324"/>
      <c r="AH17" s="315"/>
      <c r="AI17" s="315"/>
      <c r="AJ17" s="324"/>
      <c r="AK17" s="324"/>
      <c r="AL17" s="324"/>
      <c r="AM17" s="324"/>
      <c r="AN17" s="324"/>
    </row>
    <row r="18" spans="1:40" outlineLevel="1">
      <c r="A18" s="324" t="s">
        <v>102</v>
      </c>
      <c r="B18" s="324" t="s">
        <v>168</v>
      </c>
      <c r="C18" s="162" t="s">
        <v>79</v>
      </c>
      <c r="D18" s="324" t="s">
        <v>87</v>
      </c>
      <c r="E18" s="325">
        <v>240</v>
      </c>
      <c r="F18" s="324">
        <v>24</v>
      </c>
      <c r="G18" s="324" t="s">
        <v>157</v>
      </c>
      <c r="H18" s="166" t="s">
        <v>88</v>
      </c>
      <c r="I18" s="166" t="s">
        <v>157</v>
      </c>
      <c r="J18" s="166" t="s">
        <v>158</v>
      </c>
      <c r="K18" s="324" t="s">
        <v>159</v>
      </c>
      <c r="L18" s="326">
        <v>45713</v>
      </c>
      <c r="M18" s="327">
        <v>2.27</v>
      </c>
      <c r="N18" s="327">
        <v>0</v>
      </c>
      <c r="O18" s="328">
        <v>2.27</v>
      </c>
      <c r="P18" s="329">
        <v>544.79999999999995</v>
      </c>
      <c r="Q18" s="330" t="s">
        <v>168</v>
      </c>
      <c r="R18" s="324" t="s">
        <v>161</v>
      </c>
      <c r="S18" s="324" t="s">
        <v>220</v>
      </c>
      <c r="T18" s="316">
        <f>+E18+2</f>
        <v>242</v>
      </c>
      <c r="U18" s="316">
        <f t="shared" si="3"/>
        <v>50.196078431372548</v>
      </c>
      <c r="V18" s="316">
        <f t="shared" si="4"/>
        <v>3.7230769230769227</v>
      </c>
      <c r="W18" s="315">
        <f t="shared" ref="W18" si="19">+E18*0.32</f>
        <v>76.8</v>
      </c>
      <c r="X18" s="315">
        <f t="shared" ref="X18" si="20">+T18*0.02</f>
        <v>4.84</v>
      </c>
      <c r="Y18" s="315">
        <v>1</v>
      </c>
      <c r="Z18" s="413">
        <f t="shared" ref="Z18:Z23" si="21">+E18*1.01</f>
        <v>242.4</v>
      </c>
      <c r="AA18" s="413">
        <f t="shared" ref="AA18:AA23" si="22">+E18*1.01</f>
        <v>242.4</v>
      </c>
      <c r="AB18" s="315" t="s">
        <v>237</v>
      </c>
      <c r="AC18" s="315" t="s">
        <v>280</v>
      </c>
      <c r="AD18" s="413">
        <f t="shared" si="9"/>
        <v>242.4</v>
      </c>
      <c r="AE18" s="315" t="s">
        <v>272</v>
      </c>
      <c r="AF18" s="316">
        <f t="shared" ref="AF18:AF23" si="23">1*E18</f>
        <v>240</v>
      </c>
      <c r="AG18" s="324"/>
      <c r="AH18" s="315" t="s">
        <v>314</v>
      </c>
      <c r="AI18" s="315">
        <f t="shared" si="10"/>
        <v>12</v>
      </c>
      <c r="AJ18" s="315">
        <v>89</v>
      </c>
      <c r="AK18" s="315" t="s">
        <v>276</v>
      </c>
      <c r="AL18" s="315">
        <f t="shared" si="11"/>
        <v>722</v>
      </c>
      <c r="AM18" s="315" t="s">
        <v>277</v>
      </c>
      <c r="AN18" s="315">
        <f t="shared" si="12"/>
        <v>12</v>
      </c>
    </row>
    <row r="19" spans="1:40" outlineLevel="1">
      <c r="A19" s="324" t="s">
        <v>102</v>
      </c>
      <c r="B19" s="324" t="s">
        <v>168</v>
      </c>
      <c r="C19" s="162" t="s">
        <v>79</v>
      </c>
      <c r="D19" s="324" t="s">
        <v>89</v>
      </c>
      <c r="E19" s="325">
        <v>336</v>
      </c>
      <c r="F19" s="324">
        <v>24</v>
      </c>
      <c r="G19" s="324" t="s">
        <v>157</v>
      </c>
      <c r="H19" s="166" t="s">
        <v>90</v>
      </c>
      <c r="I19" s="166" t="s">
        <v>157</v>
      </c>
      <c r="J19" s="166" t="s">
        <v>158</v>
      </c>
      <c r="K19" s="324" t="s">
        <v>159</v>
      </c>
      <c r="L19" s="326">
        <v>45713</v>
      </c>
      <c r="M19" s="327">
        <v>2.27</v>
      </c>
      <c r="N19" s="327">
        <v>0</v>
      </c>
      <c r="O19" s="328">
        <v>2.27</v>
      </c>
      <c r="P19" s="329">
        <v>762.72</v>
      </c>
      <c r="Q19" s="330" t="s">
        <v>168</v>
      </c>
      <c r="R19" s="324" t="s">
        <v>161</v>
      </c>
      <c r="S19" s="324" t="s">
        <v>220</v>
      </c>
      <c r="T19" s="316">
        <f t="shared" ref="T19:T23" si="24">+E19+2</f>
        <v>338</v>
      </c>
      <c r="U19" s="316">
        <f t="shared" si="3"/>
        <v>70.274509803921561</v>
      </c>
      <c r="V19" s="316">
        <f t="shared" si="4"/>
        <v>5.1999999999999993</v>
      </c>
      <c r="W19" s="315">
        <f t="shared" ref="W19:W23" si="25">+E19*0.32</f>
        <v>107.52</v>
      </c>
      <c r="X19" s="315">
        <f t="shared" ref="X19:X23" si="26">+T19*0.02</f>
        <v>6.76</v>
      </c>
      <c r="Y19" s="315">
        <v>1</v>
      </c>
      <c r="Z19" s="413">
        <f t="shared" si="21"/>
        <v>339.36</v>
      </c>
      <c r="AA19" s="413">
        <f t="shared" si="22"/>
        <v>339.36</v>
      </c>
      <c r="AB19" s="315" t="s">
        <v>237</v>
      </c>
      <c r="AC19" s="315" t="s">
        <v>280</v>
      </c>
      <c r="AD19" s="413">
        <f t="shared" si="9"/>
        <v>339.36</v>
      </c>
      <c r="AE19" s="315" t="s">
        <v>272</v>
      </c>
      <c r="AF19" s="316">
        <f t="shared" si="23"/>
        <v>336</v>
      </c>
      <c r="AG19" s="324"/>
      <c r="AH19" s="315" t="s">
        <v>314</v>
      </c>
      <c r="AI19" s="315">
        <f t="shared" si="10"/>
        <v>16</v>
      </c>
      <c r="AJ19" s="315">
        <v>89</v>
      </c>
      <c r="AK19" s="315" t="s">
        <v>276</v>
      </c>
      <c r="AL19" s="315">
        <f t="shared" si="11"/>
        <v>1010</v>
      </c>
      <c r="AM19" s="315" t="s">
        <v>277</v>
      </c>
      <c r="AN19" s="315">
        <f t="shared" si="12"/>
        <v>16</v>
      </c>
    </row>
    <row r="20" spans="1:40" outlineLevel="1">
      <c r="A20" s="324" t="s">
        <v>102</v>
      </c>
      <c r="B20" s="324" t="s">
        <v>168</v>
      </c>
      <c r="C20" s="162" t="s">
        <v>79</v>
      </c>
      <c r="D20" s="324" t="s">
        <v>91</v>
      </c>
      <c r="E20" s="325">
        <v>384</v>
      </c>
      <c r="F20" s="324">
        <v>24</v>
      </c>
      <c r="G20" s="324" t="s">
        <v>157</v>
      </c>
      <c r="H20" s="166" t="s">
        <v>92</v>
      </c>
      <c r="I20" s="166" t="s">
        <v>157</v>
      </c>
      <c r="J20" s="166" t="s">
        <v>158</v>
      </c>
      <c r="K20" s="324" t="s">
        <v>159</v>
      </c>
      <c r="L20" s="326">
        <v>45713</v>
      </c>
      <c r="M20" s="327">
        <v>2.27</v>
      </c>
      <c r="N20" s="327">
        <v>0</v>
      </c>
      <c r="O20" s="328">
        <v>2.27</v>
      </c>
      <c r="P20" s="329">
        <v>871.68000000000006</v>
      </c>
      <c r="Q20" s="330" t="s">
        <v>168</v>
      </c>
      <c r="R20" s="324" t="s">
        <v>161</v>
      </c>
      <c r="S20" s="324" t="s">
        <v>220</v>
      </c>
      <c r="T20" s="316">
        <f t="shared" si="24"/>
        <v>386</v>
      </c>
      <c r="U20" s="316">
        <f t="shared" si="3"/>
        <v>80.313725490196077</v>
      </c>
      <c r="V20" s="316">
        <f t="shared" si="4"/>
        <v>5.9384615384615378</v>
      </c>
      <c r="W20" s="315">
        <f t="shared" si="25"/>
        <v>122.88</v>
      </c>
      <c r="X20" s="315">
        <f t="shared" si="26"/>
        <v>7.72</v>
      </c>
      <c r="Y20" s="315">
        <v>1</v>
      </c>
      <c r="Z20" s="413">
        <f t="shared" si="21"/>
        <v>387.84000000000003</v>
      </c>
      <c r="AA20" s="413">
        <f t="shared" si="22"/>
        <v>387.84000000000003</v>
      </c>
      <c r="AB20" s="315" t="s">
        <v>237</v>
      </c>
      <c r="AC20" s="315" t="s">
        <v>280</v>
      </c>
      <c r="AD20" s="413">
        <f t="shared" si="9"/>
        <v>387.84000000000003</v>
      </c>
      <c r="AE20" s="315" t="s">
        <v>272</v>
      </c>
      <c r="AF20" s="316">
        <f t="shared" si="23"/>
        <v>384</v>
      </c>
      <c r="AG20" s="324"/>
      <c r="AH20" s="315" t="s">
        <v>314</v>
      </c>
      <c r="AI20" s="315">
        <f t="shared" si="10"/>
        <v>18</v>
      </c>
      <c r="AJ20" s="315">
        <v>89</v>
      </c>
      <c r="AK20" s="315" t="s">
        <v>276</v>
      </c>
      <c r="AL20" s="315">
        <f t="shared" si="11"/>
        <v>1154</v>
      </c>
      <c r="AM20" s="315" t="s">
        <v>277</v>
      </c>
      <c r="AN20" s="315">
        <f t="shared" si="12"/>
        <v>18</v>
      </c>
    </row>
    <row r="21" spans="1:40" outlineLevel="1">
      <c r="A21" s="324" t="s">
        <v>103</v>
      </c>
      <c r="B21" s="324" t="s">
        <v>168</v>
      </c>
      <c r="C21" s="162" t="s">
        <v>79</v>
      </c>
      <c r="D21" s="324" t="s">
        <v>94</v>
      </c>
      <c r="E21" s="325">
        <v>360</v>
      </c>
      <c r="F21" s="324">
        <v>24</v>
      </c>
      <c r="G21" s="324" t="s">
        <v>157</v>
      </c>
      <c r="H21" s="166" t="s">
        <v>162</v>
      </c>
      <c r="I21" s="166" t="s">
        <v>157</v>
      </c>
      <c r="J21" s="166" t="s">
        <v>158</v>
      </c>
      <c r="K21" s="324" t="s">
        <v>159</v>
      </c>
      <c r="L21" s="326">
        <v>45713</v>
      </c>
      <c r="M21" s="327">
        <v>2.58</v>
      </c>
      <c r="N21" s="327">
        <v>0</v>
      </c>
      <c r="O21" s="328">
        <v>2.58</v>
      </c>
      <c r="P21" s="329">
        <v>928.80000000000007</v>
      </c>
      <c r="Q21" s="330" t="s">
        <v>168</v>
      </c>
      <c r="R21" s="324" t="s">
        <v>161</v>
      </c>
      <c r="S21" s="324" t="s">
        <v>220</v>
      </c>
      <c r="T21" s="316">
        <f t="shared" si="24"/>
        <v>362</v>
      </c>
      <c r="U21" s="316">
        <f t="shared" si="3"/>
        <v>75.294117647058826</v>
      </c>
      <c r="V21" s="316">
        <f t="shared" si="4"/>
        <v>5.569230769230769</v>
      </c>
      <c r="W21" s="315">
        <f t="shared" si="25"/>
        <v>115.2</v>
      </c>
      <c r="X21" s="315">
        <f t="shared" si="26"/>
        <v>7.24</v>
      </c>
      <c r="Y21" s="315">
        <v>1</v>
      </c>
      <c r="Z21" s="413">
        <f t="shared" si="21"/>
        <v>363.6</v>
      </c>
      <c r="AA21" s="413">
        <f t="shared" si="22"/>
        <v>363.6</v>
      </c>
      <c r="AB21" s="315" t="s">
        <v>237</v>
      </c>
      <c r="AC21" s="315" t="s">
        <v>280</v>
      </c>
      <c r="AD21" s="413">
        <f t="shared" si="9"/>
        <v>363.6</v>
      </c>
      <c r="AE21" s="315" t="s">
        <v>272</v>
      </c>
      <c r="AF21" s="316">
        <f t="shared" si="23"/>
        <v>360</v>
      </c>
      <c r="AG21" s="324"/>
      <c r="AH21" s="315" t="s">
        <v>314</v>
      </c>
      <c r="AI21" s="315">
        <f t="shared" si="10"/>
        <v>17</v>
      </c>
      <c r="AJ21" s="315">
        <v>89</v>
      </c>
      <c r="AK21" s="315" t="s">
        <v>276</v>
      </c>
      <c r="AL21" s="315">
        <f t="shared" si="11"/>
        <v>1082</v>
      </c>
      <c r="AM21" s="315" t="s">
        <v>277</v>
      </c>
      <c r="AN21" s="315">
        <f t="shared" si="12"/>
        <v>17</v>
      </c>
    </row>
    <row r="22" spans="1:40" outlineLevel="1">
      <c r="A22" s="324" t="s">
        <v>103</v>
      </c>
      <c r="B22" s="324" t="s">
        <v>168</v>
      </c>
      <c r="C22" s="162" t="s">
        <v>79</v>
      </c>
      <c r="D22" s="324" t="s">
        <v>95</v>
      </c>
      <c r="E22" s="325">
        <v>264</v>
      </c>
      <c r="F22" s="324">
        <v>24</v>
      </c>
      <c r="G22" s="324" t="s">
        <v>157</v>
      </c>
      <c r="H22" s="166" t="s">
        <v>163</v>
      </c>
      <c r="I22" s="166" t="s">
        <v>157</v>
      </c>
      <c r="J22" s="166" t="s">
        <v>158</v>
      </c>
      <c r="K22" s="324" t="s">
        <v>159</v>
      </c>
      <c r="L22" s="326">
        <v>45713</v>
      </c>
      <c r="M22" s="327">
        <v>2.58</v>
      </c>
      <c r="N22" s="327">
        <v>0</v>
      </c>
      <c r="O22" s="328">
        <v>2.58</v>
      </c>
      <c r="P22" s="329">
        <v>681.12</v>
      </c>
      <c r="Q22" s="330" t="s">
        <v>168</v>
      </c>
      <c r="R22" s="324" t="s">
        <v>161</v>
      </c>
      <c r="S22" s="324" t="s">
        <v>220</v>
      </c>
      <c r="T22" s="316">
        <f t="shared" si="24"/>
        <v>266</v>
      </c>
      <c r="U22" s="316">
        <f t="shared" si="3"/>
        <v>55.215686274509807</v>
      </c>
      <c r="V22" s="316">
        <f t="shared" si="4"/>
        <v>4.092307692307692</v>
      </c>
      <c r="W22" s="315">
        <f t="shared" si="25"/>
        <v>84.48</v>
      </c>
      <c r="X22" s="315">
        <f t="shared" si="26"/>
        <v>5.32</v>
      </c>
      <c r="Y22" s="315">
        <v>1</v>
      </c>
      <c r="Z22" s="413">
        <f t="shared" si="21"/>
        <v>266.64</v>
      </c>
      <c r="AA22" s="413">
        <f t="shared" si="22"/>
        <v>266.64</v>
      </c>
      <c r="AB22" s="315" t="s">
        <v>237</v>
      </c>
      <c r="AC22" s="315" t="s">
        <v>280</v>
      </c>
      <c r="AD22" s="413">
        <f t="shared" si="9"/>
        <v>266.64</v>
      </c>
      <c r="AE22" s="315" t="s">
        <v>272</v>
      </c>
      <c r="AF22" s="316">
        <f t="shared" si="23"/>
        <v>264</v>
      </c>
      <c r="AG22" s="324"/>
      <c r="AH22" s="315" t="s">
        <v>314</v>
      </c>
      <c r="AI22" s="315">
        <f t="shared" si="10"/>
        <v>13</v>
      </c>
      <c r="AJ22" s="315">
        <v>89</v>
      </c>
      <c r="AK22" s="315" t="s">
        <v>276</v>
      </c>
      <c r="AL22" s="315">
        <f t="shared" si="11"/>
        <v>794</v>
      </c>
      <c r="AM22" s="315" t="s">
        <v>277</v>
      </c>
      <c r="AN22" s="315">
        <f t="shared" si="12"/>
        <v>13</v>
      </c>
    </row>
    <row r="23" spans="1:40" outlineLevel="1">
      <c r="A23" s="324" t="s">
        <v>103</v>
      </c>
      <c r="B23" s="324" t="s">
        <v>168</v>
      </c>
      <c r="C23" s="162" t="s">
        <v>79</v>
      </c>
      <c r="D23" s="324" t="s">
        <v>96</v>
      </c>
      <c r="E23" s="325">
        <v>216</v>
      </c>
      <c r="F23" s="324">
        <v>24</v>
      </c>
      <c r="G23" s="324" t="s">
        <v>157</v>
      </c>
      <c r="H23" s="166" t="s">
        <v>164</v>
      </c>
      <c r="I23" s="166" t="s">
        <v>157</v>
      </c>
      <c r="J23" s="166" t="s">
        <v>158</v>
      </c>
      <c r="K23" s="324" t="s">
        <v>159</v>
      </c>
      <c r="L23" s="326">
        <v>45713</v>
      </c>
      <c r="M23" s="327">
        <v>2.58</v>
      </c>
      <c r="N23" s="327">
        <v>0</v>
      </c>
      <c r="O23" s="328">
        <v>2.58</v>
      </c>
      <c r="P23" s="329">
        <v>557.28</v>
      </c>
      <c r="Q23" s="330" t="s">
        <v>168</v>
      </c>
      <c r="R23" s="324" t="s">
        <v>161</v>
      </c>
      <c r="S23" s="324" t="s">
        <v>220</v>
      </c>
      <c r="T23" s="316">
        <f t="shared" si="24"/>
        <v>218</v>
      </c>
      <c r="U23" s="316">
        <f t="shared" si="3"/>
        <v>45.176470588235297</v>
      </c>
      <c r="V23" s="316">
        <f t="shared" si="4"/>
        <v>3.3538461538461539</v>
      </c>
      <c r="W23" s="315">
        <f t="shared" si="25"/>
        <v>69.12</v>
      </c>
      <c r="X23" s="315">
        <f t="shared" si="26"/>
        <v>4.3600000000000003</v>
      </c>
      <c r="Y23" s="315">
        <v>1</v>
      </c>
      <c r="Z23" s="413">
        <f t="shared" si="21"/>
        <v>218.16</v>
      </c>
      <c r="AA23" s="413">
        <f t="shared" si="22"/>
        <v>218.16</v>
      </c>
      <c r="AB23" s="315" t="s">
        <v>237</v>
      </c>
      <c r="AC23" s="315" t="s">
        <v>280</v>
      </c>
      <c r="AD23" s="413">
        <f t="shared" si="9"/>
        <v>218.16</v>
      </c>
      <c r="AE23" s="315" t="s">
        <v>273</v>
      </c>
      <c r="AF23" s="316">
        <f t="shared" si="23"/>
        <v>216</v>
      </c>
      <c r="AG23" s="324"/>
      <c r="AH23" s="315" t="s">
        <v>315</v>
      </c>
      <c r="AI23" s="315">
        <f t="shared" si="10"/>
        <v>11</v>
      </c>
      <c r="AJ23" s="315">
        <v>97</v>
      </c>
      <c r="AK23" s="315" t="s">
        <v>276</v>
      </c>
      <c r="AL23" s="315">
        <f t="shared" si="11"/>
        <v>650</v>
      </c>
      <c r="AM23" s="315" t="s">
        <v>277</v>
      </c>
      <c r="AN23" s="315">
        <f t="shared" si="12"/>
        <v>11</v>
      </c>
    </row>
    <row r="24" spans="1:40">
      <c r="A24" s="324"/>
      <c r="B24" s="393" t="s">
        <v>191</v>
      </c>
      <c r="C24" s="162"/>
      <c r="D24" s="324"/>
      <c r="E24" s="325">
        <f>SUBTOTAL(9,E18:E23)</f>
        <v>1800</v>
      </c>
      <c r="F24" s="324"/>
      <c r="G24" s="324"/>
      <c r="H24" s="166"/>
      <c r="I24" s="166"/>
      <c r="J24" s="166"/>
      <c r="K24" s="324"/>
      <c r="L24" s="326"/>
      <c r="M24" s="327"/>
      <c r="N24" s="327"/>
      <c r="O24" s="328"/>
      <c r="P24" s="329">
        <f>SUBTOTAL(9,P18:P23)</f>
        <v>4346.3999999999996</v>
      </c>
      <c r="Q24" s="330"/>
      <c r="R24" s="324"/>
      <c r="S24" s="324"/>
      <c r="T24" s="316">
        <f>SUBTOTAL(9,T18:T23)</f>
        <v>1812</v>
      </c>
      <c r="U24" s="316">
        <f>SUBTOTAL(9,U18:U23)</f>
        <v>376.47058823529409</v>
      </c>
      <c r="V24" s="316">
        <f>SUBTOTAL(9,V18:V23)</f>
        <v>27.876923076923074</v>
      </c>
      <c r="W24" s="315">
        <f>SUBTOTAL(9,W18:W23)</f>
        <v>576</v>
      </c>
      <c r="X24" s="315">
        <f>SUBTOTAL(9,X18:X23)</f>
        <v>36.24</v>
      </c>
      <c r="Y24" s="315"/>
      <c r="Z24" s="413"/>
      <c r="AA24" s="413"/>
      <c r="AB24" s="324"/>
      <c r="AC24" s="324"/>
      <c r="AD24" s="324"/>
      <c r="AE24" s="324"/>
      <c r="AF24" s="316"/>
      <c r="AG24" s="324"/>
      <c r="AH24" s="315"/>
      <c r="AI24" s="315"/>
      <c r="AJ24" s="324"/>
      <c r="AK24" s="324"/>
      <c r="AL24" s="324"/>
      <c r="AM24" s="324"/>
      <c r="AN24" s="324"/>
    </row>
    <row r="25" spans="1:40" outlineLevel="1">
      <c r="A25" s="324" t="s">
        <v>104</v>
      </c>
      <c r="B25" s="324" t="s">
        <v>169</v>
      </c>
      <c r="C25" s="162" t="s">
        <v>80</v>
      </c>
      <c r="D25" s="324" t="s">
        <v>91</v>
      </c>
      <c r="E25" s="325">
        <v>192</v>
      </c>
      <c r="F25" s="324">
        <v>24</v>
      </c>
      <c r="G25" s="324" t="s">
        <v>157</v>
      </c>
      <c r="H25" s="166" t="s">
        <v>92</v>
      </c>
      <c r="I25" s="166" t="s">
        <v>157</v>
      </c>
      <c r="J25" s="166" t="s">
        <v>158</v>
      </c>
      <c r="K25" s="324" t="s">
        <v>159</v>
      </c>
      <c r="L25" s="326">
        <v>45713</v>
      </c>
      <c r="M25" s="327">
        <v>2.1800000000000002</v>
      </c>
      <c r="N25" s="327">
        <v>0</v>
      </c>
      <c r="O25" s="328">
        <v>2.1800000000000002</v>
      </c>
      <c r="P25" s="329">
        <v>418.56000000000006</v>
      </c>
      <c r="Q25" s="330" t="s">
        <v>169</v>
      </c>
      <c r="R25" s="324" t="s">
        <v>161</v>
      </c>
      <c r="S25" s="324" t="s">
        <v>235</v>
      </c>
      <c r="T25" s="316">
        <f>+E25+2</f>
        <v>194</v>
      </c>
      <c r="U25" s="316">
        <f t="shared" si="3"/>
        <v>53.96078431372549</v>
      </c>
      <c r="V25" s="316">
        <f t="shared" si="4"/>
        <v>2.9846153846153842</v>
      </c>
      <c r="W25" s="315">
        <f t="shared" ref="W25:W30" si="27">+E25*0.43</f>
        <v>82.56</v>
      </c>
      <c r="X25" s="315">
        <f t="shared" ref="X25:X30" si="28">+T25*0.02</f>
        <v>3.88</v>
      </c>
      <c r="Y25" s="315">
        <v>3</v>
      </c>
      <c r="Z25" s="413">
        <f t="shared" ref="Z25:Z30" si="29">+E25*1.01</f>
        <v>193.92000000000002</v>
      </c>
      <c r="AA25" s="413">
        <f t="shared" ref="AA25:AA30" si="30">+E25*1.01</f>
        <v>193.92000000000002</v>
      </c>
      <c r="AB25" s="315" t="s">
        <v>237</v>
      </c>
      <c r="AC25" s="315" t="s">
        <v>280</v>
      </c>
      <c r="AD25" s="413">
        <f t="shared" si="9"/>
        <v>193.92000000000002</v>
      </c>
      <c r="AE25" s="315" t="s">
        <v>272</v>
      </c>
      <c r="AF25" s="316">
        <f t="shared" ref="AF25:AF30" si="31">1*E25</f>
        <v>192</v>
      </c>
      <c r="AG25" s="324"/>
      <c r="AH25" s="315" t="s">
        <v>314</v>
      </c>
      <c r="AI25" s="315">
        <f t="shared" si="10"/>
        <v>10</v>
      </c>
      <c r="AJ25" s="324">
        <v>89</v>
      </c>
      <c r="AK25" s="315" t="s">
        <v>276</v>
      </c>
      <c r="AL25" s="315">
        <f t="shared" si="11"/>
        <v>578</v>
      </c>
      <c r="AM25" s="315" t="s">
        <v>277</v>
      </c>
      <c r="AN25" s="315">
        <f t="shared" si="12"/>
        <v>10</v>
      </c>
    </row>
    <row r="26" spans="1:40" outlineLevel="1">
      <c r="A26" s="324" t="s">
        <v>105</v>
      </c>
      <c r="B26" s="324" t="s">
        <v>169</v>
      </c>
      <c r="C26" s="162" t="s">
        <v>80</v>
      </c>
      <c r="D26" s="324" t="s">
        <v>94</v>
      </c>
      <c r="E26" s="325">
        <v>240</v>
      </c>
      <c r="F26" s="324">
        <v>24</v>
      </c>
      <c r="G26" s="324" t="s">
        <v>157</v>
      </c>
      <c r="H26" s="166" t="s">
        <v>162</v>
      </c>
      <c r="I26" s="166" t="s">
        <v>157</v>
      </c>
      <c r="J26" s="166" t="s">
        <v>158</v>
      </c>
      <c r="K26" s="324" t="s">
        <v>159</v>
      </c>
      <c r="L26" s="326">
        <v>45713</v>
      </c>
      <c r="M26" s="327">
        <v>2.4900000000000002</v>
      </c>
      <c r="N26" s="327">
        <v>0</v>
      </c>
      <c r="O26" s="328">
        <v>2.4900000000000002</v>
      </c>
      <c r="P26" s="329">
        <v>597.6</v>
      </c>
      <c r="Q26" s="330" t="s">
        <v>169</v>
      </c>
      <c r="R26" s="324" t="s">
        <v>161</v>
      </c>
      <c r="S26" s="324" t="s">
        <v>235</v>
      </c>
      <c r="T26" s="316">
        <f t="shared" ref="T26:T30" si="32">+E26+2</f>
        <v>242</v>
      </c>
      <c r="U26" s="316">
        <f t="shared" si="3"/>
        <v>67.450980392156865</v>
      </c>
      <c r="V26" s="316">
        <f t="shared" si="4"/>
        <v>3.7230769230769227</v>
      </c>
      <c r="W26" s="315">
        <f t="shared" si="27"/>
        <v>103.2</v>
      </c>
      <c r="X26" s="315">
        <f t="shared" si="28"/>
        <v>4.84</v>
      </c>
      <c r="Y26" s="315">
        <v>3</v>
      </c>
      <c r="Z26" s="413">
        <f t="shared" si="29"/>
        <v>242.4</v>
      </c>
      <c r="AA26" s="413">
        <f t="shared" si="30"/>
        <v>242.4</v>
      </c>
      <c r="AB26" s="315" t="s">
        <v>237</v>
      </c>
      <c r="AC26" s="315" t="s">
        <v>280</v>
      </c>
      <c r="AD26" s="413">
        <f t="shared" si="9"/>
        <v>242.4</v>
      </c>
      <c r="AE26" s="315" t="s">
        <v>272</v>
      </c>
      <c r="AF26" s="316">
        <f t="shared" si="31"/>
        <v>240</v>
      </c>
      <c r="AG26" s="324"/>
      <c r="AH26" s="315" t="s">
        <v>314</v>
      </c>
      <c r="AI26" s="315">
        <f t="shared" si="10"/>
        <v>12</v>
      </c>
      <c r="AJ26" s="324">
        <v>89</v>
      </c>
      <c r="AK26" s="315" t="s">
        <v>276</v>
      </c>
      <c r="AL26" s="315">
        <f t="shared" si="11"/>
        <v>722</v>
      </c>
      <c r="AM26" s="315" t="s">
        <v>277</v>
      </c>
      <c r="AN26" s="315">
        <f t="shared" si="12"/>
        <v>12</v>
      </c>
    </row>
    <row r="27" spans="1:40" outlineLevel="1">
      <c r="A27" s="324" t="s">
        <v>105</v>
      </c>
      <c r="B27" s="324" t="s">
        <v>169</v>
      </c>
      <c r="C27" s="162" t="s">
        <v>80</v>
      </c>
      <c r="D27" s="324" t="s">
        <v>95</v>
      </c>
      <c r="E27" s="325">
        <v>288</v>
      </c>
      <c r="F27" s="324">
        <v>24</v>
      </c>
      <c r="G27" s="324" t="s">
        <v>157</v>
      </c>
      <c r="H27" s="166" t="s">
        <v>163</v>
      </c>
      <c r="I27" s="166" t="s">
        <v>157</v>
      </c>
      <c r="J27" s="166" t="s">
        <v>158</v>
      </c>
      <c r="K27" s="324" t="s">
        <v>159</v>
      </c>
      <c r="L27" s="326">
        <v>45713</v>
      </c>
      <c r="M27" s="327">
        <v>2.4900000000000002</v>
      </c>
      <c r="N27" s="327">
        <v>0</v>
      </c>
      <c r="O27" s="328">
        <v>2.4900000000000002</v>
      </c>
      <c r="P27" s="329">
        <v>717.12000000000012</v>
      </c>
      <c r="Q27" s="330" t="s">
        <v>169</v>
      </c>
      <c r="R27" s="324" t="s">
        <v>161</v>
      </c>
      <c r="S27" s="324" t="s">
        <v>235</v>
      </c>
      <c r="T27" s="316">
        <f t="shared" si="32"/>
        <v>290</v>
      </c>
      <c r="U27" s="316">
        <f t="shared" si="3"/>
        <v>80.941176470588232</v>
      </c>
      <c r="V27" s="316">
        <f t="shared" si="4"/>
        <v>4.4615384615384617</v>
      </c>
      <c r="W27" s="315">
        <f t="shared" si="27"/>
        <v>123.84</v>
      </c>
      <c r="X27" s="315">
        <f t="shared" si="28"/>
        <v>5.8</v>
      </c>
      <c r="Y27" s="315">
        <v>3</v>
      </c>
      <c r="Z27" s="413">
        <f t="shared" si="29"/>
        <v>290.88</v>
      </c>
      <c r="AA27" s="413">
        <f t="shared" si="30"/>
        <v>290.88</v>
      </c>
      <c r="AB27" s="315" t="s">
        <v>237</v>
      </c>
      <c r="AC27" s="315" t="s">
        <v>280</v>
      </c>
      <c r="AD27" s="413">
        <f t="shared" si="9"/>
        <v>290.88</v>
      </c>
      <c r="AE27" s="315" t="s">
        <v>272</v>
      </c>
      <c r="AF27" s="316">
        <f t="shared" si="31"/>
        <v>288</v>
      </c>
      <c r="AG27" s="324"/>
      <c r="AH27" s="315" t="s">
        <v>314</v>
      </c>
      <c r="AI27" s="315">
        <f t="shared" si="10"/>
        <v>14</v>
      </c>
      <c r="AJ27" s="324">
        <v>89</v>
      </c>
      <c r="AK27" s="315" t="s">
        <v>276</v>
      </c>
      <c r="AL27" s="315">
        <f t="shared" si="11"/>
        <v>866</v>
      </c>
      <c r="AM27" s="315" t="s">
        <v>277</v>
      </c>
      <c r="AN27" s="315">
        <f t="shared" si="12"/>
        <v>14</v>
      </c>
    </row>
    <row r="28" spans="1:40" outlineLevel="1">
      <c r="A28" s="324" t="s">
        <v>105</v>
      </c>
      <c r="B28" s="324" t="s">
        <v>169</v>
      </c>
      <c r="C28" s="162" t="s">
        <v>80</v>
      </c>
      <c r="D28" s="324" t="s">
        <v>96</v>
      </c>
      <c r="E28" s="325">
        <v>408</v>
      </c>
      <c r="F28" s="324">
        <v>24</v>
      </c>
      <c r="G28" s="324" t="s">
        <v>157</v>
      </c>
      <c r="H28" s="166" t="s">
        <v>164</v>
      </c>
      <c r="I28" s="166" t="s">
        <v>157</v>
      </c>
      <c r="J28" s="166" t="s">
        <v>158</v>
      </c>
      <c r="K28" s="324" t="s">
        <v>159</v>
      </c>
      <c r="L28" s="326">
        <v>45713</v>
      </c>
      <c r="M28" s="327">
        <v>2.4900000000000002</v>
      </c>
      <c r="N28" s="327">
        <v>0</v>
      </c>
      <c r="O28" s="328">
        <v>2.4900000000000002</v>
      </c>
      <c r="P28" s="329">
        <v>1015.9200000000001</v>
      </c>
      <c r="Q28" s="330" t="s">
        <v>169</v>
      </c>
      <c r="R28" s="324" t="s">
        <v>161</v>
      </c>
      <c r="S28" s="324" t="s">
        <v>235</v>
      </c>
      <c r="T28" s="316">
        <f t="shared" si="32"/>
        <v>410</v>
      </c>
      <c r="U28" s="316">
        <f t="shared" si="3"/>
        <v>114.66666666666666</v>
      </c>
      <c r="V28" s="316">
        <f t="shared" si="4"/>
        <v>6.3076923076923066</v>
      </c>
      <c r="W28" s="315">
        <f t="shared" si="27"/>
        <v>175.44</v>
      </c>
      <c r="X28" s="315">
        <f t="shared" si="28"/>
        <v>8.1999999999999993</v>
      </c>
      <c r="Y28" s="315">
        <v>3</v>
      </c>
      <c r="Z28" s="413">
        <f t="shared" si="29"/>
        <v>412.08</v>
      </c>
      <c r="AA28" s="413">
        <f t="shared" si="30"/>
        <v>412.08</v>
      </c>
      <c r="AB28" s="315" t="s">
        <v>237</v>
      </c>
      <c r="AC28" s="315" t="s">
        <v>280</v>
      </c>
      <c r="AD28" s="413">
        <f t="shared" si="9"/>
        <v>412.08</v>
      </c>
      <c r="AE28" s="315" t="s">
        <v>273</v>
      </c>
      <c r="AF28" s="316">
        <f t="shared" si="31"/>
        <v>408</v>
      </c>
      <c r="AG28" s="324"/>
      <c r="AH28" s="315" t="s">
        <v>315</v>
      </c>
      <c r="AI28" s="315">
        <f t="shared" si="10"/>
        <v>19</v>
      </c>
      <c r="AJ28" s="324">
        <v>97</v>
      </c>
      <c r="AK28" s="315" t="s">
        <v>276</v>
      </c>
      <c r="AL28" s="315">
        <f t="shared" si="11"/>
        <v>1226</v>
      </c>
      <c r="AM28" s="315" t="s">
        <v>277</v>
      </c>
      <c r="AN28" s="315">
        <f t="shared" si="12"/>
        <v>19</v>
      </c>
    </row>
    <row r="29" spans="1:40" outlineLevel="1">
      <c r="A29" s="324" t="s">
        <v>106</v>
      </c>
      <c r="B29" s="324" t="s">
        <v>169</v>
      </c>
      <c r="C29" s="162" t="s">
        <v>80</v>
      </c>
      <c r="D29" s="324" t="s">
        <v>100</v>
      </c>
      <c r="E29" s="325">
        <v>384</v>
      </c>
      <c r="F29" s="324">
        <v>24</v>
      </c>
      <c r="G29" s="324" t="s">
        <v>157</v>
      </c>
      <c r="H29" s="166" t="s">
        <v>166</v>
      </c>
      <c r="I29" s="166" t="s">
        <v>157</v>
      </c>
      <c r="J29" s="166" t="s">
        <v>158</v>
      </c>
      <c r="K29" s="324" t="s">
        <v>159</v>
      </c>
      <c r="L29" s="326">
        <v>45713</v>
      </c>
      <c r="M29" s="327">
        <v>2.74</v>
      </c>
      <c r="N29" s="327">
        <v>0</v>
      </c>
      <c r="O29" s="328">
        <v>2.74</v>
      </c>
      <c r="P29" s="329">
        <v>1052.1600000000001</v>
      </c>
      <c r="Q29" s="330" t="s">
        <v>169</v>
      </c>
      <c r="R29" s="324" t="s">
        <v>161</v>
      </c>
      <c r="S29" s="324" t="s">
        <v>235</v>
      </c>
      <c r="T29" s="316">
        <f t="shared" si="32"/>
        <v>386</v>
      </c>
      <c r="U29" s="316">
        <f t="shared" si="3"/>
        <v>107.92156862745098</v>
      </c>
      <c r="V29" s="316">
        <f t="shared" si="4"/>
        <v>5.9384615384615378</v>
      </c>
      <c r="W29" s="315">
        <f t="shared" si="27"/>
        <v>165.12</v>
      </c>
      <c r="X29" s="315">
        <f t="shared" si="28"/>
        <v>7.72</v>
      </c>
      <c r="Y29" s="315">
        <v>3</v>
      </c>
      <c r="Z29" s="413">
        <f t="shared" si="29"/>
        <v>387.84000000000003</v>
      </c>
      <c r="AA29" s="413">
        <f t="shared" si="30"/>
        <v>387.84000000000003</v>
      </c>
      <c r="AB29" s="324" t="s">
        <v>238</v>
      </c>
      <c r="AC29" s="315" t="s">
        <v>280</v>
      </c>
      <c r="AD29" s="413">
        <f t="shared" si="9"/>
        <v>387.84000000000003</v>
      </c>
      <c r="AE29" s="315" t="s">
        <v>273</v>
      </c>
      <c r="AF29" s="316">
        <f t="shared" si="31"/>
        <v>384</v>
      </c>
      <c r="AG29" s="324"/>
      <c r="AH29" s="315" t="s">
        <v>315</v>
      </c>
      <c r="AI29" s="315">
        <f t="shared" si="10"/>
        <v>18</v>
      </c>
      <c r="AJ29" s="324">
        <v>97</v>
      </c>
      <c r="AK29" s="315" t="s">
        <v>276</v>
      </c>
      <c r="AL29" s="315">
        <f t="shared" si="11"/>
        <v>1154</v>
      </c>
      <c r="AM29" s="315" t="s">
        <v>277</v>
      </c>
      <c r="AN29" s="315">
        <f t="shared" si="12"/>
        <v>18</v>
      </c>
    </row>
    <row r="30" spans="1:40" outlineLevel="1">
      <c r="A30" s="324" t="s">
        <v>106</v>
      </c>
      <c r="B30" s="324" t="s">
        <v>169</v>
      </c>
      <c r="C30" s="162" t="s">
        <v>80</v>
      </c>
      <c r="D30" s="324" t="s">
        <v>101</v>
      </c>
      <c r="E30" s="325">
        <v>288</v>
      </c>
      <c r="F30" s="324">
        <v>24</v>
      </c>
      <c r="G30" s="324" t="s">
        <v>157</v>
      </c>
      <c r="H30" s="166" t="s">
        <v>167</v>
      </c>
      <c r="I30" s="166" t="s">
        <v>157</v>
      </c>
      <c r="J30" s="166" t="s">
        <v>158</v>
      </c>
      <c r="K30" s="324" t="s">
        <v>159</v>
      </c>
      <c r="L30" s="326">
        <v>45713</v>
      </c>
      <c r="M30" s="327">
        <v>2.74</v>
      </c>
      <c r="N30" s="327">
        <v>0</v>
      </c>
      <c r="O30" s="328">
        <v>2.74</v>
      </c>
      <c r="P30" s="329">
        <v>789.12000000000012</v>
      </c>
      <c r="Q30" s="330" t="s">
        <v>169</v>
      </c>
      <c r="R30" s="324" t="s">
        <v>161</v>
      </c>
      <c r="S30" s="324" t="s">
        <v>235</v>
      </c>
      <c r="T30" s="316">
        <f t="shared" si="32"/>
        <v>290</v>
      </c>
      <c r="U30" s="316">
        <f t="shared" si="3"/>
        <v>80.941176470588232</v>
      </c>
      <c r="V30" s="316">
        <f t="shared" si="4"/>
        <v>4.4615384615384617</v>
      </c>
      <c r="W30" s="315">
        <f t="shared" si="27"/>
        <v>123.84</v>
      </c>
      <c r="X30" s="315">
        <f t="shared" si="28"/>
        <v>5.8</v>
      </c>
      <c r="Y30" s="315">
        <v>3</v>
      </c>
      <c r="Z30" s="413">
        <f t="shared" si="29"/>
        <v>290.88</v>
      </c>
      <c r="AA30" s="413">
        <f t="shared" si="30"/>
        <v>290.88</v>
      </c>
      <c r="AB30" s="324" t="s">
        <v>238</v>
      </c>
      <c r="AC30" s="315" t="s">
        <v>280</v>
      </c>
      <c r="AD30" s="413">
        <f t="shared" si="9"/>
        <v>290.88</v>
      </c>
      <c r="AE30" s="315" t="s">
        <v>273</v>
      </c>
      <c r="AF30" s="316">
        <f t="shared" si="31"/>
        <v>288</v>
      </c>
      <c r="AG30" s="324"/>
      <c r="AH30" s="315" t="s">
        <v>315</v>
      </c>
      <c r="AI30" s="315">
        <f t="shared" si="10"/>
        <v>14</v>
      </c>
      <c r="AJ30" s="324">
        <v>97</v>
      </c>
      <c r="AK30" s="315" t="s">
        <v>276</v>
      </c>
      <c r="AL30" s="315">
        <f t="shared" si="11"/>
        <v>866</v>
      </c>
      <c r="AM30" s="315" t="s">
        <v>277</v>
      </c>
      <c r="AN30" s="315">
        <f t="shared" si="12"/>
        <v>14</v>
      </c>
    </row>
    <row r="31" spans="1:40">
      <c r="A31" s="7"/>
      <c r="B31" s="402" t="s">
        <v>192</v>
      </c>
      <c r="D31" s="7"/>
      <c r="E31" s="394">
        <f>SUBTOTAL(9,E25:E30)</f>
        <v>1800</v>
      </c>
      <c r="F31" s="7"/>
      <c r="G31" s="7"/>
      <c r="H31" s="395"/>
      <c r="I31" s="395"/>
      <c r="J31" s="395"/>
      <c r="K31" s="7"/>
      <c r="L31" s="396"/>
      <c r="M31" s="397"/>
      <c r="N31" s="397"/>
      <c r="O31" s="398"/>
      <c r="P31" s="399">
        <f>SUBTOTAL(9,P25:P30)</f>
        <v>4590.4800000000005</v>
      </c>
      <c r="Q31" s="1"/>
      <c r="R31" s="7"/>
      <c r="S31" s="7"/>
      <c r="T31" s="400">
        <f>SUBTOTAL(9,T25:T30)</f>
        <v>1812</v>
      </c>
      <c r="U31" s="400">
        <f>SUBTOTAL(9,U25:U30)</f>
        <v>505.88235294117646</v>
      </c>
      <c r="V31" s="400">
        <f>SUBTOTAL(9,V25:V30)</f>
        <v>27.876923076923077</v>
      </c>
      <c r="W31" s="401">
        <f>SUBTOTAL(9,W25:W30)</f>
        <v>774.00000000000011</v>
      </c>
      <c r="X31" s="401">
        <f>SUBTOTAL(9,X25:X30)</f>
        <v>36.239999999999995</v>
      </c>
      <c r="Y31" s="401"/>
      <c r="Z31" s="414"/>
      <c r="AA31" s="401"/>
      <c r="AB31" s="7"/>
      <c r="AC31" s="7"/>
      <c r="AD31" s="7"/>
      <c r="AE31" s="7"/>
      <c r="AF31" s="400"/>
      <c r="AG31" s="7"/>
      <c r="AH31" s="401"/>
      <c r="AI31" s="401"/>
      <c r="AJ31" s="7"/>
      <c r="AK31" s="7"/>
      <c r="AL31" s="7"/>
      <c r="AM31" s="7"/>
    </row>
    <row r="32" spans="1:40">
      <c r="A32" s="7"/>
      <c r="B32" s="402" t="s">
        <v>193</v>
      </c>
      <c r="D32" s="7"/>
      <c r="E32" s="394">
        <f>SUBTOTAL(9,E4:E30)</f>
        <v>7200</v>
      </c>
      <c r="F32" s="7"/>
      <c r="G32" s="7"/>
      <c r="H32" s="395"/>
      <c r="I32" s="395"/>
      <c r="J32" s="395"/>
      <c r="K32" s="7"/>
      <c r="L32" s="396"/>
      <c r="M32" s="397"/>
      <c r="N32" s="397"/>
      <c r="O32" s="398"/>
      <c r="P32" s="399">
        <f>SUBTOTAL(9,P4:P30)</f>
        <v>17589.600000000002</v>
      </c>
      <c r="Q32" s="1"/>
      <c r="R32" s="7"/>
      <c r="S32" s="7"/>
      <c r="T32" s="400">
        <f>SUBTOTAL(9,T4:T30)</f>
        <v>7248</v>
      </c>
      <c r="U32" s="400">
        <f>SUBTOTAL(9,U4:U30)</f>
        <v>1764.7058823529414</v>
      </c>
      <c r="V32" s="400">
        <f>SUBTOTAL(9,V4:V30)</f>
        <v>111.50769230769231</v>
      </c>
      <c r="W32" s="401">
        <f>SUBTOTAL(9,W4:W30)</f>
        <v>2700</v>
      </c>
      <c r="X32" s="401">
        <f>SUBTOTAL(9,X4:X30)</f>
        <v>144.96</v>
      </c>
      <c r="Y32" s="401"/>
      <c r="Z32" s="414"/>
      <c r="AA32" s="401"/>
      <c r="AB32" s="7"/>
      <c r="AC32" s="7"/>
      <c r="AD32" s="7"/>
      <c r="AE32" s="7"/>
      <c r="AF32" s="400"/>
      <c r="AG32" s="7"/>
      <c r="AH32" s="401"/>
      <c r="AI32" s="401"/>
      <c r="AJ32" s="7"/>
      <c r="AK32" s="7"/>
      <c r="AL32" s="7"/>
      <c r="AM32" s="7"/>
    </row>
    <row r="33" spans="16:22">
      <c r="P33" s="404"/>
      <c r="T33" s="400"/>
      <c r="U33" s="400"/>
      <c r="V33" s="400"/>
    </row>
    <row r="34" spans="16:22">
      <c r="P34" s="404"/>
    </row>
    <row r="35" spans="16:22">
      <c r="P35" s="404"/>
    </row>
    <row r="38" spans="16:22">
      <c r="P38" s="404"/>
    </row>
    <row r="39" spans="16:22">
      <c r="P39" s="404"/>
    </row>
    <row r="40" spans="16:22">
      <c r="P40" s="404"/>
    </row>
    <row r="41" spans="16:22">
      <c r="P41" s="404"/>
    </row>
  </sheetData>
  <autoFilter ref="A2:AM33" xr:uid="{2A9B1B9C-D43C-4F88-969C-D8AE321BC818}"/>
  <mergeCells count="4">
    <mergeCell ref="AE3:AF3"/>
    <mergeCell ref="AH3:AI3"/>
    <mergeCell ref="AK3:AL3"/>
    <mergeCell ref="AM3:AN3"/>
  </mergeCells>
  <pageMargins left="0.12" right="0.11811023622047245" top="0.74803149606299213" bottom="0.74803149606299213" header="0.31496062992125984" footer="0.31496062992125984"/>
  <pageSetup scale="81" orientation="landscape" horizontalDpi="0" verticalDpi="0" r:id="rId1"/>
  <ignoredErrors>
    <ignoredError sqref="G4 G5:G9 G11:G16 G18:G23 G25:G30 H7:H8 H12:H13 H21:H22 H26:H27 I4:I9 I11:I16 I18:I23 I25:I30 J4:J9 J11:J16 J18:J23 J25:J30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2A829-4F99-469B-9F8B-2685E80DFA2E}">
  <dimension ref="A1:E74"/>
  <sheetViews>
    <sheetView topLeftCell="A4" zoomScaleNormal="100" workbookViewId="0">
      <selection activeCell="M18" sqref="M18"/>
    </sheetView>
  </sheetViews>
  <sheetFormatPr baseColWidth="10" defaultRowHeight="14.4"/>
  <cols>
    <col min="1" max="1" width="17.44140625" customWidth="1"/>
    <col min="5" max="5" width="48.77734375" customWidth="1"/>
  </cols>
  <sheetData>
    <row r="1" spans="1:1">
      <c r="A1" s="415" t="s">
        <v>248</v>
      </c>
    </row>
    <row r="2" spans="1:1">
      <c r="A2" s="415" t="s">
        <v>249</v>
      </c>
    </row>
    <row r="4" spans="1:1">
      <c r="A4" s="415"/>
    </row>
    <row r="5" spans="1:1">
      <c r="A5" s="415"/>
    </row>
    <row r="6" spans="1:1">
      <c r="A6" s="415"/>
    </row>
    <row r="7" spans="1:1">
      <c r="A7" s="415"/>
    </row>
    <row r="8" spans="1:1">
      <c r="A8" s="415"/>
    </row>
    <row r="9" spans="1:1">
      <c r="A9" s="415"/>
    </row>
    <row r="10" spans="1:1">
      <c r="A10" s="415"/>
    </row>
    <row r="11" spans="1:1">
      <c r="A11" s="415"/>
    </row>
    <row r="12" spans="1:1">
      <c r="A12" s="415"/>
    </row>
    <row r="13" spans="1:1">
      <c r="A13" s="415"/>
    </row>
    <row r="14" spans="1:1">
      <c r="A14" s="415"/>
    </row>
    <row r="15" spans="1:1">
      <c r="A15" s="415"/>
    </row>
    <row r="16" spans="1:1">
      <c r="A16" s="415"/>
    </row>
    <row r="17" spans="1:1">
      <c r="A17" s="415"/>
    </row>
    <row r="18" spans="1:1">
      <c r="A18" s="415" t="s">
        <v>250</v>
      </c>
    </row>
    <row r="34" spans="1:1">
      <c r="A34" s="415"/>
    </row>
    <row r="35" spans="1:1">
      <c r="A35" s="415" t="s">
        <v>251</v>
      </c>
    </row>
    <row r="36" spans="1:1">
      <c r="A36" s="415"/>
    </row>
    <row r="50" spans="1:5" ht="18">
      <c r="A50" s="422" t="s">
        <v>252</v>
      </c>
      <c r="B50" s="416"/>
      <c r="C50" s="416"/>
      <c r="D50" s="416"/>
      <c r="E50" s="416"/>
    </row>
    <row r="51" spans="1:5">
      <c r="A51" s="417"/>
      <c r="B51" s="418" t="s">
        <v>253</v>
      </c>
      <c r="C51" s="416"/>
      <c r="D51" s="416"/>
      <c r="E51" s="416"/>
    </row>
    <row r="52" spans="1:5">
      <c r="A52" s="417"/>
      <c r="B52" s="419" t="s">
        <v>254</v>
      </c>
      <c r="C52" s="473" t="s">
        <v>255</v>
      </c>
      <c r="D52" s="473"/>
      <c r="E52" s="473"/>
    </row>
    <row r="53" spans="1:5">
      <c r="A53" s="417"/>
      <c r="B53" s="419" t="s">
        <v>254</v>
      </c>
      <c r="C53" s="473" t="s">
        <v>256</v>
      </c>
      <c r="D53" s="473"/>
      <c r="E53" s="416"/>
    </row>
    <row r="54" spans="1:5">
      <c r="A54" s="417"/>
      <c r="B54" s="419" t="s">
        <v>254</v>
      </c>
      <c r="C54" s="473" t="s">
        <v>257</v>
      </c>
      <c r="D54" s="473"/>
      <c r="E54" s="473"/>
    </row>
    <row r="55" spans="1:5">
      <c r="A55" s="417"/>
      <c r="B55" s="416"/>
      <c r="C55" s="416"/>
      <c r="D55" s="416"/>
      <c r="E55" s="416"/>
    </row>
    <row r="56" spans="1:5">
      <c r="A56" s="417"/>
      <c r="B56" s="418" t="s">
        <v>258</v>
      </c>
      <c r="C56" s="416"/>
      <c r="D56" s="416"/>
      <c r="E56" s="416"/>
    </row>
    <row r="57" spans="1:5">
      <c r="A57" s="417"/>
      <c r="B57" s="416"/>
      <c r="C57" s="416"/>
      <c r="D57" s="416"/>
      <c r="E57" s="416"/>
    </row>
    <row r="58" spans="1:5">
      <c r="A58" s="417"/>
      <c r="B58" s="416"/>
      <c r="C58" s="472" t="s">
        <v>259</v>
      </c>
      <c r="D58" s="472"/>
      <c r="E58" s="472"/>
    </row>
    <row r="59" spans="1:5">
      <c r="A59" s="417"/>
      <c r="B59" s="416"/>
      <c r="C59" s="472" t="s">
        <v>260</v>
      </c>
      <c r="D59" s="472"/>
      <c r="E59" s="472"/>
    </row>
    <row r="60" spans="1:5">
      <c r="A60" s="417"/>
      <c r="B60" s="416"/>
      <c r="C60" s="473" t="s">
        <v>261</v>
      </c>
      <c r="D60" s="473"/>
      <c r="E60" s="473"/>
    </row>
    <row r="61" spans="1:5">
      <c r="A61" s="417"/>
      <c r="B61" s="416"/>
      <c r="C61" s="416"/>
      <c r="D61" s="416"/>
      <c r="E61" s="416"/>
    </row>
    <row r="62" spans="1:5">
      <c r="A62" s="417"/>
      <c r="B62" s="416"/>
      <c r="C62" s="416"/>
      <c r="D62" s="416"/>
      <c r="E62" s="416"/>
    </row>
    <row r="63" spans="1:5">
      <c r="A63" s="417"/>
      <c r="B63" s="416"/>
      <c r="C63" s="472" t="s">
        <v>262</v>
      </c>
      <c r="D63" s="472"/>
      <c r="E63" s="472"/>
    </row>
    <row r="64" spans="1:5">
      <c r="A64" s="417"/>
      <c r="B64" s="416"/>
      <c r="C64" s="472" t="s">
        <v>263</v>
      </c>
      <c r="D64" s="472"/>
      <c r="E64" s="472"/>
    </row>
    <row r="65" spans="1:5">
      <c r="A65" s="417"/>
      <c r="B65" s="416"/>
      <c r="C65" s="472" t="s">
        <v>264</v>
      </c>
      <c r="D65" s="472"/>
      <c r="E65" s="416"/>
    </row>
    <row r="66" spans="1:5">
      <c r="A66" s="417"/>
      <c r="B66" s="416"/>
      <c r="C66" s="416"/>
      <c r="D66" s="416"/>
      <c r="E66" s="416"/>
    </row>
    <row r="67" spans="1:5">
      <c r="A67" s="417"/>
      <c r="B67" s="416"/>
      <c r="C67" s="416"/>
      <c r="D67" s="416"/>
      <c r="E67" s="416"/>
    </row>
    <row r="68" spans="1:5">
      <c r="A68" s="417"/>
      <c r="B68" s="416"/>
      <c r="C68" s="472" t="s">
        <v>265</v>
      </c>
      <c r="D68" s="472"/>
      <c r="E68" s="472"/>
    </row>
    <row r="69" spans="1:5">
      <c r="A69" s="417"/>
      <c r="B69" s="416"/>
      <c r="C69" s="472" t="s">
        <v>266</v>
      </c>
      <c r="D69" s="472"/>
      <c r="E69" s="472"/>
    </row>
    <row r="70" spans="1:5">
      <c r="A70" s="417"/>
      <c r="B70" s="416"/>
      <c r="C70" s="472" t="s">
        <v>267</v>
      </c>
      <c r="D70" s="472"/>
      <c r="E70" s="472"/>
    </row>
    <row r="71" spans="1:5">
      <c r="A71" s="417"/>
      <c r="B71" s="416"/>
      <c r="C71" s="420" t="s">
        <v>268</v>
      </c>
      <c r="D71" s="416"/>
      <c r="E71" s="416"/>
    </row>
    <row r="72" spans="1:5">
      <c r="A72" s="417"/>
      <c r="B72" s="416"/>
      <c r="C72" s="416"/>
      <c r="D72" s="416"/>
      <c r="E72" s="416"/>
    </row>
    <row r="73" spans="1:5">
      <c r="A73" s="415" t="s">
        <v>269</v>
      </c>
    </row>
    <row r="74" spans="1:5">
      <c r="A74" s="421"/>
    </row>
  </sheetData>
  <mergeCells count="12">
    <mergeCell ref="C70:E70"/>
    <mergeCell ref="C52:E52"/>
    <mergeCell ref="C53:D53"/>
    <mergeCell ref="C54:E54"/>
    <mergeCell ref="C58:E58"/>
    <mergeCell ref="C59:E59"/>
    <mergeCell ref="C60:E60"/>
    <mergeCell ref="C63:E63"/>
    <mergeCell ref="C64:E64"/>
    <mergeCell ref="C65:D65"/>
    <mergeCell ref="C68:E68"/>
    <mergeCell ref="C69:E69"/>
  </mergeCells>
  <pageMargins left="0.24" right="0.14000000000000001" top="0.44" bottom="0.47" header="0.21" footer="0.22"/>
  <pageSetup paperSize="5" scale="88" orientation="landscape" horizontalDpi="0" verticalDpi="0" r:id="rId1"/>
  <rowBreaks count="1" manualBreakCount="1">
    <brk id="34" max="10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9400A-3D87-44D6-B728-FDD26CE36618}">
  <dimension ref="A1:F51"/>
  <sheetViews>
    <sheetView zoomScaleNormal="100" workbookViewId="0">
      <selection activeCell="I17" sqref="I17"/>
    </sheetView>
  </sheetViews>
  <sheetFormatPr baseColWidth="10" defaultRowHeight="14.4"/>
  <cols>
    <col min="1" max="1" width="19.109375" customWidth="1"/>
    <col min="2" max="2" width="29" customWidth="1"/>
    <col min="3" max="3" width="13.5546875" customWidth="1"/>
    <col min="4" max="4" width="12.5546875" customWidth="1"/>
    <col min="5" max="5" width="15.6640625" customWidth="1"/>
    <col min="6" max="6" width="18.109375" customWidth="1"/>
  </cols>
  <sheetData>
    <row r="1" spans="1:6">
      <c r="A1" s="476"/>
      <c r="B1" s="477"/>
      <c r="C1" s="478" t="s">
        <v>111</v>
      </c>
      <c r="D1" s="478"/>
      <c r="E1" s="478"/>
      <c r="F1" s="478"/>
    </row>
    <row r="2" spans="1:6">
      <c r="A2" s="477"/>
      <c r="B2" s="477"/>
      <c r="C2" s="478"/>
      <c r="D2" s="478"/>
      <c r="E2" s="478"/>
      <c r="F2" s="478"/>
    </row>
    <row r="3" spans="1:6">
      <c r="A3" s="477"/>
      <c r="B3" s="477"/>
      <c r="C3" s="170"/>
      <c r="D3" s="171"/>
      <c r="E3" s="191" t="s">
        <v>112</v>
      </c>
      <c r="F3" s="191" t="s">
        <v>113</v>
      </c>
    </row>
    <row r="4" spans="1:6" ht="93" customHeight="1">
      <c r="A4" s="477"/>
      <c r="B4" s="477"/>
      <c r="C4" s="170"/>
      <c r="D4" s="172"/>
      <c r="E4" s="181" t="s">
        <v>319</v>
      </c>
      <c r="F4" s="174">
        <v>45702</v>
      </c>
    </row>
    <row r="5" spans="1:6">
      <c r="A5" s="175"/>
      <c r="B5" s="172"/>
      <c r="C5" s="172"/>
      <c r="D5" s="172"/>
      <c r="E5" s="172"/>
      <c r="F5" s="172"/>
    </row>
    <row r="6" spans="1:6">
      <c r="A6" s="192" t="s">
        <v>114</v>
      </c>
      <c r="B6" s="193"/>
      <c r="C6" s="194"/>
      <c r="D6" s="193" t="s">
        <v>115</v>
      </c>
      <c r="E6" s="193"/>
      <c r="F6" s="193"/>
    </row>
    <row r="7" spans="1:6">
      <c r="A7" s="195" t="s">
        <v>116</v>
      </c>
      <c r="B7" s="195"/>
      <c r="C7" s="196"/>
      <c r="D7" s="196" t="s">
        <v>116</v>
      </c>
      <c r="E7" s="196"/>
      <c r="F7" s="196"/>
    </row>
    <row r="8" spans="1:6">
      <c r="A8" s="479" t="s">
        <v>216</v>
      </c>
      <c r="B8" s="479"/>
      <c r="C8" s="197"/>
      <c r="D8" s="480"/>
      <c r="E8" s="480"/>
      <c r="F8" s="480"/>
    </row>
    <row r="9" spans="1:6">
      <c r="A9" s="195" t="s">
        <v>117</v>
      </c>
      <c r="B9" s="195"/>
      <c r="C9" s="196"/>
      <c r="D9" s="196" t="s">
        <v>117</v>
      </c>
      <c r="E9" s="196"/>
      <c r="F9" s="196"/>
    </row>
    <row r="10" spans="1:6">
      <c r="A10" s="479" t="s">
        <v>217</v>
      </c>
      <c r="B10" s="479"/>
      <c r="C10" s="197"/>
      <c r="D10" s="480" t="str">
        <f>A10</f>
        <v>TEXTUFIL S.A. DE C.V.</v>
      </c>
      <c r="E10" s="480"/>
      <c r="F10" s="480"/>
    </row>
    <row r="11" spans="1:6">
      <c r="A11" s="200" t="s">
        <v>118</v>
      </c>
      <c r="B11" s="200"/>
      <c r="C11" s="198"/>
      <c r="D11" s="198" t="s">
        <v>118</v>
      </c>
      <c r="E11" s="198"/>
      <c r="F11" s="198"/>
    </row>
    <row r="12" spans="1:6">
      <c r="A12" s="481" t="s">
        <v>218</v>
      </c>
      <c r="B12" s="481"/>
      <c r="C12" s="199"/>
      <c r="D12" s="482" t="str">
        <f>A12</f>
        <v>AV. PABLO TESAK, SOYAPANGO, SAN SALVADOR             EL SALVADOR</v>
      </c>
      <c r="E12" s="483"/>
      <c r="F12" s="483"/>
    </row>
    <row r="13" spans="1:6">
      <c r="A13" s="481"/>
      <c r="B13" s="481"/>
      <c r="C13" s="198"/>
      <c r="D13" s="483"/>
      <c r="E13" s="483"/>
      <c r="F13" s="483"/>
    </row>
    <row r="14" spans="1:6">
      <c r="A14" s="200" t="s">
        <v>119</v>
      </c>
      <c r="B14" s="200"/>
      <c r="C14" s="198"/>
      <c r="D14" s="198" t="s">
        <v>119</v>
      </c>
      <c r="E14" s="198"/>
      <c r="F14" s="198"/>
    </row>
    <row r="15" spans="1:6">
      <c r="A15" s="479">
        <v>22770066</v>
      </c>
      <c r="B15" s="479"/>
      <c r="C15" s="197"/>
      <c r="D15" s="484">
        <f>A15</f>
        <v>22770066</v>
      </c>
      <c r="E15" s="484"/>
      <c r="F15" s="484"/>
    </row>
    <row r="16" spans="1:6">
      <c r="A16" s="200" t="s">
        <v>120</v>
      </c>
      <c r="B16" s="200"/>
      <c r="C16" s="198"/>
      <c r="D16" s="198" t="s">
        <v>120</v>
      </c>
      <c r="E16" s="198"/>
      <c r="F16" s="198"/>
    </row>
    <row r="17" spans="1:6">
      <c r="A17" s="176" t="s">
        <v>219</v>
      </c>
      <c r="B17" s="175"/>
      <c r="C17" s="197"/>
      <c r="D17" s="485" t="str">
        <f>A17</f>
        <v>earteaga@textufil.com</v>
      </c>
      <c r="E17" s="486"/>
      <c r="F17" s="486"/>
    </row>
    <row r="18" spans="1:6">
      <c r="A18" s="201"/>
      <c r="B18" s="199"/>
      <c r="C18" s="199"/>
      <c r="D18" s="199"/>
      <c r="E18" s="199"/>
      <c r="F18" s="199"/>
    </row>
    <row r="19" spans="1:6">
      <c r="A19" s="202" t="s">
        <v>121</v>
      </c>
      <c r="B19" s="203"/>
      <c r="C19" s="204"/>
      <c r="D19" s="202" t="s">
        <v>122</v>
      </c>
      <c r="E19" s="204"/>
      <c r="F19" s="204" t="s">
        <v>123</v>
      </c>
    </row>
    <row r="20" spans="1:6">
      <c r="A20" s="177"/>
      <c r="B20" s="178"/>
      <c r="C20" s="179"/>
      <c r="D20" s="474"/>
      <c r="E20" s="475"/>
      <c r="F20" s="180"/>
    </row>
    <row r="21" spans="1:6">
      <c r="A21" s="205" t="s">
        <v>124</v>
      </c>
      <c r="B21" s="487" t="s">
        <v>125</v>
      </c>
      <c r="C21" s="488"/>
      <c r="D21" s="205" t="s">
        <v>316</v>
      </c>
      <c r="E21" s="205" t="s">
        <v>127</v>
      </c>
      <c r="F21" s="205" t="s">
        <v>128</v>
      </c>
    </row>
    <row r="22" spans="1:6">
      <c r="A22" s="181" t="s">
        <v>196</v>
      </c>
      <c r="B22" s="489" t="s">
        <v>241</v>
      </c>
      <c r="C22" s="490"/>
      <c r="D22" s="403">
        <v>66</v>
      </c>
      <c r="E22" s="491" t="s">
        <v>317</v>
      </c>
      <c r="F22" s="492"/>
    </row>
    <row r="23" spans="1:6" ht="14.4" customHeight="1">
      <c r="A23" s="181" t="s">
        <v>197</v>
      </c>
      <c r="B23" s="489" t="s">
        <v>241</v>
      </c>
      <c r="C23" s="490"/>
      <c r="D23" s="403">
        <v>61</v>
      </c>
      <c r="E23" s="493"/>
      <c r="F23" s="494"/>
    </row>
    <row r="24" spans="1:6" ht="14.4" customHeight="1">
      <c r="A24" s="181"/>
      <c r="B24" s="489"/>
      <c r="C24" s="490"/>
      <c r="D24" s="403"/>
      <c r="E24" s="182"/>
      <c r="F24" s="182"/>
    </row>
    <row r="25" spans="1:6" ht="14.4" customHeight="1">
      <c r="A25" s="181"/>
      <c r="B25" s="489"/>
      <c r="C25" s="490"/>
      <c r="D25" s="403"/>
      <c r="E25" s="182"/>
      <c r="F25" s="182"/>
    </row>
    <row r="26" spans="1:6">
      <c r="A26" s="173"/>
      <c r="B26" s="489"/>
      <c r="C26" s="490"/>
      <c r="D26" s="403"/>
      <c r="E26" s="182"/>
      <c r="F26" s="182"/>
    </row>
    <row r="27" spans="1:6">
      <c r="A27" s="173"/>
      <c r="B27" s="489"/>
      <c r="C27" s="490"/>
      <c r="D27" s="403"/>
      <c r="E27" s="182"/>
      <c r="F27" s="182"/>
    </row>
    <row r="28" spans="1:6">
      <c r="A28" s="173"/>
      <c r="B28" s="489"/>
      <c r="C28" s="490"/>
      <c r="D28" s="403"/>
      <c r="E28" s="182"/>
      <c r="F28" s="182"/>
    </row>
    <row r="29" spans="1:6">
      <c r="A29" s="173"/>
      <c r="B29" s="489"/>
      <c r="C29" s="490"/>
      <c r="D29" s="403"/>
      <c r="E29" s="182"/>
      <c r="F29" s="182"/>
    </row>
    <row r="30" spans="1:6">
      <c r="A30" s="173"/>
      <c r="B30" s="503"/>
      <c r="C30" s="504"/>
      <c r="D30" s="173"/>
      <c r="E30" s="183"/>
      <c r="F30" s="184" t="str">
        <f t="shared" ref="F30:F31" si="0">IF(D30*E30=0,"",(D30*E30))</f>
        <v/>
      </c>
    </row>
    <row r="31" spans="1:6">
      <c r="A31" s="173"/>
      <c r="B31" s="503"/>
      <c r="C31" s="504"/>
      <c r="D31" s="173"/>
      <c r="E31" s="183"/>
      <c r="F31" s="184" t="str">
        <f t="shared" si="0"/>
        <v/>
      </c>
    </row>
    <row r="32" spans="1:6">
      <c r="A32" s="505"/>
      <c r="B32" s="506"/>
      <c r="C32" s="506"/>
      <c r="D32" s="506"/>
      <c r="E32" s="506"/>
      <c r="F32" s="507"/>
    </row>
    <row r="33" spans="1:6">
      <c r="A33" s="495" t="s">
        <v>129</v>
      </c>
      <c r="B33" s="495"/>
      <c r="C33" s="496"/>
      <c r="D33" s="497" t="s">
        <v>130</v>
      </c>
      <c r="E33" s="498"/>
      <c r="F33" s="185">
        <f>SUM(F22:F31)</f>
        <v>0</v>
      </c>
    </row>
    <row r="34" spans="1:6">
      <c r="A34" s="499" t="s">
        <v>318</v>
      </c>
      <c r="B34" s="499"/>
      <c r="C34" s="500"/>
      <c r="D34" s="186" t="s">
        <v>131</v>
      </c>
      <c r="E34" s="187"/>
      <c r="F34" s="188"/>
    </row>
    <row r="35" spans="1:6">
      <c r="A35" s="499"/>
      <c r="B35" s="499"/>
      <c r="C35" s="500"/>
      <c r="D35" s="186" t="s">
        <v>132</v>
      </c>
      <c r="E35" s="187"/>
      <c r="F35" s="188"/>
    </row>
    <row r="36" spans="1:6">
      <c r="A36" s="499"/>
      <c r="B36" s="499"/>
      <c r="C36" s="500"/>
      <c r="D36" s="501" t="s">
        <v>133</v>
      </c>
      <c r="E36" s="502"/>
      <c r="F36" s="188"/>
    </row>
    <row r="37" spans="1:6">
      <c r="A37" s="499"/>
      <c r="B37" s="499"/>
      <c r="C37" s="500"/>
      <c r="D37" s="501" t="s">
        <v>134</v>
      </c>
      <c r="E37" s="502"/>
      <c r="F37" s="188"/>
    </row>
    <row r="38" spans="1:6">
      <c r="A38" s="499"/>
      <c r="B38" s="499"/>
      <c r="C38" s="500"/>
      <c r="D38" s="497" t="s">
        <v>135</v>
      </c>
      <c r="E38" s="498"/>
      <c r="F38" s="185">
        <f>F33+F35+F36+F37-F34</f>
        <v>0</v>
      </c>
    </row>
    <row r="39" spans="1:6">
      <c r="A39" s="508"/>
      <c r="B39" s="508"/>
      <c r="C39" s="508"/>
      <c r="D39" s="508"/>
      <c r="E39" s="508"/>
      <c r="F39" s="508"/>
    </row>
    <row r="44" spans="1:6">
      <c r="A44" s="206" t="s">
        <v>225</v>
      </c>
      <c r="D44" t="s">
        <v>224</v>
      </c>
    </row>
    <row r="45" spans="1:6">
      <c r="B45" s="408" t="s">
        <v>222</v>
      </c>
      <c r="D45" s="509" t="s">
        <v>221</v>
      </c>
      <c r="E45" s="509"/>
      <c r="F45" s="509"/>
    </row>
    <row r="46" spans="1:6">
      <c r="B46" s="190"/>
      <c r="E46" s="510"/>
      <c r="F46" s="510"/>
    </row>
    <row r="49" spans="2:4">
      <c r="B49" s="207" t="s">
        <v>137</v>
      </c>
      <c r="C49" s="189"/>
      <c r="D49" s="189"/>
    </row>
    <row r="50" spans="2:4">
      <c r="C50" s="510" t="s">
        <v>140</v>
      </c>
      <c r="D50" s="510"/>
    </row>
    <row r="51" spans="2:4">
      <c r="C51" s="510"/>
      <c r="D51" s="510"/>
    </row>
  </sheetData>
  <mergeCells count="36">
    <mergeCell ref="A39:F39"/>
    <mergeCell ref="D45:F45"/>
    <mergeCell ref="E46:F46"/>
    <mergeCell ref="C50:D50"/>
    <mergeCell ref="C51:D51"/>
    <mergeCell ref="E22:F23"/>
    <mergeCell ref="A33:C33"/>
    <mergeCell ref="D33:E33"/>
    <mergeCell ref="A34:C38"/>
    <mergeCell ref="D36:E36"/>
    <mergeCell ref="D37:E37"/>
    <mergeCell ref="D38:E38"/>
    <mergeCell ref="B27:C27"/>
    <mergeCell ref="B28:C28"/>
    <mergeCell ref="B29:C29"/>
    <mergeCell ref="B30:C30"/>
    <mergeCell ref="B31:C31"/>
    <mergeCell ref="A32:F32"/>
    <mergeCell ref="B26:C26"/>
    <mergeCell ref="B21:C21"/>
    <mergeCell ref="B22:C22"/>
    <mergeCell ref="B23:C23"/>
    <mergeCell ref="B24:C24"/>
    <mergeCell ref="B25:C25"/>
    <mergeCell ref="D20:E20"/>
    <mergeCell ref="A1:B4"/>
    <mergeCell ref="C1:F2"/>
    <mergeCell ref="A8:B8"/>
    <mergeCell ref="D8:F8"/>
    <mergeCell ref="A10:B10"/>
    <mergeCell ref="D10:F10"/>
    <mergeCell ref="A12:B13"/>
    <mergeCell ref="D12:F13"/>
    <mergeCell ref="A15:B15"/>
    <mergeCell ref="D15:F15"/>
    <mergeCell ref="D17:F17"/>
  </mergeCells>
  <hyperlinks>
    <hyperlink ref="A17" r:id="rId1" xr:uid="{A7B88D1D-B6BB-44E4-9D2C-4D95586F0F34}"/>
  </hyperlinks>
  <pageMargins left="0.94488188976377963" right="0.23622047244094491" top="0.55118110236220474" bottom="0.74803149606299213" header="0.19685039370078741" footer="0.31496062992125984"/>
  <pageSetup scale="80" orientation="portrait" horizontalDpi="0" verticalDpi="0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3BC85-9002-4036-87CF-3C262DB5419B}">
  <dimension ref="A1:F51"/>
  <sheetViews>
    <sheetView topLeftCell="A16" zoomScaleNormal="100" workbookViewId="0">
      <selection activeCell="N13" sqref="N13"/>
    </sheetView>
  </sheetViews>
  <sheetFormatPr baseColWidth="10" defaultRowHeight="14.4"/>
  <cols>
    <col min="1" max="1" width="19.109375" customWidth="1"/>
    <col min="2" max="2" width="29" customWidth="1"/>
    <col min="3" max="3" width="13.5546875" customWidth="1"/>
    <col min="4" max="4" width="12.5546875" customWidth="1"/>
    <col min="5" max="5" width="15.6640625" customWidth="1"/>
    <col min="6" max="6" width="18.109375" customWidth="1"/>
  </cols>
  <sheetData>
    <row r="1" spans="1:6">
      <c r="A1" s="476"/>
      <c r="B1" s="477"/>
      <c r="C1" s="478" t="s">
        <v>111</v>
      </c>
      <c r="D1" s="478"/>
      <c r="E1" s="478"/>
      <c r="F1" s="478"/>
    </row>
    <row r="2" spans="1:6">
      <c r="A2" s="477"/>
      <c r="B2" s="477"/>
      <c r="C2" s="478"/>
      <c r="D2" s="478"/>
      <c r="E2" s="478"/>
      <c r="F2" s="478"/>
    </row>
    <row r="3" spans="1:6">
      <c r="A3" s="477"/>
      <c r="B3" s="477"/>
      <c r="C3" s="170"/>
      <c r="D3" s="171"/>
      <c r="E3" s="191" t="s">
        <v>112</v>
      </c>
      <c r="F3" s="191" t="s">
        <v>113</v>
      </c>
    </row>
    <row r="4" spans="1:6" ht="93" customHeight="1">
      <c r="A4" s="477"/>
      <c r="B4" s="477"/>
      <c r="C4" s="170"/>
      <c r="D4" s="172"/>
      <c r="E4" s="173" t="s">
        <v>223</v>
      </c>
      <c r="F4" s="174">
        <v>45632</v>
      </c>
    </row>
    <row r="5" spans="1:6">
      <c r="A5" s="175"/>
      <c r="B5" s="172"/>
      <c r="C5" s="172"/>
      <c r="D5" s="172"/>
      <c r="E5" s="172"/>
      <c r="F5" s="172"/>
    </row>
    <row r="6" spans="1:6">
      <c r="A6" s="192" t="s">
        <v>114</v>
      </c>
      <c r="B6" s="193"/>
      <c r="C6" s="194"/>
      <c r="D6" s="193" t="s">
        <v>115</v>
      </c>
      <c r="E6" s="193"/>
      <c r="F6" s="193"/>
    </row>
    <row r="7" spans="1:6">
      <c r="A7" s="195" t="s">
        <v>116</v>
      </c>
      <c r="B7" s="195"/>
      <c r="C7" s="196"/>
      <c r="D7" s="196" t="s">
        <v>116</v>
      </c>
      <c r="E7" s="196"/>
      <c r="F7" s="196"/>
    </row>
    <row r="8" spans="1:6">
      <c r="A8" s="479" t="s">
        <v>216</v>
      </c>
      <c r="B8" s="479"/>
      <c r="C8" s="197"/>
      <c r="D8" s="480"/>
      <c r="E8" s="480"/>
      <c r="F8" s="480"/>
    </row>
    <row r="9" spans="1:6">
      <c r="A9" s="195" t="s">
        <v>117</v>
      </c>
      <c r="B9" s="195"/>
      <c r="C9" s="196"/>
      <c r="D9" s="196" t="s">
        <v>117</v>
      </c>
      <c r="E9" s="196"/>
      <c r="F9" s="196"/>
    </row>
    <row r="10" spans="1:6">
      <c r="A10" s="479" t="s">
        <v>217</v>
      </c>
      <c r="B10" s="479"/>
      <c r="C10" s="197"/>
      <c r="D10" s="480" t="str">
        <f>A10</f>
        <v>TEXTUFIL S.A. DE C.V.</v>
      </c>
      <c r="E10" s="480"/>
      <c r="F10" s="480"/>
    </row>
    <row r="11" spans="1:6">
      <c r="A11" s="200" t="s">
        <v>118</v>
      </c>
      <c r="B11" s="200"/>
      <c r="C11" s="198"/>
      <c r="D11" s="198" t="s">
        <v>118</v>
      </c>
      <c r="E11" s="198"/>
      <c r="F11" s="198"/>
    </row>
    <row r="12" spans="1:6">
      <c r="A12" s="481" t="s">
        <v>218</v>
      </c>
      <c r="B12" s="481"/>
      <c r="C12" s="199"/>
      <c r="D12" s="482" t="str">
        <f>A12</f>
        <v>AV. PABLO TESAK, SOYAPANGO, SAN SALVADOR             EL SALVADOR</v>
      </c>
      <c r="E12" s="483"/>
      <c r="F12" s="483"/>
    </row>
    <row r="13" spans="1:6">
      <c r="A13" s="481"/>
      <c r="B13" s="481"/>
      <c r="C13" s="198"/>
      <c r="D13" s="483"/>
      <c r="E13" s="483"/>
      <c r="F13" s="483"/>
    </row>
    <row r="14" spans="1:6">
      <c r="A14" s="200" t="s">
        <v>119</v>
      </c>
      <c r="B14" s="200"/>
      <c r="C14" s="198"/>
      <c r="D14" s="198" t="s">
        <v>119</v>
      </c>
      <c r="E14" s="198"/>
      <c r="F14" s="198"/>
    </row>
    <row r="15" spans="1:6">
      <c r="A15" s="479">
        <v>22770066</v>
      </c>
      <c r="B15" s="479"/>
      <c r="C15" s="197"/>
      <c r="D15" s="484">
        <f>A15</f>
        <v>22770066</v>
      </c>
      <c r="E15" s="484"/>
      <c r="F15" s="484"/>
    </row>
    <row r="16" spans="1:6">
      <c r="A16" s="200" t="s">
        <v>120</v>
      </c>
      <c r="B16" s="200"/>
      <c r="C16" s="198"/>
      <c r="D16" s="198" t="s">
        <v>120</v>
      </c>
      <c r="E16" s="198"/>
      <c r="F16" s="198"/>
    </row>
    <row r="17" spans="1:6">
      <c r="A17" s="176" t="s">
        <v>219</v>
      </c>
      <c r="B17" s="175"/>
      <c r="C17" s="197"/>
      <c r="D17" s="485" t="str">
        <f>A17</f>
        <v>earteaga@textufil.com</v>
      </c>
      <c r="E17" s="486"/>
      <c r="F17" s="486"/>
    </row>
    <row r="18" spans="1:6">
      <c r="A18" s="201"/>
      <c r="B18" s="199"/>
      <c r="C18" s="199"/>
      <c r="D18" s="199"/>
      <c r="E18" s="199"/>
      <c r="F18" s="199"/>
    </row>
    <row r="19" spans="1:6">
      <c r="A19" s="202" t="s">
        <v>121</v>
      </c>
      <c r="B19" s="203"/>
      <c r="C19" s="204"/>
      <c r="D19" s="202" t="s">
        <v>122</v>
      </c>
      <c r="E19" s="204"/>
      <c r="F19" s="204" t="s">
        <v>123</v>
      </c>
    </row>
    <row r="20" spans="1:6">
      <c r="A20" s="177"/>
      <c r="B20" s="178"/>
      <c r="C20" s="179"/>
      <c r="D20" s="474"/>
      <c r="E20" s="475"/>
      <c r="F20" s="180"/>
    </row>
    <row r="21" spans="1:6">
      <c r="A21" s="205" t="s">
        <v>124</v>
      </c>
      <c r="B21" s="487" t="s">
        <v>125</v>
      </c>
      <c r="C21" s="488"/>
      <c r="D21" s="205" t="s">
        <v>207</v>
      </c>
      <c r="E21" s="205" t="s">
        <v>127</v>
      </c>
      <c r="F21" s="205" t="s">
        <v>128</v>
      </c>
    </row>
    <row r="22" spans="1:6">
      <c r="A22" s="181" t="s">
        <v>196</v>
      </c>
      <c r="B22" s="489" t="s">
        <v>241</v>
      </c>
      <c r="C22" s="490"/>
      <c r="D22" s="403">
        <v>376</v>
      </c>
      <c r="E22" s="182">
        <v>3.81</v>
      </c>
      <c r="F22" s="182">
        <f>+D22*E22</f>
        <v>1432.56</v>
      </c>
    </row>
    <row r="23" spans="1:6" ht="14.4" customHeight="1">
      <c r="A23" s="181" t="s">
        <v>197</v>
      </c>
      <c r="B23" s="489" t="s">
        <v>241</v>
      </c>
      <c r="C23" s="490"/>
      <c r="D23" s="403">
        <v>506</v>
      </c>
      <c r="E23" s="182">
        <v>3.81</v>
      </c>
      <c r="F23" s="182">
        <f>+D23*E23</f>
        <v>1927.8600000000001</v>
      </c>
    </row>
    <row r="24" spans="1:6" ht="14.4" customHeight="1">
      <c r="A24" s="181" t="s">
        <v>198</v>
      </c>
      <c r="B24" s="489" t="s">
        <v>241</v>
      </c>
      <c r="C24" s="490"/>
      <c r="D24" s="403">
        <v>376</v>
      </c>
      <c r="E24" s="182">
        <v>4.0199999999999996</v>
      </c>
      <c r="F24" s="182">
        <f t="shared" ref="F24:F29" si="0">+D24*E24</f>
        <v>1511.5199999999998</v>
      </c>
    </row>
    <row r="25" spans="1:6" ht="14.4" customHeight="1">
      <c r="A25" s="181" t="s">
        <v>199</v>
      </c>
      <c r="B25" s="489" t="s">
        <v>241</v>
      </c>
      <c r="C25" s="490"/>
      <c r="D25" s="403">
        <v>506</v>
      </c>
      <c r="E25" s="182">
        <v>4.34</v>
      </c>
      <c r="F25" s="182">
        <f t="shared" si="0"/>
        <v>2196.04</v>
      </c>
    </row>
    <row r="26" spans="1:6">
      <c r="A26" s="173" t="s">
        <v>200</v>
      </c>
      <c r="B26" s="489" t="s">
        <v>204</v>
      </c>
      <c r="C26" s="490"/>
      <c r="D26" s="403">
        <v>30</v>
      </c>
      <c r="E26" s="182">
        <v>3.69</v>
      </c>
      <c r="F26" s="182">
        <f t="shared" si="0"/>
        <v>110.7</v>
      </c>
    </row>
    <row r="27" spans="1:6">
      <c r="A27" s="173" t="s">
        <v>201</v>
      </c>
      <c r="B27" s="489" t="s">
        <v>204</v>
      </c>
      <c r="C27" s="490"/>
      <c r="D27" s="403">
        <v>30</v>
      </c>
      <c r="E27" s="182">
        <v>3.69</v>
      </c>
      <c r="F27" s="182">
        <f t="shared" si="0"/>
        <v>110.7</v>
      </c>
    </row>
    <row r="28" spans="1:6">
      <c r="A28" s="173" t="s">
        <v>202</v>
      </c>
      <c r="B28" s="489" t="s">
        <v>204</v>
      </c>
      <c r="C28" s="490"/>
      <c r="D28" s="403">
        <v>30</v>
      </c>
      <c r="E28" s="182">
        <v>3.9</v>
      </c>
      <c r="F28" s="182">
        <f t="shared" si="0"/>
        <v>117</v>
      </c>
    </row>
    <row r="29" spans="1:6">
      <c r="A29" s="173" t="s">
        <v>203</v>
      </c>
      <c r="B29" s="489" t="s">
        <v>204</v>
      </c>
      <c r="C29" s="490"/>
      <c r="D29" s="403">
        <v>30</v>
      </c>
      <c r="E29" s="182">
        <v>4.22</v>
      </c>
      <c r="F29" s="182">
        <f t="shared" si="0"/>
        <v>126.6</v>
      </c>
    </row>
    <row r="30" spans="1:6">
      <c r="A30" s="173"/>
      <c r="B30" s="503"/>
      <c r="C30" s="504"/>
      <c r="D30" s="173"/>
      <c r="E30" s="183"/>
      <c r="F30" s="184" t="str">
        <f t="shared" ref="F30:F31" si="1">IF(D30*E30=0,"",(D30*E30))</f>
        <v/>
      </c>
    </row>
    <row r="31" spans="1:6">
      <c r="A31" s="173"/>
      <c r="B31" s="503"/>
      <c r="C31" s="504"/>
      <c r="D31" s="173"/>
      <c r="E31" s="183"/>
      <c r="F31" s="184" t="str">
        <f t="shared" si="1"/>
        <v/>
      </c>
    </row>
    <row r="32" spans="1:6">
      <c r="A32" s="505"/>
      <c r="B32" s="506"/>
      <c r="C32" s="506"/>
      <c r="D32" s="506"/>
      <c r="E32" s="506"/>
      <c r="F32" s="507"/>
    </row>
    <row r="33" spans="1:6">
      <c r="A33" s="495" t="s">
        <v>129</v>
      </c>
      <c r="B33" s="495"/>
      <c r="C33" s="496"/>
      <c r="D33" s="497" t="s">
        <v>130</v>
      </c>
      <c r="E33" s="498"/>
      <c r="F33" s="185">
        <f>SUM(F22:F31)</f>
        <v>7532.98</v>
      </c>
    </row>
    <row r="34" spans="1:6">
      <c r="A34" s="499"/>
      <c r="B34" s="499"/>
      <c r="C34" s="500"/>
      <c r="D34" s="186" t="s">
        <v>131</v>
      </c>
      <c r="E34" s="187"/>
      <c r="F34" s="188"/>
    </row>
    <row r="35" spans="1:6">
      <c r="A35" s="499"/>
      <c r="B35" s="499"/>
      <c r="C35" s="500"/>
      <c r="D35" s="186" t="s">
        <v>132</v>
      </c>
      <c r="E35" s="187"/>
      <c r="F35" s="188"/>
    </row>
    <row r="36" spans="1:6">
      <c r="A36" s="499"/>
      <c r="B36" s="499"/>
      <c r="C36" s="500"/>
      <c r="D36" s="501" t="s">
        <v>133</v>
      </c>
      <c r="E36" s="502"/>
      <c r="F36" s="188"/>
    </row>
    <row r="37" spans="1:6">
      <c r="A37" s="499"/>
      <c r="B37" s="499"/>
      <c r="C37" s="500"/>
      <c r="D37" s="501" t="s">
        <v>134</v>
      </c>
      <c r="E37" s="502"/>
      <c r="F37" s="188"/>
    </row>
    <row r="38" spans="1:6">
      <c r="A38" s="499"/>
      <c r="B38" s="499"/>
      <c r="C38" s="500"/>
      <c r="D38" s="497" t="s">
        <v>135</v>
      </c>
      <c r="E38" s="498"/>
      <c r="F38" s="185">
        <f>F33+F35+F36+F37-F34</f>
        <v>7532.98</v>
      </c>
    </row>
    <row r="39" spans="1:6">
      <c r="A39" s="508"/>
      <c r="B39" s="508"/>
      <c r="C39" s="508"/>
      <c r="D39" s="508"/>
      <c r="E39" s="508"/>
      <c r="F39" s="508"/>
    </row>
    <row r="44" spans="1:6">
      <c r="A44" s="206" t="s">
        <v>225</v>
      </c>
      <c r="D44" t="s">
        <v>224</v>
      </c>
    </row>
    <row r="45" spans="1:6">
      <c r="B45" s="408" t="s">
        <v>222</v>
      </c>
      <c r="D45" s="509" t="s">
        <v>221</v>
      </c>
      <c r="E45" s="509"/>
      <c r="F45" s="509"/>
    </row>
    <row r="46" spans="1:6">
      <c r="B46" s="190"/>
      <c r="E46" s="510"/>
      <c r="F46" s="510"/>
    </row>
    <row r="49" spans="2:4">
      <c r="B49" s="207" t="s">
        <v>137</v>
      </c>
      <c r="C49" s="189"/>
      <c r="D49" s="189"/>
    </row>
    <row r="50" spans="2:4">
      <c r="C50" s="510" t="s">
        <v>140</v>
      </c>
      <c r="D50" s="510"/>
    </row>
    <row r="51" spans="2:4">
      <c r="C51" s="510"/>
      <c r="D51" s="510"/>
    </row>
  </sheetData>
  <mergeCells count="35">
    <mergeCell ref="D20:E20"/>
    <mergeCell ref="A1:B4"/>
    <mergeCell ref="C1:F2"/>
    <mergeCell ref="A8:B8"/>
    <mergeCell ref="D8:F8"/>
    <mergeCell ref="A10:B10"/>
    <mergeCell ref="D10:F10"/>
    <mergeCell ref="A12:B13"/>
    <mergeCell ref="D12:F13"/>
    <mergeCell ref="A15:B15"/>
    <mergeCell ref="D15:F15"/>
    <mergeCell ref="D17:F17"/>
    <mergeCell ref="A32:F32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A33:C33"/>
    <mergeCell ref="D33:E33"/>
    <mergeCell ref="A34:C38"/>
    <mergeCell ref="D36:E36"/>
    <mergeCell ref="D37:E37"/>
    <mergeCell ref="D38:E38"/>
    <mergeCell ref="A39:F39"/>
    <mergeCell ref="E46:F46"/>
    <mergeCell ref="C50:D50"/>
    <mergeCell ref="C51:D51"/>
    <mergeCell ref="D45:F45"/>
  </mergeCells>
  <hyperlinks>
    <hyperlink ref="A17" r:id="rId1" xr:uid="{EFC92475-5D82-4A08-9B16-137C81247657}"/>
  </hyperlinks>
  <pageMargins left="0.94488188976377963" right="0.23622047244094491" top="0.55118110236220474" bottom="0.74803149606299213" header="0.19685039370078741" footer="0.31496062992125984"/>
  <pageSetup scale="80" orientation="portrait" horizontalDpi="0" verticalDpi="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1 R 6 W V P t g P 6 l A A A A 9 w A A A B I A H A B D b 2 5 m a W c v U G F j a 2 F n Z S 5 4 b W w g o h g A K K A U A A A A A A A A A A A A A A A A A A A A A A A A A A A A h Y 9 N D o I w G E S v Q r q n P 0 C i m I + y c C u J i Y l x 2 5 Q K j V A M L Z a 7 u f B I X k G M o u 5 c z p u 3 m L l f b 5 C P b R N c V G 9 1 Z z L E M E W B M r I r t a k y N L h j u E Q 5 h 6 2 Q J 1 G p Y J K N X Y 2 2 z F D t 3 H l F i P c e + x h 3 f U U i S h k 5 F J u d r F U r 0 E f W / + V Q G + u E k Q p x 2 L / G 8 A i z O M F s k W I K Z I Z Q a P M V o m n v s / 2 B s B 4 a N / S K K x s m L A U y Z y D v E / w B U E s D B B Q A A g A I A C t U e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V H p Z K I p H u A 4 A A A A R A A A A E w A c A E Z v c m 1 1 b G F z L 1 N l Y 3 R p b 2 4 x L m 0 g o h g A K K A U A A A A A A A A A A A A A A A A A A A A A A A A A A A A K 0 5 N L s n M z 1 M I h t C G 1 g B Q S w E C L Q A U A A I A C A A r V H p Z U + 2 A / q U A A A D 3 A A A A E g A A A A A A A A A A A A A A A A A A A A A A Q 2 9 u Z m l n L 1 B h Y 2 t h Z 2 U u e G 1 s U E s B A i 0 A F A A C A A g A K 1 R 6 W Q / K 6 a u k A A A A 6 Q A A A B M A A A A A A A A A A A A A A A A A 8 Q A A A F t D b 2 5 0 Z W 5 0 X 1 R 5 c G V z X S 5 4 b W x Q S w E C L Q A U A A I A C A A r V H p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F G V 8 U Q v q 2 k K t R K J + 7 U B w 9 Q A A A A A C A A A A A A A Q Z g A A A A E A A C A A A A A I q D R M z + 8 A y d V r F 8 / z f N 1 8 j w H a Q Q G 5 R e O 5 A 6 5 V u F B F c Q A A A A A O g A A A A A I A A C A A A A A c t O K D 3 3 W v Z n / u c N R k 7 M E M B r U L G c g J 0 h d a C b 2 9 O i Y 1 t l A A A A A 6 N 3 4 K y w a n z j u y U I A N y c Z w y H S 9 m s h Y Z j G U o Z T j p i A t w u k Q M 9 T J N K n 8 h H D i 6 g v C f 9 U e H / r D K 0 0 C B / G e u j J x h K C V r f R 4 2 f C 0 1 x G p 4 S P y j W Q 0 i 0 A A A A C H g y Q 4 T L 5 p 7 r X m x g i T V h D O d K m J s M A D 8 t J N q + m x o k e 1 S 3 G k I R r e / I R V x L m J P 0 S / Z w g Q y 2 d W D U s Y K v P n n K 8 t Y a j m < / D a t a M a s h u p > 
</file>

<file path=customXml/itemProps1.xml><?xml version="1.0" encoding="utf-8"?>
<ds:datastoreItem xmlns:ds="http://schemas.openxmlformats.org/officeDocument/2006/customXml" ds:itemID="{10ED4082-C62D-42EE-AB62-205FD9BA3A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2</vt:i4>
      </vt:variant>
    </vt:vector>
  </HeadingPairs>
  <TitlesOfParts>
    <vt:vector size="20" baseType="lpstr">
      <vt:lpstr>4884MX</vt:lpstr>
      <vt:lpstr>4885MX</vt:lpstr>
      <vt:lpstr>4886MX</vt:lpstr>
      <vt:lpstr>4887MX</vt:lpstr>
      <vt:lpstr>SPPS</vt:lpstr>
      <vt:lpstr>FABRIC &amp; TRIMS </vt:lpstr>
      <vt:lpstr>Hoja1</vt:lpstr>
      <vt:lpstr>FABRIC REPLENISHMENT</vt:lpstr>
      <vt:lpstr>FABRIC-PO</vt:lpstr>
      <vt:lpstr>SP PO#1</vt:lpstr>
      <vt:lpstr>SP PO#2</vt:lpstr>
      <vt:lpstr>SP PO#3</vt:lpstr>
      <vt:lpstr>THREAD</vt:lpstr>
      <vt:lpstr>CARE LABEL</vt:lpstr>
      <vt:lpstr>HEAT SEAL</vt:lpstr>
      <vt:lpstr>POLYBAG</vt:lpstr>
      <vt:lpstr>CARTON</vt:lpstr>
      <vt:lpstr>FABRIC &amp; TRIMS  (2)</vt:lpstr>
      <vt:lpstr>'FABRIC &amp; TRIMS '!Área_de_impresión</vt:lpstr>
      <vt:lpstr>'FABRIC &amp; TRIMS 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Olivar</dc:creator>
  <cp:lastModifiedBy>Joan Olivar</cp:lastModifiedBy>
  <cp:lastPrinted>2025-02-18T13:55:38Z</cp:lastPrinted>
  <dcterms:created xsi:type="dcterms:W3CDTF">2024-11-22T17:18:14Z</dcterms:created>
  <dcterms:modified xsi:type="dcterms:W3CDTF">2025-02-19T18:29:52Z</dcterms:modified>
</cp:coreProperties>
</file>