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rftool\git_new\rftool_client\examples\awg_x8_continuous_send_recv\"/>
    </mc:Choice>
  </mc:AlternateContent>
  <xr:revisionPtr revIDLastSave="0" documentId="13_ncr:1_{356BE86C-C517-43B1-B82F-85DB56600BD9}" xr6:coauthVersionLast="47" xr6:coauthVersionMax="47" xr10:uidLastSave="{00000000-0000-0000-0000-000000000000}"/>
  <bookViews>
    <workbookView xWindow="4320" yWindow="525" windowWidth="30015" windowHeight="19530" activeTab="1" xr2:uid="{18A7600C-3FF1-4B99-B190-D6B6417BA721}"/>
  </bookViews>
  <sheets>
    <sheet name="Non-MTS版 BRAM キャプチャ" sheetId="10" r:id="rId1"/>
    <sheet name="MTS版 BRAM キャプチャ" sheetId="9" r:id="rId2"/>
    <sheet name="Non-MTS版 DRAM キャプチャ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7" l="1"/>
  <c r="D16" i="7"/>
  <c r="U8" i="7"/>
  <c r="U5" i="7"/>
  <c r="P16" i="7" l="1"/>
  <c r="Q16" i="7" s="1"/>
  <c r="P17" i="7"/>
  <c r="AF36" i="7"/>
  <c r="G17" i="7" l="1"/>
  <c r="G16" i="7"/>
  <c r="AB16" i="7" s="1"/>
  <c r="AC16" i="7" s="1"/>
  <c r="U10" i="7" l="1"/>
  <c r="AD11" i="7" s="1"/>
  <c r="AD5" i="7" l="1"/>
  <c r="AD7" i="7"/>
  <c r="AB17" i="7"/>
  <c r="AB18" i="7"/>
  <c r="AB19" i="7"/>
  <c r="AB20" i="7"/>
  <c r="AB21" i="7"/>
  <c r="AB22" i="7"/>
  <c r="AE22" i="7" s="1"/>
  <c r="AB23" i="7"/>
  <c r="AB24" i="7"/>
  <c r="AB25" i="7"/>
  <c r="AB26" i="7"/>
  <c r="AB27" i="7"/>
  <c r="AB28" i="7"/>
  <c r="AB29" i="7"/>
  <c r="AB30" i="7"/>
  <c r="AB31" i="7"/>
  <c r="AB32" i="7"/>
  <c r="AB33" i="7"/>
  <c r="AB34" i="7"/>
  <c r="AE34" i="7" s="1"/>
  <c r="AB35" i="7"/>
  <c r="AB36" i="7"/>
  <c r="AB37" i="7"/>
  <c r="AB38" i="7"/>
  <c r="AB39" i="7"/>
  <c r="AB40" i="7"/>
  <c r="AB41" i="7"/>
  <c r="AE41" i="7" s="1"/>
  <c r="AB42" i="7"/>
  <c r="AB43" i="7"/>
  <c r="AB44" i="7"/>
  <c r="AB45" i="7"/>
  <c r="AB46" i="7"/>
  <c r="AB47" i="7"/>
  <c r="U12" i="7"/>
  <c r="C49" i="7"/>
  <c r="G46" i="9"/>
  <c r="F46" i="9"/>
  <c r="E46" i="9"/>
  <c r="D46" i="9"/>
  <c r="C46" i="9"/>
  <c r="V17" i="7"/>
  <c r="V16" i="7"/>
  <c r="Q46" i="9"/>
  <c r="N46" i="9"/>
  <c r="O46" i="9" s="1"/>
  <c r="Q45" i="9"/>
  <c r="P45" i="9"/>
  <c r="R45" i="9" s="1"/>
  <c r="S45" i="9" s="1"/>
  <c r="W12" i="9" s="1"/>
  <c r="N45" i="9"/>
  <c r="O45" i="9" s="1"/>
  <c r="P46" i="9" s="1"/>
  <c r="R46" i="9" s="1"/>
  <c r="S46" i="9" s="1"/>
  <c r="Q43" i="9"/>
  <c r="O43" i="9"/>
  <c r="U43" i="9" s="1"/>
  <c r="N43" i="9"/>
  <c r="U42" i="9"/>
  <c r="Q42" i="9"/>
  <c r="O42" i="9"/>
  <c r="P43" i="9" s="1"/>
  <c r="R43" i="9" s="1"/>
  <c r="S43" i="9" s="1"/>
  <c r="W43" i="9" s="1"/>
  <c r="N42" i="9"/>
  <c r="Q41" i="9"/>
  <c r="N41" i="9"/>
  <c r="O41" i="9" s="1"/>
  <c r="Q40" i="9"/>
  <c r="O40" i="9"/>
  <c r="U40" i="9" s="1"/>
  <c r="N40" i="9"/>
  <c r="Q39" i="9"/>
  <c r="P39" i="9"/>
  <c r="R39" i="9" s="1"/>
  <c r="S39" i="9" s="1"/>
  <c r="W39" i="9" s="1"/>
  <c r="N39" i="9"/>
  <c r="O39" i="9" s="1"/>
  <c r="Q38" i="9"/>
  <c r="O38" i="9"/>
  <c r="U38" i="9" s="1"/>
  <c r="N38" i="9"/>
  <c r="Q37" i="9"/>
  <c r="N37" i="9"/>
  <c r="O37" i="9" s="1"/>
  <c r="Q36" i="9"/>
  <c r="P36" i="9"/>
  <c r="R36" i="9" s="1"/>
  <c r="S36" i="9" s="1"/>
  <c r="W36" i="9" s="1"/>
  <c r="O36" i="9"/>
  <c r="U36" i="9" s="1"/>
  <c r="N36" i="9"/>
  <c r="U35" i="9"/>
  <c r="Q35" i="9"/>
  <c r="O35" i="9"/>
  <c r="N35" i="9"/>
  <c r="Q34" i="9"/>
  <c r="N34" i="9"/>
  <c r="O34" i="9" s="1"/>
  <c r="Q33" i="9"/>
  <c r="O33" i="9"/>
  <c r="P34" i="9" s="1"/>
  <c r="R34" i="9" s="1"/>
  <c r="S34" i="9" s="1"/>
  <c r="W34" i="9" s="1"/>
  <c r="N33" i="9"/>
  <c r="Q32" i="9"/>
  <c r="P32" i="9"/>
  <c r="R32" i="9" s="1"/>
  <c r="S32" i="9" s="1"/>
  <c r="W32" i="9" s="1"/>
  <c r="N32" i="9"/>
  <c r="O32" i="9" s="1"/>
  <c r="Q31" i="9"/>
  <c r="O31" i="9"/>
  <c r="U31" i="9" s="1"/>
  <c r="N31" i="9"/>
  <c r="R30" i="9"/>
  <c r="S30" i="9" s="1"/>
  <c r="W30" i="9" s="1"/>
  <c r="Q30" i="9"/>
  <c r="P30" i="9"/>
  <c r="N30" i="9"/>
  <c r="O30" i="9" s="1"/>
  <c r="Q29" i="9"/>
  <c r="O29" i="9"/>
  <c r="U29" i="9" s="1"/>
  <c r="N29" i="9"/>
  <c r="Q28" i="9"/>
  <c r="O28" i="9"/>
  <c r="U28" i="9" s="1"/>
  <c r="N28" i="9"/>
  <c r="Q27" i="9"/>
  <c r="N27" i="9"/>
  <c r="O27" i="9" s="1"/>
  <c r="Q26" i="9"/>
  <c r="N26" i="9"/>
  <c r="O26" i="9" s="1"/>
  <c r="Q25" i="9"/>
  <c r="N25" i="9"/>
  <c r="O25" i="9" s="1"/>
  <c r="Q24" i="9"/>
  <c r="O24" i="9"/>
  <c r="U24" i="9" s="1"/>
  <c r="N24" i="9"/>
  <c r="Q23" i="9"/>
  <c r="N23" i="9"/>
  <c r="O23" i="9" s="1"/>
  <c r="Q22" i="9"/>
  <c r="N22" i="9"/>
  <c r="O22" i="9" s="1"/>
  <c r="Q21" i="9"/>
  <c r="O21" i="9"/>
  <c r="P22" i="9" s="1"/>
  <c r="R22" i="9" s="1"/>
  <c r="S22" i="9" s="1"/>
  <c r="W22" i="9" s="1"/>
  <c r="N21" i="9"/>
  <c r="Q20" i="9"/>
  <c r="P20" i="9"/>
  <c r="R20" i="9" s="1"/>
  <c r="S20" i="9" s="1"/>
  <c r="W20" i="9" s="1"/>
  <c r="N20" i="9"/>
  <c r="O20" i="9" s="1"/>
  <c r="Q19" i="9"/>
  <c r="O19" i="9"/>
  <c r="U19" i="9" s="1"/>
  <c r="N19" i="9"/>
  <c r="R18" i="9"/>
  <c r="S18" i="9" s="1"/>
  <c r="W18" i="9" s="1"/>
  <c r="Q18" i="9"/>
  <c r="P18" i="9"/>
  <c r="N18" i="9"/>
  <c r="O18" i="9" s="1"/>
  <c r="Q17" i="9"/>
  <c r="O17" i="9"/>
  <c r="U17" i="9" s="1"/>
  <c r="N17" i="9"/>
  <c r="Q16" i="9"/>
  <c r="O16" i="9"/>
  <c r="U16" i="9" s="1"/>
  <c r="N16" i="9"/>
  <c r="Q15" i="9"/>
  <c r="P15" i="9"/>
  <c r="R15" i="9" s="1"/>
  <c r="S15" i="9" s="1"/>
  <c r="W15" i="9" s="1"/>
  <c r="N15" i="9"/>
  <c r="O15" i="9" s="1"/>
  <c r="Q14" i="9"/>
  <c r="O14" i="9"/>
  <c r="U14" i="9" s="1"/>
  <c r="N14" i="9"/>
  <c r="T13" i="9"/>
  <c r="Q13" i="9"/>
  <c r="N13" i="9"/>
  <c r="O13" i="9" s="1"/>
  <c r="T12" i="9"/>
  <c r="Q12" i="9"/>
  <c r="R12" i="9" s="1"/>
  <c r="S12" i="9" s="1"/>
  <c r="N12" i="9"/>
  <c r="O12" i="9" s="1"/>
  <c r="K12" i="9"/>
  <c r="L12" i="9" s="1"/>
  <c r="W43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T13" i="10"/>
  <c r="T12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16" i="10"/>
  <c r="S12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2" i="10"/>
  <c r="L25" i="7"/>
  <c r="L18" i="7"/>
  <c r="L17" i="7"/>
  <c r="H15" i="7"/>
  <c r="G15" i="7"/>
  <c r="P25" i="7"/>
  <c r="Q25" i="7" s="1"/>
  <c r="W25" i="7" s="1"/>
  <c r="P24" i="7"/>
  <c r="Q24" i="7" s="1"/>
  <c r="W24" i="7" s="1"/>
  <c r="P23" i="7"/>
  <c r="Q23" i="7" s="1"/>
  <c r="W23" i="7" s="1"/>
  <c r="P22" i="7"/>
  <c r="Q22" i="7" s="1"/>
  <c r="W22" i="7" s="1"/>
  <c r="P21" i="7"/>
  <c r="Q21" i="7" s="1"/>
  <c r="W21" i="7" s="1"/>
  <c r="P20" i="7"/>
  <c r="Q20" i="7" s="1"/>
  <c r="W20" i="7" s="1"/>
  <c r="P19" i="7"/>
  <c r="Q19" i="7" s="1"/>
  <c r="W19" i="7" s="1"/>
  <c r="P18" i="7"/>
  <c r="Q18" i="7" s="1"/>
  <c r="R19" i="7" s="1"/>
  <c r="Q17" i="7"/>
  <c r="R18" i="7" s="1"/>
  <c r="L47" i="7"/>
  <c r="L19" i="7"/>
  <c r="L20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H49" i="7"/>
  <c r="M16" i="7"/>
  <c r="U6" i="7"/>
  <c r="D50" i="7" s="1"/>
  <c r="AC37" i="7" l="1"/>
  <c r="AC25" i="7"/>
  <c r="AC36" i="7"/>
  <c r="AC24" i="7"/>
  <c r="AE47" i="7"/>
  <c r="AC47" i="7"/>
  <c r="AC35" i="7"/>
  <c r="AC23" i="7"/>
  <c r="AC46" i="7"/>
  <c r="AC34" i="7"/>
  <c r="AC22" i="7"/>
  <c r="AC45" i="7"/>
  <c r="AC33" i="7"/>
  <c r="AE21" i="7"/>
  <c r="AC21" i="7"/>
  <c r="AE44" i="7"/>
  <c r="AC44" i="7"/>
  <c r="AC32" i="7"/>
  <c r="AC20" i="7"/>
  <c r="AC43" i="7"/>
  <c r="AC31" i="7"/>
  <c r="AC19" i="7"/>
  <c r="AC42" i="7"/>
  <c r="AC30" i="7"/>
  <c r="AC18" i="7"/>
  <c r="AC41" i="7"/>
  <c r="AC29" i="7"/>
  <c r="AE17" i="7"/>
  <c r="AF17" i="7" s="1"/>
  <c r="AC17" i="7"/>
  <c r="AC40" i="7"/>
  <c r="AE28" i="7"/>
  <c r="AF28" i="7" s="1"/>
  <c r="AC28" i="7"/>
  <c r="AC39" i="7"/>
  <c r="AC27" i="7"/>
  <c r="AC38" i="7"/>
  <c r="AC26" i="7"/>
  <c r="AF47" i="7"/>
  <c r="AD9" i="7"/>
  <c r="AD16" i="7" s="1"/>
  <c r="AE16" i="7" s="1"/>
  <c r="AE18" i="7"/>
  <c r="AF18" i="7" s="1"/>
  <c r="AF21" i="7"/>
  <c r="AF41" i="7"/>
  <c r="AE32" i="7"/>
  <c r="AE38" i="7"/>
  <c r="AE24" i="7"/>
  <c r="AF24" i="7" s="1"/>
  <c r="AE39" i="7"/>
  <c r="AF39" i="7" s="1"/>
  <c r="AE46" i="7"/>
  <c r="AF46" i="7" s="1"/>
  <c r="C50" i="7"/>
  <c r="AE45" i="7"/>
  <c r="H50" i="7"/>
  <c r="F50" i="7"/>
  <c r="AE36" i="7"/>
  <c r="E50" i="7"/>
  <c r="AE43" i="7"/>
  <c r="AF43" i="7" s="1"/>
  <c r="L16" i="7"/>
  <c r="N16" i="7" s="1"/>
  <c r="G49" i="7"/>
  <c r="G50" i="7"/>
  <c r="AB50" i="7" s="1"/>
  <c r="S16" i="7"/>
  <c r="T16" i="7" s="1"/>
  <c r="U16" i="7" s="1"/>
  <c r="AE33" i="7"/>
  <c r="AF33" i="7" s="1"/>
  <c r="AE26" i="7"/>
  <c r="AE23" i="7"/>
  <c r="AF23" i="7" s="1"/>
  <c r="AE37" i="7"/>
  <c r="AF37" i="7" s="1"/>
  <c r="AE29" i="7"/>
  <c r="AF29" i="7" s="1"/>
  <c r="AE27" i="7"/>
  <c r="AF27" i="7" s="1"/>
  <c r="AE19" i="7"/>
  <c r="AF19" i="7" s="1"/>
  <c r="AE31" i="7"/>
  <c r="AF31" i="7" s="1"/>
  <c r="AF34" i="7"/>
  <c r="AE40" i="7"/>
  <c r="AF40" i="7" s="1"/>
  <c r="AE25" i="7"/>
  <c r="AF25" i="7" s="1"/>
  <c r="AE20" i="7"/>
  <c r="AF20" i="7" s="1"/>
  <c r="AE35" i="7"/>
  <c r="AE30" i="7"/>
  <c r="AE42" i="7"/>
  <c r="AF42" i="7" s="1"/>
  <c r="W18" i="7"/>
  <c r="W17" i="7"/>
  <c r="U13" i="9"/>
  <c r="P14" i="9"/>
  <c r="R14" i="9" s="1"/>
  <c r="S14" i="9" s="1"/>
  <c r="W14" i="9" s="1"/>
  <c r="U26" i="9"/>
  <c r="P27" i="9"/>
  <c r="R27" i="9" s="1"/>
  <c r="S27" i="9" s="1"/>
  <c r="W27" i="9" s="1"/>
  <c r="U25" i="9"/>
  <c r="P26" i="9"/>
  <c r="R26" i="9" s="1"/>
  <c r="S26" i="9" s="1"/>
  <c r="W26" i="9" s="1"/>
  <c r="P35" i="9"/>
  <c r="R35" i="9" s="1"/>
  <c r="S35" i="9" s="1"/>
  <c r="W35" i="9" s="1"/>
  <c r="U34" i="9"/>
  <c r="P19" i="9"/>
  <c r="R19" i="9" s="1"/>
  <c r="S19" i="9" s="1"/>
  <c r="W19" i="9" s="1"/>
  <c r="U18" i="9"/>
  <c r="U27" i="9"/>
  <c r="P28" i="9"/>
  <c r="R28" i="9" s="1"/>
  <c r="S28" i="9" s="1"/>
  <c r="W28" i="9" s="1"/>
  <c r="U39" i="9"/>
  <c r="P40" i="9"/>
  <c r="R40" i="9" s="1"/>
  <c r="S40" i="9" s="1"/>
  <c r="W40" i="9" s="1"/>
  <c r="P23" i="9"/>
  <c r="R23" i="9" s="1"/>
  <c r="S23" i="9" s="1"/>
  <c r="W23" i="9" s="1"/>
  <c r="U22" i="9"/>
  <c r="P31" i="9"/>
  <c r="R31" i="9" s="1"/>
  <c r="S31" i="9" s="1"/>
  <c r="W31" i="9" s="1"/>
  <c r="U30" i="9"/>
  <c r="U15" i="9"/>
  <c r="P16" i="9"/>
  <c r="R16" i="9" s="1"/>
  <c r="S16" i="9" s="1"/>
  <c r="W16" i="9" s="1"/>
  <c r="U23" i="9"/>
  <c r="P24" i="9"/>
  <c r="R24" i="9" s="1"/>
  <c r="S24" i="9" s="1"/>
  <c r="W24" i="9" s="1"/>
  <c r="P33" i="9"/>
  <c r="R33" i="9" s="1"/>
  <c r="S33" i="9" s="1"/>
  <c r="W33" i="9" s="1"/>
  <c r="U32" i="9"/>
  <c r="M37" i="9"/>
  <c r="K37" i="9" s="1"/>
  <c r="M25" i="9"/>
  <c r="K25" i="9" s="1"/>
  <c r="M13" i="9"/>
  <c r="K13" i="9" s="1"/>
  <c r="L13" i="9" s="1"/>
  <c r="M36" i="9"/>
  <c r="K36" i="9" s="1"/>
  <c r="M24" i="9"/>
  <c r="K24" i="9" s="1"/>
  <c r="M35" i="9"/>
  <c r="K35" i="9" s="1"/>
  <c r="M23" i="9"/>
  <c r="K23" i="9" s="1"/>
  <c r="M34" i="9"/>
  <c r="K34" i="9" s="1"/>
  <c r="M22" i="9"/>
  <c r="K22" i="9" s="1"/>
  <c r="M33" i="9"/>
  <c r="K33" i="9" s="1"/>
  <c r="M21" i="9"/>
  <c r="K21" i="9" s="1"/>
  <c r="M45" i="9"/>
  <c r="K45" i="9" s="1"/>
  <c r="M32" i="9"/>
  <c r="K32" i="9" s="1"/>
  <c r="M20" i="9"/>
  <c r="K20" i="9" s="1"/>
  <c r="U12" i="9"/>
  <c r="M43" i="9"/>
  <c r="K43" i="9" s="1"/>
  <c r="M31" i="9"/>
  <c r="K31" i="9" s="1"/>
  <c r="M19" i="9"/>
  <c r="K19" i="9" s="1"/>
  <c r="M46" i="9"/>
  <c r="K46" i="9" s="1"/>
  <c r="M42" i="9"/>
  <c r="K42" i="9" s="1"/>
  <c r="M30" i="9"/>
  <c r="K30" i="9" s="1"/>
  <c r="M18" i="9"/>
  <c r="K18" i="9" s="1"/>
  <c r="M38" i="9"/>
  <c r="K38" i="9" s="1"/>
  <c r="M14" i="9"/>
  <c r="K14" i="9" s="1"/>
  <c r="M41" i="9"/>
  <c r="K41" i="9" s="1"/>
  <c r="M29" i="9"/>
  <c r="K29" i="9" s="1"/>
  <c r="M17" i="9"/>
  <c r="K17" i="9" s="1"/>
  <c r="M40" i="9"/>
  <c r="K40" i="9" s="1"/>
  <c r="M28" i="9"/>
  <c r="K28" i="9" s="1"/>
  <c r="M16" i="9"/>
  <c r="K16" i="9" s="1"/>
  <c r="P13" i="9"/>
  <c r="R13" i="9" s="1"/>
  <c r="S13" i="9" s="1"/>
  <c r="W13" i="9" s="1"/>
  <c r="M26" i="9"/>
  <c r="K26" i="9" s="1"/>
  <c r="M39" i="9"/>
  <c r="K39" i="9" s="1"/>
  <c r="M27" i="9"/>
  <c r="K27" i="9" s="1"/>
  <c r="M15" i="9"/>
  <c r="K15" i="9" s="1"/>
  <c r="U41" i="9"/>
  <c r="P42" i="9"/>
  <c r="R42" i="9" s="1"/>
  <c r="S42" i="9" s="1"/>
  <c r="W42" i="9" s="1"/>
  <c r="P21" i="9"/>
  <c r="R21" i="9" s="1"/>
  <c r="S21" i="9" s="1"/>
  <c r="W21" i="9" s="1"/>
  <c r="U20" i="9"/>
  <c r="U37" i="9"/>
  <c r="P38" i="9"/>
  <c r="R38" i="9" s="1"/>
  <c r="S38" i="9" s="1"/>
  <c r="W38" i="9" s="1"/>
  <c r="P25" i="9"/>
  <c r="R25" i="9" s="1"/>
  <c r="S25" i="9" s="1"/>
  <c r="W25" i="9" s="1"/>
  <c r="P37" i="9"/>
  <c r="R37" i="9" s="1"/>
  <c r="S37" i="9" s="1"/>
  <c r="W37" i="9" s="1"/>
  <c r="U21" i="9"/>
  <c r="U33" i="9"/>
  <c r="P17" i="9"/>
  <c r="R17" i="9" s="1"/>
  <c r="S17" i="9" s="1"/>
  <c r="W17" i="9" s="1"/>
  <c r="P29" i="9"/>
  <c r="R29" i="9" s="1"/>
  <c r="S29" i="9" s="1"/>
  <c r="W29" i="9" s="1"/>
  <c r="P41" i="9"/>
  <c r="R41" i="9" s="1"/>
  <c r="S41" i="9" s="1"/>
  <c r="W41" i="9" s="1"/>
  <c r="R20" i="7"/>
  <c r="T20" i="7" s="1"/>
  <c r="U20" i="7" s="1"/>
  <c r="Y20" i="7" s="1"/>
  <c r="AD39" i="7" l="1"/>
  <c r="AD34" i="7"/>
  <c r="AD32" i="7"/>
  <c r="AD30" i="7"/>
  <c r="AD33" i="7"/>
  <c r="AD22" i="7"/>
  <c r="AD46" i="7"/>
  <c r="AD28" i="7"/>
  <c r="AD23" i="7"/>
  <c r="AD35" i="7"/>
  <c r="AD47" i="7"/>
  <c r="AD25" i="7"/>
  <c r="AD37" i="7"/>
  <c r="AD50" i="7"/>
  <c r="AD26" i="7"/>
  <c r="AD24" i="7"/>
  <c r="AD36" i="7"/>
  <c r="AD38" i="7"/>
  <c r="AD27" i="7"/>
  <c r="AD40" i="7"/>
  <c r="AD17" i="7"/>
  <c r="AD29" i="7"/>
  <c r="AD41" i="7"/>
  <c r="AD18" i="7"/>
  <c r="AD42" i="7"/>
  <c r="AD19" i="7"/>
  <c r="AD31" i="7"/>
  <c r="AD43" i="7"/>
  <c r="AD20" i="7"/>
  <c r="AD44" i="7"/>
  <c r="AD21" i="7"/>
  <c r="AD45" i="7"/>
  <c r="AC50" i="7"/>
  <c r="AF38" i="7"/>
  <c r="AF32" i="7"/>
  <c r="AF45" i="7"/>
  <c r="AF30" i="7"/>
  <c r="AF26" i="7"/>
  <c r="AF35" i="7"/>
  <c r="AB49" i="7"/>
  <c r="AD49" i="7" s="1"/>
  <c r="AF44" i="7"/>
  <c r="AF22" i="7"/>
  <c r="L49" i="7"/>
  <c r="L50" i="7"/>
  <c r="L39" i="9"/>
  <c r="T30" i="9"/>
  <c r="X30" i="9" s="1"/>
  <c r="L30" i="9"/>
  <c r="L22" i="9"/>
  <c r="T22" i="9"/>
  <c r="X22" i="9" s="1"/>
  <c r="L27" i="9"/>
  <c r="T18" i="9"/>
  <c r="X18" i="9" s="1"/>
  <c r="L18" i="9"/>
  <c r="T20" i="9" s="1"/>
  <c r="X20" i="9" s="1"/>
  <c r="L33" i="9"/>
  <c r="T35" i="9" s="1"/>
  <c r="X35" i="9" s="1"/>
  <c r="T33" i="9"/>
  <c r="X33" i="9" s="1"/>
  <c r="L26" i="9"/>
  <c r="L42" i="9"/>
  <c r="L34" i="9"/>
  <c r="T36" i="9" s="1"/>
  <c r="X36" i="9" s="1"/>
  <c r="T46" i="9"/>
  <c r="X13" i="9" s="1"/>
  <c r="L46" i="9"/>
  <c r="L23" i="9"/>
  <c r="T25" i="9" s="1"/>
  <c r="X25" i="9" s="1"/>
  <c r="L38" i="9"/>
  <c r="T38" i="9"/>
  <c r="X38" i="9" s="1"/>
  <c r="L16" i="9"/>
  <c r="L19" i="9"/>
  <c r="L35" i="9"/>
  <c r="L28" i="9"/>
  <c r="T28" i="9"/>
  <c r="X28" i="9" s="1"/>
  <c r="L24" i="9"/>
  <c r="T26" i="9" s="1"/>
  <c r="X26" i="9" s="1"/>
  <c r="T24" i="9"/>
  <c r="X24" i="9" s="1"/>
  <c r="T40" i="9"/>
  <c r="X40" i="9" s="1"/>
  <c r="L40" i="9"/>
  <c r="T42" i="9" s="1"/>
  <c r="X42" i="9" s="1"/>
  <c r="L43" i="9"/>
  <c r="L36" i="9"/>
  <c r="T15" i="9"/>
  <c r="X15" i="9" s="1"/>
  <c r="L15" i="9"/>
  <c r="T17" i="9"/>
  <c r="X17" i="9" s="1"/>
  <c r="L17" i="9"/>
  <c r="T19" i="9" s="1"/>
  <c r="X19" i="9" s="1"/>
  <c r="L31" i="9"/>
  <c r="T29" i="9"/>
  <c r="X29" i="9" s="1"/>
  <c r="L29" i="9"/>
  <c r="T31" i="9" s="1"/>
  <c r="X31" i="9" s="1"/>
  <c r="L20" i="9"/>
  <c r="L25" i="9"/>
  <c r="T27" i="9" s="1"/>
  <c r="X27" i="9" s="1"/>
  <c r="T41" i="9"/>
  <c r="X41" i="9" s="1"/>
  <c r="L41" i="9"/>
  <c r="T43" i="9" s="1"/>
  <c r="X43" i="9" s="1"/>
  <c r="L32" i="9"/>
  <c r="T34" i="9" s="1"/>
  <c r="X34" i="9" s="1"/>
  <c r="T32" i="9"/>
  <c r="X32" i="9" s="1"/>
  <c r="L37" i="9"/>
  <c r="T39" i="9" s="1"/>
  <c r="X39" i="9" s="1"/>
  <c r="T37" i="9"/>
  <c r="X37" i="9" s="1"/>
  <c r="L21" i="9"/>
  <c r="T23" i="9" s="1"/>
  <c r="X23" i="9" s="1"/>
  <c r="T21" i="9"/>
  <c r="X21" i="9" s="1"/>
  <c r="L14" i="9"/>
  <c r="T16" i="9" s="1"/>
  <c r="X16" i="9" s="1"/>
  <c r="T14" i="9"/>
  <c r="X14" i="9" s="1"/>
  <c r="L45" i="9"/>
  <c r="T45" i="9"/>
  <c r="X12" i="9" s="1"/>
  <c r="S19" i="7"/>
  <c r="AF16" i="7" l="1"/>
  <c r="AE49" i="7"/>
  <c r="AC49" i="7"/>
  <c r="AE50" i="7"/>
  <c r="P50" i="7"/>
  <c r="I35" i="9" l="1"/>
  <c r="I32" i="9"/>
  <c r="I23" i="9"/>
  <c r="I20" i="9"/>
  <c r="T9" i="10"/>
  <c r="Q13" i="10" s="1"/>
  <c r="P20" i="10"/>
  <c r="P19" i="10"/>
  <c r="P18" i="10"/>
  <c r="P17" i="10"/>
  <c r="O20" i="10"/>
  <c r="O19" i="10"/>
  <c r="O18" i="10"/>
  <c r="O17" i="10"/>
  <c r="O16" i="10"/>
  <c r="O15" i="10"/>
  <c r="N14" i="10"/>
  <c r="O14" i="10" s="1"/>
  <c r="U14" i="10" s="1"/>
  <c r="N13" i="10"/>
  <c r="O13" i="10" s="1"/>
  <c r="N12" i="10"/>
  <c r="O12" i="10" s="1"/>
  <c r="G45" i="10"/>
  <c r="F45" i="10"/>
  <c r="E45" i="10"/>
  <c r="D45" i="10"/>
  <c r="C45" i="10"/>
  <c r="N45" i="10" s="1"/>
  <c r="O45" i="10" s="1"/>
  <c r="K12" i="10"/>
  <c r="L12" i="10" s="1"/>
  <c r="N16" i="10"/>
  <c r="N15" i="10"/>
  <c r="O43" i="10"/>
  <c r="N43" i="10"/>
  <c r="N42" i="10"/>
  <c r="O42" i="10" s="1"/>
  <c r="P43" i="10" s="1"/>
  <c r="R43" i="10" s="1"/>
  <c r="N41" i="10"/>
  <c r="O41" i="10" s="1"/>
  <c r="P42" i="10" s="1"/>
  <c r="R42" i="10" s="1"/>
  <c r="O40" i="10"/>
  <c r="P41" i="10" s="1"/>
  <c r="R41" i="10" s="1"/>
  <c r="N40" i="10"/>
  <c r="N39" i="10"/>
  <c r="P38" i="10"/>
  <c r="R38" i="10" s="1"/>
  <c r="O38" i="10"/>
  <c r="P39" i="10" s="1"/>
  <c r="R39" i="10" s="1"/>
  <c r="N38" i="10"/>
  <c r="O37" i="10"/>
  <c r="N37" i="10"/>
  <c r="N36" i="10"/>
  <c r="O36" i="10" s="1"/>
  <c r="P37" i="10" s="1"/>
  <c r="R37" i="10" s="1"/>
  <c r="N35" i="10"/>
  <c r="O35" i="10" s="1"/>
  <c r="P36" i="10" s="1"/>
  <c r="R36" i="10" s="1"/>
  <c r="O34" i="10"/>
  <c r="P35" i="10" s="1"/>
  <c r="R35" i="10" s="1"/>
  <c r="N34" i="10"/>
  <c r="N33" i="10"/>
  <c r="P32" i="10"/>
  <c r="R32" i="10" s="1"/>
  <c r="O32" i="10"/>
  <c r="P33" i="10" s="1"/>
  <c r="R33" i="10" s="1"/>
  <c r="N32" i="10"/>
  <c r="O31" i="10"/>
  <c r="N31" i="10"/>
  <c r="N30" i="10"/>
  <c r="O30" i="10" s="1"/>
  <c r="P31" i="10" s="1"/>
  <c r="R31" i="10" s="1"/>
  <c r="N29" i="10"/>
  <c r="O29" i="10" s="1"/>
  <c r="P30" i="10" s="1"/>
  <c r="R30" i="10" s="1"/>
  <c r="O28" i="10"/>
  <c r="P29" i="10" s="1"/>
  <c r="R29" i="10" s="1"/>
  <c r="N28" i="10"/>
  <c r="N27" i="10"/>
  <c r="P26" i="10"/>
  <c r="R26" i="10" s="1"/>
  <c r="O26" i="10"/>
  <c r="P27" i="10" s="1"/>
  <c r="R27" i="10" s="1"/>
  <c r="N26" i="10"/>
  <c r="O25" i="10"/>
  <c r="N25" i="10"/>
  <c r="N24" i="10"/>
  <c r="O24" i="10" s="1"/>
  <c r="P25" i="10" s="1"/>
  <c r="R25" i="10" s="1"/>
  <c r="N23" i="10"/>
  <c r="O23" i="10" s="1"/>
  <c r="P24" i="10" s="1"/>
  <c r="R24" i="10" s="1"/>
  <c r="O22" i="10"/>
  <c r="P23" i="10" s="1"/>
  <c r="R23" i="10" s="1"/>
  <c r="N22" i="10"/>
  <c r="N21" i="10"/>
  <c r="R20" i="10"/>
  <c r="P21" i="10"/>
  <c r="R21" i="10" s="1"/>
  <c r="N20" i="10"/>
  <c r="N19" i="10"/>
  <c r="N18" i="10"/>
  <c r="N17" i="10"/>
  <c r="R18" i="10" s="1"/>
  <c r="R17" i="10"/>
  <c r="T8" i="10"/>
  <c r="T4" i="10"/>
  <c r="I43" i="9"/>
  <c r="I42" i="9"/>
  <c r="I41" i="9"/>
  <c r="I40" i="9"/>
  <c r="I39" i="9"/>
  <c r="I38" i="9"/>
  <c r="I37" i="9"/>
  <c r="I36" i="9"/>
  <c r="I34" i="9"/>
  <c r="I33" i="9"/>
  <c r="I31" i="9"/>
  <c r="I30" i="9"/>
  <c r="I29" i="9"/>
  <c r="I28" i="9"/>
  <c r="I27" i="9"/>
  <c r="I26" i="9"/>
  <c r="I25" i="9"/>
  <c r="I24" i="9"/>
  <c r="I22" i="9"/>
  <c r="I21" i="9"/>
  <c r="I19" i="9"/>
  <c r="I18" i="9"/>
  <c r="I17" i="9"/>
  <c r="I16" i="9"/>
  <c r="G45" i="9"/>
  <c r="F45" i="9"/>
  <c r="E45" i="9"/>
  <c r="D45" i="9"/>
  <c r="C45" i="9"/>
  <c r="T9" i="9"/>
  <c r="T8" i="9"/>
  <c r="T4" i="9"/>
  <c r="R22" i="7"/>
  <c r="T22" i="7" s="1"/>
  <c r="U22" i="7" s="1"/>
  <c r="Y22" i="7" s="1"/>
  <c r="R25" i="7"/>
  <c r="T25" i="7" s="1"/>
  <c r="U25" i="7" s="1"/>
  <c r="Y25" i="7" s="1"/>
  <c r="P26" i="7"/>
  <c r="Q26" i="7" s="1"/>
  <c r="W26" i="7" s="1"/>
  <c r="P27" i="7"/>
  <c r="Q27" i="7" s="1"/>
  <c r="W27" i="7" s="1"/>
  <c r="P28" i="7"/>
  <c r="Q28" i="7" s="1"/>
  <c r="W28" i="7" s="1"/>
  <c r="P29" i="7"/>
  <c r="Q29" i="7" s="1"/>
  <c r="W29" i="7" s="1"/>
  <c r="P30" i="7"/>
  <c r="Q30" i="7" s="1"/>
  <c r="W30" i="7" s="1"/>
  <c r="P31" i="7"/>
  <c r="Q31" i="7" s="1"/>
  <c r="P32" i="7"/>
  <c r="Q32" i="7" s="1"/>
  <c r="P33" i="7"/>
  <c r="Q33" i="7" s="1"/>
  <c r="P34" i="7"/>
  <c r="Q34" i="7" s="1"/>
  <c r="P35" i="7"/>
  <c r="Q35" i="7" s="1"/>
  <c r="P36" i="7"/>
  <c r="Q36" i="7" s="1"/>
  <c r="P37" i="7"/>
  <c r="Q37" i="7" s="1"/>
  <c r="P38" i="7"/>
  <c r="Q38" i="7" s="1"/>
  <c r="P39" i="7"/>
  <c r="Q39" i="7" s="1"/>
  <c r="P40" i="7"/>
  <c r="Q40" i="7" s="1"/>
  <c r="P41" i="7"/>
  <c r="Q41" i="7" s="1"/>
  <c r="P42" i="7"/>
  <c r="Q42" i="7" s="1"/>
  <c r="P43" i="7"/>
  <c r="Q43" i="7" s="1"/>
  <c r="P44" i="7"/>
  <c r="Q44" i="7" s="1"/>
  <c r="P45" i="7"/>
  <c r="Q45" i="7" s="1"/>
  <c r="P46" i="7"/>
  <c r="Q46" i="7" s="1"/>
  <c r="P47" i="7"/>
  <c r="Q47" i="7" s="1"/>
  <c r="W47" i="7" s="1"/>
  <c r="S49" i="7"/>
  <c r="F49" i="7"/>
  <c r="E49" i="7"/>
  <c r="D49" i="7"/>
  <c r="W16" i="7" l="1"/>
  <c r="O49" i="7"/>
  <c r="D46" i="10"/>
  <c r="E46" i="10"/>
  <c r="F46" i="10"/>
  <c r="G46" i="10"/>
  <c r="Q46" i="10" s="1"/>
  <c r="C46" i="10"/>
  <c r="P14" i="10"/>
  <c r="U13" i="10"/>
  <c r="R39" i="7"/>
  <c r="T39" i="7" s="1"/>
  <c r="U39" i="7" s="1"/>
  <c r="Y39" i="7" s="1"/>
  <c r="W38" i="7"/>
  <c r="R38" i="7"/>
  <c r="T38" i="7" s="1"/>
  <c r="U38" i="7" s="1"/>
  <c r="Y38" i="7" s="1"/>
  <c r="W37" i="7"/>
  <c r="R47" i="7"/>
  <c r="T47" i="7" s="1"/>
  <c r="U47" i="7" s="1"/>
  <c r="Y47" i="7" s="1"/>
  <c r="W46" i="7"/>
  <c r="R46" i="7"/>
  <c r="T46" i="7" s="1"/>
  <c r="U46" i="7" s="1"/>
  <c r="Y46" i="7" s="1"/>
  <c r="W45" i="7"/>
  <c r="R33" i="7"/>
  <c r="T33" i="7" s="1"/>
  <c r="U33" i="7" s="1"/>
  <c r="Y33" i="7" s="1"/>
  <c r="W32" i="7"/>
  <c r="R37" i="7"/>
  <c r="T37" i="7" s="1"/>
  <c r="U37" i="7" s="1"/>
  <c r="Y37" i="7" s="1"/>
  <c r="W36" i="7"/>
  <c r="R32" i="7"/>
  <c r="T32" i="7" s="1"/>
  <c r="U32" i="7" s="1"/>
  <c r="Y32" i="7" s="1"/>
  <c r="W31" i="7"/>
  <c r="R41" i="7"/>
  <c r="T41" i="7" s="1"/>
  <c r="U41" i="7" s="1"/>
  <c r="Y41" i="7" s="1"/>
  <c r="W40" i="7"/>
  <c r="R40" i="7"/>
  <c r="T40" i="7" s="1"/>
  <c r="U40" i="7" s="1"/>
  <c r="Y40" i="7" s="1"/>
  <c r="W39" i="7"/>
  <c r="R36" i="7"/>
  <c r="T36" i="7" s="1"/>
  <c r="U36" i="7" s="1"/>
  <c r="Y36" i="7" s="1"/>
  <c r="W35" i="7"/>
  <c r="R35" i="7"/>
  <c r="T35" i="7" s="1"/>
  <c r="U35" i="7" s="1"/>
  <c r="Y35" i="7" s="1"/>
  <c r="W34" i="7"/>
  <c r="R34" i="7"/>
  <c r="T34" i="7" s="1"/>
  <c r="U34" i="7" s="1"/>
  <c r="Y34" i="7" s="1"/>
  <c r="W33" i="7"/>
  <c r="R44" i="7"/>
  <c r="T44" i="7" s="1"/>
  <c r="U44" i="7" s="1"/>
  <c r="Y44" i="7" s="1"/>
  <c r="W43" i="7"/>
  <c r="R43" i="7"/>
  <c r="T43" i="7" s="1"/>
  <c r="U43" i="7" s="1"/>
  <c r="Y43" i="7" s="1"/>
  <c r="W42" i="7"/>
  <c r="R45" i="7"/>
  <c r="T45" i="7" s="1"/>
  <c r="U45" i="7" s="1"/>
  <c r="Y45" i="7" s="1"/>
  <c r="W44" i="7"/>
  <c r="R42" i="7"/>
  <c r="T42" i="7" s="1"/>
  <c r="U42" i="7" s="1"/>
  <c r="Y42" i="7" s="1"/>
  <c r="W41" i="7"/>
  <c r="R17" i="7"/>
  <c r="R28" i="7"/>
  <c r="T28" i="7" s="1"/>
  <c r="U28" i="7" s="1"/>
  <c r="Y28" i="7" s="1"/>
  <c r="R27" i="7"/>
  <c r="T27" i="7" s="1"/>
  <c r="U27" i="7" s="1"/>
  <c r="Y27" i="7" s="1"/>
  <c r="R26" i="7"/>
  <c r="T26" i="7" s="1"/>
  <c r="U26" i="7" s="1"/>
  <c r="Y26" i="7" s="1"/>
  <c r="R23" i="7"/>
  <c r="T23" i="7" s="1"/>
  <c r="U23" i="7" s="1"/>
  <c r="Y23" i="7" s="1"/>
  <c r="R21" i="7"/>
  <c r="T21" i="7" s="1"/>
  <c r="U21" i="7" s="1"/>
  <c r="Y21" i="7" s="1"/>
  <c r="R24" i="7"/>
  <c r="T24" i="7" s="1"/>
  <c r="U24" i="7" s="1"/>
  <c r="Y24" i="7" s="1"/>
  <c r="R29" i="7"/>
  <c r="T29" i="7" s="1"/>
  <c r="U29" i="7" s="1"/>
  <c r="Y29" i="7" s="1"/>
  <c r="P49" i="7"/>
  <c r="Q49" i="7" s="1"/>
  <c r="O17" i="7"/>
  <c r="M17" i="7" s="1"/>
  <c r="N17" i="7" s="1"/>
  <c r="T19" i="7"/>
  <c r="R31" i="7"/>
  <c r="T31" i="7" s="1"/>
  <c r="U31" i="7" s="1"/>
  <c r="Y31" i="7" s="1"/>
  <c r="R30" i="7"/>
  <c r="T30" i="7" s="1"/>
  <c r="U30" i="7" s="1"/>
  <c r="Y30" i="7" s="1"/>
  <c r="P13" i="10"/>
  <c r="R13" i="10" s="1"/>
  <c r="S13" i="10" s="1"/>
  <c r="P45" i="10"/>
  <c r="M15" i="10"/>
  <c r="K15" i="10" s="1"/>
  <c r="M17" i="10"/>
  <c r="M16" i="10"/>
  <c r="K16" i="10" s="1"/>
  <c r="P15" i="10"/>
  <c r="P16" i="10"/>
  <c r="R49" i="7"/>
  <c r="S17" i="7"/>
  <c r="S18" i="7"/>
  <c r="T18" i="7" s="1"/>
  <c r="Q50" i="7"/>
  <c r="Q25" i="10"/>
  <c r="Q34" i="10"/>
  <c r="Q21" i="10"/>
  <c r="Q39" i="10"/>
  <c r="Q15" i="10"/>
  <c r="Q42" i="10"/>
  <c r="Q31" i="10"/>
  <c r="Q16" i="10"/>
  <c r="Q14" i="10"/>
  <c r="Q22" i="10"/>
  <c r="Q27" i="10"/>
  <c r="Q18" i="10"/>
  <c r="Q37" i="10"/>
  <c r="Q19" i="10"/>
  <c r="Q28" i="10"/>
  <c r="Q12" i="10"/>
  <c r="R12" i="10" s="1"/>
  <c r="Q33" i="10"/>
  <c r="Q43" i="10"/>
  <c r="R19" i="10"/>
  <c r="M22" i="10"/>
  <c r="M19" i="10"/>
  <c r="M20" i="10"/>
  <c r="M21" i="10"/>
  <c r="M23" i="10"/>
  <c r="M24" i="10"/>
  <c r="M13" i="10"/>
  <c r="M14" i="10"/>
  <c r="K14" i="10" s="1"/>
  <c r="T14" i="10" s="1"/>
  <c r="X14" i="10" s="1"/>
  <c r="M18" i="10"/>
  <c r="M45" i="10"/>
  <c r="P46" i="10"/>
  <c r="R16" i="10"/>
  <c r="Q20" i="10"/>
  <c r="O21" i="10"/>
  <c r="P22" i="10" s="1"/>
  <c r="R22" i="10" s="1"/>
  <c r="Q26" i="10"/>
  <c r="O27" i="10"/>
  <c r="P28" i="10" s="1"/>
  <c r="R28" i="10" s="1"/>
  <c r="Q32" i="10"/>
  <c r="O33" i="10"/>
  <c r="P34" i="10" s="1"/>
  <c r="R34" i="10" s="1"/>
  <c r="Q38" i="10"/>
  <c r="O39" i="10"/>
  <c r="P40" i="10" s="1"/>
  <c r="R40" i="10" s="1"/>
  <c r="Q40" i="10"/>
  <c r="Q45" i="10"/>
  <c r="Q17" i="10"/>
  <c r="Q23" i="10"/>
  <c r="Q29" i="10"/>
  <c r="Q35" i="10"/>
  <c r="Q41" i="10"/>
  <c r="Q24" i="10"/>
  <c r="Q30" i="10"/>
  <c r="Q36" i="10"/>
  <c r="O22" i="7"/>
  <c r="S45" i="7"/>
  <c r="S50" i="7"/>
  <c r="S41" i="7"/>
  <c r="S39" i="7"/>
  <c r="S35" i="7"/>
  <c r="S34" i="7"/>
  <c r="S33" i="7"/>
  <c r="S29" i="7"/>
  <c r="S28" i="7"/>
  <c r="S27" i="7"/>
  <c r="S23" i="7"/>
  <c r="S47" i="7"/>
  <c r="S21" i="7"/>
  <c r="S46" i="7"/>
  <c r="S32" i="7"/>
  <c r="S44" i="7"/>
  <c r="S26" i="7"/>
  <c r="S40" i="7"/>
  <c r="S22" i="7"/>
  <c r="S38" i="7"/>
  <c r="S20" i="7"/>
  <c r="S37" i="7"/>
  <c r="S25" i="7"/>
  <c r="S36" i="7"/>
  <c r="S24" i="7"/>
  <c r="S43" i="7"/>
  <c r="S31" i="7"/>
  <c r="S42" i="7"/>
  <c r="S30" i="7"/>
  <c r="R50" i="7" l="1"/>
  <c r="T50" i="7" s="1"/>
  <c r="U50" i="7" s="1"/>
  <c r="O50" i="7"/>
  <c r="N46" i="10"/>
  <c r="O46" i="10" s="1"/>
  <c r="R14" i="10"/>
  <c r="S14" i="10" s="1"/>
  <c r="W14" i="10" s="1"/>
  <c r="U18" i="7"/>
  <c r="Y18" i="7" s="1"/>
  <c r="T17" i="7"/>
  <c r="U17" i="7" s="1"/>
  <c r="U19" i="7"/>
  <c r="Y19" i="7" s="1"/>
  <c r="O19" i="7"/>
  <c r="M19" i="7" s="1"/>
  <c r="O18" i="7"/>
  <c r="M18" i="7" s="1"/>
  <c r="O23" i="7"/>
  <c r="M23" i="7" s="1"/>
  <c r="O24" i="7"/>
  <c r="M24" i="7" s="1"/>
  <c r="O20" i="7"/>
  <c r="M20" i="7" s="1"/>
  <c r="O21" i="7"/>
  <c r="M21" i="7" s="1"/>
  <c r="O25" i="7"/>
  <c r="M25" i="7" s="1"/>
  <c r="O26" i="7"/>
  <c r="M26" i="7" s="1"/>
  <c r="M49" i="7"/>
  <c r="V49" i="7" s="1"/>
  <c r="T49" i="7"/>
  <c r="R15" i="10"/>
  <c r="S15" i="10" s="1"/>
  <c r="W15" i="10" s="1"/>
  <c r="K13" i="10"/>
  <c r="L13" i="10" s="1"/>
  <c r="T15" i="10" s="1"/>
  <c r="X15" i="10" s="1"/>
  <c r="L16" i="10"/>
  <c r="M22" i="7"/>
  <c r="O47" i="7"/>
  <c r="M47" i="7" s="1"/>
  <c r="O40" i="7"/>
  <c r="M40" i="7" s="1"/>
  <c r="O35" i="7"/>
  <c r="M35" i="7" s="1"/>
  <c r="O31" i="7"/>
  <c r="M31" i="7" s="1"/>
  <c r="R46" i="10"/>
  <c r="S46" i="10" s="1"/>
  <c r="W13" i="10" s="1"/>
  <c r="O32" i="7"/>
  <c r="M32" i="7" s="1"/>
  <c r="O43" i="7"/>
  <c r="M43" i="7" s="1"/>
  <c r="O30" i="7"/>
  <c r="M30" i="7" s="1"/>
  <c r="O27" i="7"/>
  <c r="M27" i="7" s="1"/>
  <c r="O41" i="7"/>
  <c r="M41" i="7" s="1"/>
  <c r="O36" i="7"/>
  <c r="M36" i="7" s="1"/>
  <c r="O46" i="7"/>
  <c r="M46" i="7" s="1"/>
  <c r="O29" i="7"/>
  <c r="M29" i="7" s="1"/>
  <c r="O28" i="7"/>
  <c r="M28" i="7" s="1"/>
  <c r="O45" i="7"/>
  <c r="M45" i="7" s="1"/>
  <c r="O38" i="7"/>
  <c r="M38" i="7" s="1"/>
  <c r="O34" i="7"/>
  <c r="M34" i="7" s="1"/>
  <c r="O33" i="7"/>
  <c r="M33" i="7" s="1"/>
  <c r="O37" i="7"/>
  <c r="M37" i="7" s="1"/>
  <c r="O39" i="7"/>
  <c r="M39" i="7" s="1"/>
  <c r="O42" i="7"/>
  <c r="M42" i="7" s="1"/>
  <c r="O44" i="7"/>
  <c r="M44" i="7" s="1"/>
  <c r="I15" i="9"/>
  <c r="I14" i="9"/>
  <c r="M50" i="7" l="1"/>
  <c r="V50" i="7" s="1"/>
  <c r="U49" i="7"/>
  <c r="Y16" i="7" s="1"/>
  <c r="N34" i="7"/>
  <c r="V36" i="7" s="1"/>
  <c r="Z36" i="7" s="1"/>
  <c r="J36" i="7" s="1"/>
  <c r="N45" i="7"/>
  <c r="V47" i="7" s="1"/>
  <c r="Z47" i="7" s="1"/>
  <c r="J47" i="7" s="1"/>
  <c r="N29" i="7"/>
  <c r="V31" i="7" s="1"/>
  <c r="Z31" i="7" s="1"/>
  <c r="J31" i="7" s="1"/>
  <c r="N32" i="7"/>
  <c r="V34" i="7" s="1"/>
  <c r="Z34" i="7" s="1"/>
  <c r="J34" i="7" s="1"/>
  <c r="N31" i="7"/>
  <c r="V33" i="7" s="1"/>
  <c r="Z33" i="7" s="1"/>
  <c r="J33" i="7" s="1"/>
  <c r="N21" i="7"/>
  <c r="V23" i="7" s="1"/>
  <c r="Z23" i="7" s="1"/>
  <c r="J23" i="7" s="1"/>
  <c r="N47" i="7"/>
  <c r="N38" i="7"/>
  <c r="V40" i="7" s="1"/>
  <c r="Z40" i="7" s="1"/>
  <c r="J40" i="7" s="1"/>
  <c r="N40" i="7"/>
  <c r="V42" i="7" s="1"/>
  <c r="Z42" i="7" s="1"/>
  <c r="J42" i="7" s="1"/>
  <c r="N23" i="7"/>
  <c r="V25" i="7" s="1"/>
  <c r="Z25" i="7" s="1"/>
  <c r="J25" i="7" s="1"/>
  <c r="N33" i="7"/>
  <c r="V35" i="7" s="1"/>
  <c r="Z35" i="7" s="1"/>
  <c r="J35" i="7" s="1"/>
  <c r="N25" i="7"/>
  <c r="V27" i="7" s="1"/>
  <c r="Z27" i="7" s="1"/>
  <c r="J27" i="7" s="1"/>
  <c r="N35" i="7"/>
  <c r="V37" i="7" s="1"/>
  <c r="Z37" i="7" s="1"/>
  <c r="J37" i="7" s="1"/>
  <c r="N28" i="7"/>
  <c r="V30" i="7" s="1"/>
  <c r="Z30" i="7" s="1"/>
  <c r="J30" i="7" s="1"/>
  <c r="N20" i="7"/>
  <c r="V22" i="7" s="1"/>
  <c r="Z22" i="7" s="1"/>
  <c r="J22" i="7" s="1"/>
  <c r="N18" i="7"/>
  <c r="V20" i="7" s="1"/>
  <c r="Z20" i="7" s="1"/>
  <c r="V18" i="7"/>
  <c r="Z18" i="7" s="1"/>
  <c r="N46" i="7"/>
  <c r="N24" i="7"/>
  <c r="V26" i="7" s="1"/>
  <c r="Z26" i="7" s="1"/>
  <c r="J26" i="7" s="1"/>
  <c r="N44" i="7"/>
  <c r="V46" i="7" s="1"/>
  <c r="Z46" i="7" s="1"/>
  <c r="J46" i="7" s="1"/>
  <c r="N42" i="7"/>
  <c r="V44" i="7" s="1"/>
  <c r="Z44" i="7" s="1"/>
  <c r="J44" i="7" s="1"/>
  <c r="N27" i="7"/>
  <c r="V29" i="7" s="1"/>
  <c r="Z29" i="7" s="1"/>
  <c r="J29" i="7" s="1"/>
  <c r="N19" i="7"/>
  <c r="V21" i="7" s="1"/>
  <c r="Z21" i="7" s="1"/>
  <c r="V19" i="7"/>
  <c r="Z19" i="7" s="1"/>
  <c r="N36" i="7"/>
  <c r="V38" i="7" s="1"/>
  <c r="Z38" i="7" s="1"/>
  <c r="J38" i="7" s="1"/>
  <c r="N22" i="7"/>
  <c r="V24" i="7" s="1"/>
  <c r="Z24" i="7" s="1"/>
  <c r="J24" i="7" s="1"/>
  <c r="N41" i="7"/>
  <c r="V43" i="7" s="1"/>
  <c r="Z43" i="7" s="1"/>
  <c r="J43" i="7" s="1"/>
  <c r="N39" i="7"/>
  <c r="V41" i="7" s="1"/>
  <c r="Z41" i="7" s="1"/>
  <c r="J41" i="7" s="1"/>
  <c r="N30" i="7"/>
  <c r="V32" i="7" s="1"/>
  <c r="Z32" i="7" s="1"/>
  <c r="J32" i="7" s="1"/>
  <c r="N26" i="7"/>
  <c r="V28" i="7" s="1"/>
  <c r="Z28" i="7" s="1"/>
  <c r="J28" i="7" s="1"/>
  <c r="N37" i="7"/>
  <c r="V39" i="7" s="1"/>
  <c r="Z39" i="7" s="1"/>
  <c r="J39" i="7" s="1"/>
  <c r="N43" i="7"/>
  <c r="V45" i="7" s="1"/>
  <c r="Z45" i="7" s="1"/>
  <c r="J45" i="7" s="1"/>
  <c r="Y17" i="7"/>
  <c r="N49" i="7"/>
  <c r="K19" i="10"/>
  <c r="M34" i="10"/>
  <c r="K34" i="10" s="1"/>
  <c r="M29" i="10"/>
  <c r="K29" i="10" s="1"/>
  <c r="M28" i="10"/>
  <c r="K28" i="10" s="1"/>
  <c r="M38" i="10"/>
  <c r="K38" i="10" s="1"/>
  <c r="K17" i="10"/>
  <c r="K22" i="10"/>
  <c r="M32" i="10"/>
  <c r="K32" i="10" s="1"/>
  <c r="M42" i="10"/>
  <c r="K42" i="10" s="1"/>
  <c r="M26" i="10"/>
  <c r="K26" i="10" s="1"/>
  <c r="M36" i="10"/>
  <c r="K36" i="10" s="1"/>
  <c r="M39" i="10"/>
  <c r="K39" i="10" s="1"/>
  <c r="K45" i="10"/>
  <c r="T45" i="10" s="1"/>
  <c r="K20" i="10"/>
  <c r="M30" i="10"/>
  <c r="K30" i="10" s="1"/>
  <c r="K21" i="10"/>
  <c r="K24" i="10"/>
  <c r="R45" i="10"/>
  <c r="S45" i="10" s="1"/>
  <c r="W12" i="10" s="1"/>
  <c r="M46" i="10"/>
  <c r="K46" i="10" s="1"/>
  <c r="M41" i="10"/>
  <c r="K41" i="10" s="1"/>
  <c r="K18" i="10"/>
  <c r="T18" i="10" s="1"/>
  <c r="X18" i="10" s="1"/>
  <c r="M33" i="10"/>
  <c r="K33" i="10" s="1"/>
  <c r="M40" i="10"/>
  <c r="K40" i="10" s="1"/>
  <c r="M43" i="10"/>
  <c r="K43" i="10" s="1"/>
  <c r="M35" i="10"/>
  <c r="K35" i="10" s="1"/>
  <c r="M37" i="10"/>
  <c r="K37" i="10" s="1"/>
  <c r="K23" i="10"/>
  <c r="M31" i="10"/>
  <c r="K31" i="10" s="1"/>
  <c r="M27" i="10"/>
  <c r="K27" i="10" s="1"/>
  <c r="M25" i="10"/>
  <c r="K25" i="10" s="1"/>
  <c r="I12" i="9"/>
  <c r="I13" i="9"/>
  <c r="N50" i="7" l="1"/>
  <c r="Z16" i="7"/>
  <c r="J16" i="7" s="1"/>
  <c r="J18" i="7"/>
  <c r="J20" i="7"/>
  <c r="J19" i="7"/>
  <c r="J21" i="7"/>
  <c r="L45" i="10"/>
  <c r="L29" i="10"/>
  <c r="T31" i="10" s="1"/>
  <c r="X31" i="10" s="1"/>
  <c r="L26" i="10"/>
  <c r="L46" i="10"/>
  <c r="I18" i="10"/>
  <c r="L25" i="10"/>
  <c r="T27" i="10" s="1"/>
  <c r="X27" i="10" s="1"/>
  <c r="L24" i="10"/>
  <c r="L22" i="10"/>
  <c r="T24" i="10" s="1"/>
  <c r="X24" i="10" s="1"/>
  <c r="L35" i="10"/>
  <c r="T37" i="10" s="1"/>
  <c r="X37" i="10" s="1"/>
  <c r="L30" i="10"/>
  <c r="T32" i="10" s="1"/>
  <c r="X32" i="10" s="1"/>
  <c r="L43" i="10"/>
  <c r="L20" i="10"/>
  <c r="T22" i="10" s="1"/>
  <c r="X22" i="10" s="1"/>
  <c r="L40" i="10"/>
  <c r="T42" i="10" s="1"/>
  <c r="X42" i="10" s="1"/>
  <c r="I42" i="10" s="1"/>
  <c r="L34" i="10"/>
  <c r="L33" i="10"/>
  <c r="L19" i="10"/>
  <c r="L18" i="10"/>
  <c r="T20" i="10" s="1"/>
  <c r="X20" i="10" s="1"/>
  <c r="L36" i="10"/>
  <c r="T38" i="10" s="1"/>
  <c r="X38" i="10" s="1"/>
  <c r="L41" i="10"/>
  <c r="T43" i="10" s="1"/>
  <c r="X43" i="10" s="1"/>
  <c r="L14" i="10"/>
  <c r="T16" i="10" s="1"/>
  <c r="X16" i="10" s="1"/>
  <c r="I14" i="10"/>
  <c r="L17" i="10"/>
  <c r="L28" i="10"/>
  <c r="L39" i="10"/>
  <c r="T41" i="10" s="1"/>
  <c r="X41" i="10" s="1"/>
  <c r="L42" i="10"/>
  <c r="L27" i="10"/>
  <c r="L15" i="10"/>
  <c r="T17" i="10" s="1"/>
  <c r="X17" i="10" s="1"/>
  <c r="I15" i="10"/>
  <c r="L32" i="10"/>
  <c r="L31" i="10"/>
  <c r="T33" i="10" s="1"/>
  <c r="X33" i="10" s="1"/>
  <c r="L23" i="10"/>
  <c r="T25" i="10" s="1"/>
  <c r="X25" i="10" s="1"/>
  <c r="L37" i="10"/>
  <c r="T39" i="10" s="1"/>
  <c r="X39" i="10" s="1"/>
  <c r="L21" i="10"/>
  <c r="L38" i="10"/>
  <c r="T46" i="10" l="1"/>
  <c r="T28" i="10"/>
  <c r="X28" i="10" s="1"/>
  <c r="I28" i="10" s="1"/>
  <c r="T35" i="10"/>
  <c r="X35" i="10" s="1"/>
  <c r="I35" i="10" s="1"/>
  <c r="I32" i="10"/>
  <c r="I37" i="10"/>
  <c r="I43" i="10"/>
  <c r="T36" i="10"/>
  <c r="X36" i="10" s="1"/>
  <c r="I36" i="10" s="1"/>
  <c r="T29" i="10"/>
  <c r="X29" i="10" s="1"/>
  <c r="I29" i="10" s="1"/>
  <c r="I31" i="10"/>
  <c r="I22" i="10"/>
  <c r="T19" i="10"/>
  <c r="X19" i="10" s="1"/>
  <c r="I19" i="10" s="1"/>
  <c r="I25" i="10"/>
  <c r="I24" i="10"/>
  <c r="I38" i="10"/>
  <c r="I27" i="10"/>
  <c r="T40" i="10"/>
  <c r="X40" i="10" s="1"/>
  <c r="I40" i="10" s="1"/>
  <c r="T30" i="10"/>
  <c r="X30" i="10" s="1"/>
  <c r="I30" i="10" s="1"/>
  <c r="T26" i="10"/>
  <c r="X26" i="10" s="1"/>
  <c r="I26" i="10" s="1"/>
  <c r="T21" i="10"/>
  <c r="X21" i="10" s="1"/>
  <c r="I21" i="10" s="1"/>
  <c r="I41" i="10"/>
  <c r="I39" i="10"/>
  <c r="I33" i="10"/>
  <c r="I20" i="10"/>
  <c r="T34" i="10"/>
  <c r="X34" i="10" s="1"/>
  <c r="I34" i="10" s="1"/>
  <c r="T23" i="10"/>
  <c r="X23" i="10" s="1"/>
  <c r="I23" i="10" s="1"/>
  <c r="Z17" i="7"/>
  <c r="J17" i="7" s="1"/>
  <c r="I16" i="10"/>
  <c r="I17" i="10"/>
  <c r="X13" i="10" l="1"/>
  <c r="I13" i="10" s="1"/>
  <c r="X12" i="10"/>
  <c r="I12" i="10" s="1"/>
</calcChain>
</file>

<file path=xl/sharedStrings.xml><?xml version="1.0" encoding="utf-8"?>
<sst xmlns="http://schemas.openxmlformats.org/spreadsheetml/2006/main" count="141" uniqueCount="57">
  <si>
    <t>初期化</t>
    <rPh sb="0" eb="3">
      <t>ショキカ</t>
    </rPh>
    <phoneticPr fontId="1"/>
  </si>
  <si>
    <t>書き込み完了待ち</t>
    <rPh sb="0" eb="1">
      <t>カ</t>
    </rPh>
    <rPh sb="2" eb="3">
      <t>コ</t>
    </rPh>
    <rPh sb="4" eb="6">
      <t>カンリョウ</t>
    </rPh>
    <rPh sb="6" eb="7">
      <t>マ</t>
    </rPh>
    <phoneticPr fontId="1"/>
  </si>
  <si>
    <t>ns</t>
    <phoneticPr fontId="1"/>
  </si>
  <si>
    <t>post blank [ns]</t>
    <phoneticPr fontId="1"/>
  </si>
  <si>
    <t>キャプチャ時間 [ns]</t>
    <rPh sb="5" eb="7">
      <t>ジカン</t>
    </rPh>
    <phoneticPr fontId="1"/>
  </si>
  <si>
    <t>ステップ</t>
    <phoneticPr fontId="1"/>
  </si>
  <si>
    <t>出力サイクル数</t>
    <rPh sb="0" eb="2">
      <t>シュツリョク</t>
    </rPh>
    <rPh sb="6" eb="7">
      <t>スウ</t>
    </rPh>
    <phoneticPr fontId="1"/>
  </si>
  <si>
    <t>波形シーケンスの繰り返し</t>
    <rPh sb="0" eb="2">
      <t>ハケイ</t>
    </rPh>
    <rPh sb="8" eb="9">
      <t>ク</t>
    </rPh>
    <rPh sb="10" eb="11">
      <t>カエ</t>
    </rPh>
    <phoneticPr fontId="1"/>
  </si>
  <si>
    <t>あり</t>
  </si>
  <si>
    <t>キャプチャディレイ [ns]</t>
    <phoneticPr fontId="1"/>
  </si>
  <si>
    <t>出力周波数 [MHz]</t>
    <rPh sb="0" eb="2">
      <t>シュツリョク</t>
    </rPh>
    <rPh sb="2" eb="5">
      <t>シュウハスウ</t>
    </rPh>
    <phoneticPr fontId="1"/>
  </si>
  <si>
    <t>波形出力期間 [ns]</t>
    <rPh sb="0" eb="2">
      <t>ハケイ</t>
    </rPh>
    <rPh sb="2" eb="4">
      <t>シュツリョク</t>
    </rPh>
    <rPh sb="4" eb="6">
      <t>キカン</t>
    </rPh>
    <phoneticPr fontId="1"/>
  </si>
  <si>
    <t>BRAM バンド幅</t>
    <rPh sb="8" eb="9">
      <t>ハバ</t>
    </rPh>
    <phoneticPr fontId="1"/>
  </si>
  <si>
    <t>MByte/sec</t>
    <phoneticPr fontId="1"/>
  </si>
  <si>
    <t>キャプチャ可能</t>
    <rPh sb="5" eb="7">
      <t>カノウ</t>
    </rPh>
    <phoneticPr fontId="1"/>
  </si>
  <si>
    <t>バンド幅チェック</t>
    <rPh sb="3" eb="4">
      <t>ハバ</t>
    </rPh>
    <phoneticPr fontId="1"/>
  </si>
  <si>
    <t>FIFO リセット</t>
    <phoneticPr fontId="1"/>
  </si>
  <si>
    <t>キャプチャ開始可能チェック</t>
    <rPh sb="5" eb="7">
      <t>カイシ</t>
    </rPh>
    <rPh sb="7" eb="9">
      <t>カノウ</t>
    </rPh>
    <phoneticPr fontId="1"/>
  </si>
  <si>
    <t>ステップ数</t>
    <rPh sb="4" eb="5">
      <t>スウ</t>
    </rPh>
    <phoneticPr fontId="1"/>
  </si>
  <si>
    <t>波形ステップ期間  [ns]</t>
    <phoneticPr fontId="1"/>
  </si>
  <si>
    <t>キャプチャ開始時刻 [ns]</t>
    <rPh sb="5" eb="7">
      <t>カイシ</t>
    </rPh>
    <rPh sb="7" eb="9">
      <t>ジコク</t>
    </rPh>
    <phoneticPr fontId="1"/>
  </si>
  <si>
    <t>キャプチャ終了時刻 [ns]</t>
    <phoneticPr fontId="1"/>
  </si>
  <si>
    <t>波形出力開始時刻 [ns]</t>
    <rPh sb="0" eb="2">
      <t>ハケイ</t>
    </rPh>
    <rPh sb="2" eb="4">
      <t>シュツリョク</t>
    </rPh>
    <rPh sb="4" eb="6">
      <t>カイシ</t>
    </rPh>
    <rPh sb="6" eb="8">
      <t>ジコク</t>
    </rPh>
    <phoneticPr fontId="1"/>
  </si>
  <si>
    <t>要求されるバンド幅 [MBytes/sec]</t>
    <rPh sb="0" eb="2">
      <t>ヨウキュウ</t>
    </rPh>
    <rPh sb="8" eb="9">
      <t>ハバ</t>
    </rPh>
    <phoneticPr fontId="1"/>
  </si>
  <si>
    <t>転送待機時間 [ns]</t>
    <rPh sb="0" eb="2">
      <t>テンソウ</t>
    </rPh>
    <rPh sb="2" eb="4">
      <t>タイキ</t>
    </rPh>
    <rPh sb="4" eb="6">
      <t>ジカン</t>
    </rPh>
    <phoneticPr fontId="1"/>
  </si>
  <si>
    <t>転送データ量[MBytes]</t>
    <rPh sb="0" eb="2">
      <t>テンソウ</t>
    </rPh>
    <rPh sb="5" eb="6">
      <t>リョウ</t>
    </rPh>
    <phoneticPr fontId="1"/>
  </si>
  <si>
    <t>いいえ</t>
  </si>
  <si>
    <t>ADC データ受信レート</t>
    <rPh sb="7" eb="9">
      <t>ジュシン</t>
    </rPh>
    <phoneticPr fontId="1"/>
  </si>
  <si>
    <t>I/Q データのキャプチャ</t>
    <phoneticPr fontId="1"/>
  </si>
  <si>
    <t>バンド幅チェック(繰り返し込み)</t>
    <rPh sb="3" eb="4">
      <t>ハバ</t>
    </rPh>
    <rPh sb="9" eb="10">
      <t>ク</t>
    </rPh>
    <rPh sb="11" eb="12">
      <t>カエ</t>
    </rPh>
    <rPh sb="13" eb="14">
      <t>コ</t>
    </rPh>
    <phoneticPr fontId="1"/>
  </si>
  <si>
    <t>キャプチャ可能チェック (繰り返し込み)</t>
    <rPh sb="5" eb="7">
      <t>カノウ</t>
    </rPh>
    <rPh sb="13" eb="14">
      <t>ク</t>
    </rPh>
    <rPh sb="15" eb="16">
      <t>カエ</t>
    </rPh>
    <rPh sb="17" eb="18">
      <t>コ</t>
    </rPh>
    <phoneticPr fontId="1"/>
  </si>
  <si>
    <t>ADC サンプリング周波数 [Msps]</t>
    <rPh sb="10" eb="13">
      <t>シュウハスウ</t>
    </rPh>
    <phoneticPr fontId="1"/>
  </si>
  <si>
    <t>キャプチャディレイチェック</t>
    <phoneticPr fontId="1"/>
  </si>
  <si>
    <t>あり</t>
    <phoneticPr fontId="1"/>
  </si>
  <si>
    <t>DRAM バンド幅</t>
    <rPh sb="8" eb="9">
      <t>ハバ</t>
    </rPh>
    <phoneticPr fontId="1"/>
  </si>
  <si>
    <t>使用するADC ポート数</t>
    <rPh sb="0" eb="2">
      <t>シヨウ</t>
    </rPh>
    <rPh sb="11" eb="12">
      <t>スウ</t>
    </rPh>
    <phoneticPr fontId="1"/>
  </si>
  <si>
    <t>ウィンドウ付きキャプチャ</t>
    <rPh sb="5" eb="6">
      <t>ツ</t>
    </rPh>
    <phoneticPr fontId="1"/>
  </si>
  <si>
    <t>総キャプチャ時間</t>
    <rPh sb="0" eb="1">
      <t>ソウ</t>
    </rPh>
    <rPh sb="6" eb="8">
      <t>ジカン</t>
    </rPh>
    <phoneticPr fontId="1"/>
  </si>
  <si>
    <t>積算あり</t>
    <rPh sb="0" eb="2">
      <t>セキサン</t>
    </rPh>
    <phoneticPr fontId="1"/>
  </si>
  <si>
    <t>ウィンドウ幅チェック</t>
    <rPh sb="5" eb="6">
      <t>ハバ</t>
    </rPh>
    <phoneticPr fontId="1"/>
  </si>
  <si>
    <t>Read to Write レイテンシ</t>
    <phoneticPr fontId="1"/>
  </si>
  <si>
    <t>ウィンドウサンプル数</t>
    <rPh sb="9" eb="10">
      <t>スウ</t>
    </rPh>
    <phoneticPr fontId="1"/>
  </si>
  <si>
    <t>最大バースト転送調</t>
    <rPh sb="0" eb="2">
      <t>サイダイ</t>
    </rPh>
    <rPh sb="6" eb="8">
      <t>テンソウ</t>
    </rPh>
    <rPh sb="8" eb="9">
      <t>チョウ</t>
    </rPh>
    <phoneticPr fontId="1"/>
  </si>
  <si>
    <t>ワード</t>
    <phoneticPr fontId="1"/>
  </si>
  <si>
    <t>個</t>
    <rPh sb="0" eb="1">
      <t>コ</t>
    </rPh>
    <phoneticPr fontId="1"/>
  </si>
  <si>
    <t>バースト転送回数 / ウィンドウ</t>
    <rPh sb="4" eb="6">
      <t>テンソウ</t>
    </rPh>
    <rPh sb="6" eb="8">
      <t>カイスウ</t>
    </rPh>
    <phoneticPr fontId="1"/>
  </si>
  <si>
    <t>RD to WR スループット [Msps]</t>
    <phoneticPr fontId="1"/>
  </si>
  <si>
    <t>DRAM バンド幅 (1 WR ポート)</t>
    <rPh sb="8" eb="9">
      <t>ハバ</t>
    </rPh>
    <phoneticPr fontId="1"/>
  </si>
  <si>
    <t>1ウィンドウ転送時間 [ns]</t>
    <rPh sb="6" eb="10">
      <t>テンソウジカン</t>
    </rPh>
    <phoneticPr fontId="1"/>
  </si>
  <si>
    <t>AXI 1ワード当たりのサンプル数</t>
    <rPh sb="8" eb="9">
      <t>ア</t>
    </rPh>
    <rPh sb="16" eb="17">
      <t>スウ</t>
    </rPh>
    <phoneticPr fontId="1"/>
  </si>
  <si>
    <t>MSamples/sec</t>
    <phoneticPr fontId="1"/>
  </si>
  <si>
    <t>バーストリード時間</t>
    <rPh sb="7" eb="9">
      <t>ジカン</t>
    </rPh>
    <phoneticPr fontId="1"/>
  </si>
  <si>
    <t>バーストライト時間</t>
    <rPh sb="7" eb="9">
      <t>ジカン</t>
    </rPh>
    <phoneticPr fontId="1"/>
  </si>
  <si>
    <t>最後の書き込みワード転送から書き込みレスポンス受信まで</t>
    <rPh sb="0" eb="2">
      <t>サイゴ</t>
    </rPh>
    <rPh sb="3" eb="4">
      <t>カ</t>
    </rPh>
    <rPh sb="5" eb="6">
      <t>コ</t>
    </rPh>
    <rPh sb="10" eb="12">
      <t>テンソウ</t>
    </rPh>
    <rPh sb="14" eb="15">
      <t>カ</t>
    </rPh>
    <rPh sb="16" eb="17">
      <t>コ</t>
    </rPh>
    <rPh sb="23" eb="25">
      <t>ジュシン</t>
    </rPh>
    <phoneticPr fontId="1"/>
  </si>
  <si>
    <t>最終リードワード到着から最初のライトワード書き込みまで</t>
    <rPh sb="0" eb="2">
      <t>サイシュウ</t>
    </rPh>
    <rPh sb="8" eb="10">
      <t>トウチャク</t>
    </rPh>
    <rPh sb="12" eb="14">
      <t>サイショ</t>
    </rPh>
    <rPh sb="21" eb="22">
      <t>カ</t>
    </rPh>
    <rPh sb="23" eb="24">
      <t>コ</t>
    </rPh>
    <phoneticPr fontId="1"/>
  </si>
  <si>
    <t>リードリクエストから最初のリードワード到着まで</t>
    <rPh sb="10" eb="12">
      <t>サイショ</t>
    </rPh>
    <rPh sb="19" eb="21">
      <t>トウチャク</t>
    </rPh>
    <phoneticPr fontId="1"/>
  </si>
  <si>
    <t>最大バースト転送長</t>
    <rPh sb="0" eb="2">
      <t>サイダイ</t>
    </rPh>
    <rPh sb="6" eb="8">
      <t>テンソウ</t>
    </rPh>
    <rPh sb="8" eb="9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</si>
</sst>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2" borderId="20" xfId="0" applyFill="1" applyBorder="1">
      <alignment vertical="center"/>
    </xf>
    <xf numFmtId="0" fontId="0" fillId="0" borderId="17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4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29" xfId="0" applyBorder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C994407-75EB-4039-9912-F08ED72ABB5B}"/>
            </a:ext>
          </a:extLst>
        </xdr:cNvPr>
        <xdr:cNvSpPr/>
      </xdr:nvSpPr>
      <xdr:spPr>
        <a:xfrm>
          <a:off x="6553200" y="599514"/>
          <a:ext cx="3912534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1ACCD317-B158-4A3A-A732-1C84E15E77D1}"/>
            </a:ext>
          </a:extLst>
        </xdr:cNvPr>
        <xdr:cNvCxnSpPr>
          <a:stCxn id="2" idx="1"/>
        </xdr:cNvCxnSpPr>
      </xdr:nvCxnSpPr>
      <xdr:spPr>
        <a:xfrm flipH="1">
          <a:off x="6281058" y="1048150"/>
          <a:ext cx="272142" cy="156442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0F6BF0B-5FA2-4574-AB3A-4C4D8911AF14}"/>
            </a:ext>
          </a:extLst>
        </xdr:cNvPr>
        <xdr:cNvCxnSpPr>
          <a:stCxn id="2" idx="1"/>
        </xdr:cNvCxnSpPr>
      </xdr:nvCxnSpPr>
      <xdr:spPr>
        <a:xfrm flipH="1">
          <a:off x="4267201" y="1048150"/>
          <a:ext cx="2285999" cy="83120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D7DB2F3-45D4-4B2D-A250-94C1811A7E04}"/>
            </a:ext>
          </a:extLst>
        </xdr:cNvPr>
        <xdr:cNvSpPr/>
      </xdr:nvSpPr>
      <xdr:spPr>
        <a:xfrm>
          <a:off x="11542619" y="446553"/>
          <a:ext cx="4651003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AB461170-0924-4AD3-BB26-C670C684B7E3}"/>
            </a:ext>
          </a:extLst>
        </xdr:cNvPr>
        <xdr:cNvCxnSpPr>
          <a:stCxn id="5" idx="1"/>
        </xdr:cNvCxnSpPr>
      </xdr:nvCxnSpPr>
      <xdr:spPr>
        <a:xfrm flipH="1">
          <a:off x="10286443" y="895189"/>
          <a:ext cx="1256176" cy="174659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123264</xdr:rowOff>
    </xdr:from>
    <xdr:to>
      <xdr:col>9</xdr:col>
      <xdr:colOff>112059</xdr:colOff>
      <xdr:row>6</xdr:row>
      <xdr:rowOff>68035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43031-A866-43E0-BED4-54A8AB705765}"/>
            </a:ext>
          </a:extLst>
        </xdr:cNvPr>
        <xdr:cNvSpPr/>
      </xdr:nvSpPr>
      <xdr:spPr>
        <a:xfrm>
          <a:off x="6553200" y="599514"/>
          <a:ext cx="3912534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95650</xdr:rowOff>
    </xdr:from>
    <xdr:to>
      <xdr:col>5</xdr:col>
      <xdr:colOff>285750</xdr:colOff>
      <xdr:row>10</xdr:row>
      <xdr:rowOff>231321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E9605C5-2AAD-4AEB-8513-CE24B12D6AE7}"/>
            </a:ext>
          </a:extLst>
        </xdr:cNvPr>
        <xdr:cNvCxnSpPr>
          <a:stCxn id="2" idx="1"/>
        </xdr:cNvCxnSpPr>
      </xdr:nvCxnSpPr>
      <xdr:spPr>
        <a:xfrm flipH="1">
          <a:off x="6281058" y="1048150"/>
          <a:ext cx="272142" cy="156442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</xdr:row>
      <xdr:rowOff>95650</xdr:rowOff>
    </xdr:from>
    <xdr:to>
      <xdr:col>5</xdr:col>
      <xdr:colOff>285750</xdr:colOff>
      <xdr:row>7</xdr:row>
      <xdr:rowOff>212481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A25D2EA-A99A-4282-90DC-E0B8BA9484FE}"/>
            </a:ext>
          </a:extLst>
        </xdr:cNvPr>
        <xdr:cNvCxnSpPr>
          <a:stCxn id="2" idx="1"/>
        </xdr:cNvCxnSpPr>
      </xdr:nvCxnSpPr>
      <xdr:spPr>
        <a:xfrm flipH="1">
          <a:off x="4267201" y="1048150"/>
          <a:ext cx="2285999" cy="83120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1188944</xdr:colOff>
      <xdr:row>1</xdr:row>
      <xdr:rowOff>208428</xdr:rowOff>
    </xdr:from>
    <xdr:to>
      <xdr:col>12</xdr:col>
      <xdr:colOff>896472</xdr:colOff>
      <xdr:row>5</xdr:row>
      <xdr:rowOff>153199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0D2B554-F9FC-4CC9-A057-7A7ABC68CBA9}"/>
            </a:ext>
          </a:extLst>
        </xdr:cNvPr>
        <xdr:cNvSpPr/>
      </xdr:nvSpPr>
      <xdr:spPr>
        <a:xfrm>
          <a:off x="11542619" y="446553"/>
          <a:ext cx="4651003" cy="8972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1266268</xdr:colOff>
      <xdr:row>3</xdr:row>
      <xdr:rowOff>180814</xdr:rowOff>
    </xdr:from>
    <xdr:to>
      <xdr:col>9</xdr:col>
      <xdr:colOff>1188944</xdr:colOff>
      <xdr:row>11</xdr:row>
      <xdr:rowOff>22412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2047E16-2639-467D-9CB0-9EDE41A00370}"/>
            </a:ext>
          </a:extLst>
        </xdr:cNvPr>
        <xdr:cNvCxnSpPr>
          <a:stCxn id="5" idx="1"/>
        </xdr:cNvCxnSpPr>
      </xdr:nvCxnSpPr>
      <xdr:spPr>
        <a:xfrm flipH="1">
          <a:off x="10286443" y="895189"/>
          <a:ext cx="1256176" cy="174659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244929</xdr:colOff>
      <xdr:row>4</xdr:row>
      <xdr:rowOff>217714</xdr:rowOff>
    </xdr:from>
    <xdr:to>
      <xdr:col>9</xdr:col>
      <xdr:colOff>408214</xdr:colOff>
      <xdr:row>8</xdr:row>
      <xdr:rowOff>231322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1999333-DD22-4DF6-AC92-950826486BF4}"/>
            </a:ext>
          </a:extLst>
        </xdr:cNvPr>
        <xdr:cNvSpPr/>
      </xdr:nvSpPr>
      <xdr:spPr>
        <a:xfrm>
          <a:off x="6504215" y="707571"/>
          <a:ext cx="4245428" cy="9933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赤枠の部分を埋めてください。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この計算シートは、波形ステップとキャプチャステップが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対応している場合にのみ対応しています。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1973037</xdr:colOff>
      <xdr:row>6</xdr:row>
      <xdr:rowOff>224518</xdr:rowOff>
    </xdr:from>
    <xdr:to>
      <xdr:col>5</xdr:col>
      <xdr:colOff>244929</xdr:colOff>
      <xdr:row>14</xdr:row>
      <xdr:rowOff>217713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6544549-A5D0-4773-BB27-D846086E412E}"/>
            </a:ext>
          </a:extLst>
        </xdr:cNvPr>
        <xdr:cNvCxnSpPr>
          <a:stCxn id="2" idx="1"/>
        </xdr:cNvCxnSpPr>
      </xdr:nvCxnSpPr>
      <xdr:spPr>
        <a:xfrm flipH="1">
          <a:off x="6232073" y="1204232"/>
          <a:ext cx="272142" cy="1952624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1129396</xdr:colOff>
      <xdr:row>6</xdr:row>
      <xdr:rowOff>224518</xdr:rowOff>
    </xdr:from>
    <xdr:to>
      <xdr:col>5</xdr:col>
      <xdr:colOff>244929</xdr:colOff>
      <xdr:row>9</xdr:row>
      <xdr:rowOff>198873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6B459E3-686D-402C-9A08-0A9EA81FB757}"/>
            </a:ext>
          </a:extLst>
        </xdr:cNvPr>
        <xdr:cNvCxnSpPr>
          <a:stCxn id="2" idx="1"/>
        </xdr:cNvCxnSpPr>
      </xdr:nvCxnSpPr>
      <xdr:spPr>
        <a:xfrm flipH="1">
          <a:off x="4218217" y="1204232"/>
          <a:ext cx="2285998" cy="709141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1280483</xdr:colOff>
      <xdr:row>3</xdr:row>
      <xdr:rowOff>218323</xdr:rowOff>
    </xdr:from>
    <xdr:to>
      <xdr:col>13</xdr:col>
      <xdr:colOff>1542193</xdr:colOff>
      <xdr:row>7</xdr:row>
      <xdr:rowOff>160620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76AEF73-4544-41CA-B53F-B1F0A5F1A95F}"/>
            </a:ext>
          </a:extLst>
        </xdr:cNvPr>
        <xdr:cNvSpPr/>
      </xdr:nvSpPr>
      <xdr:spPr>
        <a:xfrm>
          <a:off x="12955412" y="463252"/>
          <a:ext cx="4656817" cy="92201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そのステップが、キャプチャ可能であれば </a:t>
          </a:r>
          <a:r>
            <a:rPr kumimoji="1" lang="en-US" altLang="ja-JP" sz="1100">
              <a:solidFill>
                <a:schemeClr val="tx1"/>
              </a:solidFill>
            </a:rPr>
            <a:t>TRUE </a:t>
          </a:r>
          <a:r>
            <a:rPr kumimoji="1" lang="ja-JP" altLang="en-US" sz="1100">
              <a:solidFill>
                <a:schemeClr val="tx1"/>
              </a:solidFill>
            </a:rPr>
            <a:t>と表示されます。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FALSE </a:t>
          </a:r>
          <a:r>
            <a:rPr kumimoji="1" lang="ja-JP" altLang="en-US" sz="1100">
              <a:solidFill>
                <a:schemeClr val="tx1"/>
              </a:solidFill>
            </a:rPr>
            <a:t>以降のステップは正しくキャプチャされない可能性があります。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1217220</xdr:colOff>
      <xdr:row>5</xdr:row>
      <xdr:rowOff>188235</xdr:rowOff>
    </xdr:from>
    <xdr:to>
      <xdr:col>10</xdr:col>
      <xdr:colOff>1280483</xdr:colOff>
      <xdr:row>14</xdr:row>
      <xdr:rowOff>145966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53435060-8067-43B8-B5D5-955E5F7B402F}"/>
            </a:ext>
          </a:extLst>
        </xdr:cNvPr>
        <xdr:cNvCxnSpPr>
          <a:stCxn id="25" idx="1"/>
        </xdr:cNvCxnSpPr>
      </xdr:nvCxnSpPr>
      <xdr:spPr>
        <a:xfrm flipH="1">
          <a:off x="11558649" y="923021"/>
          <a:ext cx="1396763" cy="216208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DB4F-1CD8-4CE6-B314-DF462443B2D7}">
  <dimension ref="B4:X46"/>
  <sheetViews>
    <sheetView zoomScale="55" zoomScaleNormal="55" workbookViewId="0">
      <selection activeCell="B46" sqref="B46:G46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" customWidth="1"/>
    <col min="21" max="21" width="24.625" customWidth="1"/>
    <col min="22" max="22" width="1.125" customWidth="1"/>
    <col min="23" max="23" width="34.625" customWidth="1"/>
    <col min="24" max="24" width="41.125" customWidth="1"/>
  </cols>
  <sheetData>
    <row r="4" spans="2:24" x14ac:dyDescent="0.4">
      <c r="S4" s="11" t="s">
        <v>18</v>
      </c>
      <c r="T4" s="12">
        <f>COUNTIF(C12:C43, "&gt;0")</f>
        <v>3</v>
      </c>
      <c r="U4" s="13"/>
    </row>
    <row r="5" spans="2:24" x14ac:dyDescent="0.4">
      <c r="S5" s="14" t="s">
        <v>0</v>
      </c>
      <c r="T5">
        <v>96</v>
      </c>
      <c r="U5" s="15" t="s">
        <v>2</v>
      </c>
    </row>
    <row r="6" spans="2:24" x14ac:dyDescent="0.4">
      <c r="S6" s="14" t="s">
        <v>1</v>
      </c>
      <c r="T6">
        <v>150</v>
      </c>
      <c r="U6" s="15" t="s">
        <v>2</v>
      </c>
    </row>
    <row r="7" spans="2:24" x14ac:dyDescent="0.4">
      <c r="B7" s="45" t="s">
        <v>31</v>
      </c>
      <c r="C7" s="45"/>
      <c r="D7" s="19">
        <v>4096</v>
      </c>
      <c r="S7" s="14" t="s">
        <v>16</v>
      </c>
      <c r="T7">
        <v>680</v>
      </c>
      <c r="U7" s="15" t="s">
        <v>2</v>
      </c>
    </row>
    <row r="8" spans="2:24" x14ac:dyDescent="0.4">
      <c r="C8" s="10" t="s">
        <v>7</v>
      </c>
      <c r="D8" s="20" t="s">
        <v>8</v>
      </c>
      <c r="S8" s="14" t="s">
        <v>12</v>
      </c>
      <c r="T8">
        <f>64*300</f>
        <v>19200</v>
      </c>
      <c r="U8" s="15" t="s">
        <v>13</v>
      </c>
    </row>
    <row r="9" spans="2:24" x14ac:dyDescent="0.4">
      <c r="C9" s="10" t="s">
        <v>28</v>
      </c>
      <c r="D9" s="21" t="s">
        <v>26</v>
      </c>
      <c r="N9" s="10"/>
      <c r="O9" s="10"/>
      <c r="P9" s="10"/>
      <c r="Q9" s="10"/>
      <c r="R9" s="10"/>
      <c r="S9" s="16" t="s">
        <v>27</v>
      </c>
      <c r="T9" s="17">
        <f>IF($D$9="はい", 8*$D$7, 4*$D$7)</f>
        <v>16384</v>
      </c>
      <c r="U9" s="18" t="s">
        <v>13</v>
      </c>
    </row>
    <row r="11" spans="2:24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" t="s">
        <v>20</v>
      </c>
      <c r="L11" s="1" t="s">
        <v>21</v>
      </c>
      <c r="M11" s="1" t="s">
        <v>22</v>
      </c>
      <c r="N11" s="1" t="s">
        <v>11</v>
      </c>
      <c r="O11" s="1" t="s">
        <v>19</v>
      </c>
      <c r="P11" s="1" t="s">
        <v>24</v>
      </c>
      <c r="Q11" s="1" t="s">
        <v>25</v>
      </c>
      <c r="R11" s="1" t="s">
        <v>23</v>
      </c>
      <c r="S11" s="1" t="s">
        <v>15</v>
      </c>
      <c r="T11" s="1" t="s">
        <v>17</v>
      </c>
      <c r="U11" s="24" t="s">
        <v>32</v>
      </c>
      <c r="W11" s="1" t="s">
        <v>29</v>
      </c>
      <c r="X11" s="1" t="s">
        <v>30</v>
      </c>
    </row>
    <row r="12" spans="2:24" x14ac:dyDescent="0.4">
      <c r="B12">
        <v>0</v>
      </c>
      <c r="C12" s="2">
        <v>10</v>
      </c>
      <c r="D12" s="3">
        <v>6</v>
      </c>
      <c r="E12" s="3">
        <v>180</v>
      </c>
      <c r="F12" s="3">
        <v>0</v>
      </c>
      <c r="G12" s="4">
        <v>500</v>
      </c>
      <c r="I12" s="22" t="b">
        <f ca="1">AND(W12, X12, U12)</f>
        <v>1</v>
      </c>
      <c r="K12">
        <f>E12</f>
        <v>180</v>
      </c>
      <c r="L12">
        <f>K12+G12+SUM($T$5:$T$7)</f>
        <v>1606</v>
      </c>
      <c r="M12">
        <v>0</v>
      </c>
      <c r="N12">
        <f>IF(C12&lt;=0, 0, 1000 *D12 / C12)</f>
        <v>600</v>
      </c>
      <c r="O12">
        <f t="shared" ref="O12:O20" si="0">N12+F12</f>
        <v>600</v>
      </c>
      <c r="P12">
        <v>0</v>
      </c>
      <c r="Q12">
        <f>$T$9*(G12/1000000000)</f>
        <v>8.1919999999999996E-3</v>
      </c>
      <c r="R12">
        <f>IF((G12-P12) &gt; 0, Q12/((G12-P12)/1000000000), NA())</f>
        <v>16384</v>
      </c>
      <c r="S12" t="b">
        <f>IF(ISNA(R12), FALSE, IF($T$8&gt;R12,TRUE, FALSE))</f>
        <v>1</v>
      </c>
      <c r="T12" t="b">
        <f>TRUE</f>
        <v>1</v>
      </c>
      <c r="U12" t="b">
        <f>IF(O12&lt;E12, FALSE, TRUE)</f>
        <v>1</v>
      </c>
      <c r="W12" t="b">
        <f ca="1">AND(IF($D$8="あり", S45, TRUE), S12)</f>
        <v>1</v>
      </c>
      <c r="X12" t="b">
        <f ca="1">AND(IF($D$8="あり", IF($T$4=1,T46,T45), TRUE), T12)</f>
        <v>1</v>
      </c>
    </row>
    <row r="13" spans="2:24" x14ac:dyDescent="0.4">
      <c r="B13">
        <v>1</v>
      </c>
      <c r="C13" s="5">
        <v>20</v>
      </c>
      <c r="D13">
        <v>10</v>
      </c>
      <c r="E13">
        <v>180</v>
      </c>
      <c r="F13">
        <v>500</v>
      </c>
      <c r="G13" s="6">
        <v>400</v>
      </c>
      <c r="I13" s="22" t="b">
        <f t="shared" ref="I13:I42" ca="1" si="1">AND(W13, X13, U13)</f>
        <v>1</v>
      </c>
      <c r="K13">
        <f>M13+E13</f>
        <v>780</v>
      </c>
      <c r="L13">
        <f>K13+G13+SUM($T$5:$T$7)</f>
        <v>2106</v>
      </c>
      <c r="M13">
        <f>O12</f>
        <v>600</v>
      </c>
      <c r="N13">
        <f>IF(C13&lt;=0, 0, 1000 *D13 / C13)</f>
        <v>500</v>
      </c>
      <c r="O13">
        <f t="shared" si="0"/>
        <v>1000</v>
      </c>
      <c r="P13">
        <f t="shared" ref="P13:P20" si="2">MAX(0, E12+G12+$T$6 - (O12+E13))</f>
        <v>50</v>
      </c>
      <c r="Q13">
        <f>$T$9*(G13/1000000000)</f>
        <v>6.5535999999999997E-3</v>
      </c>
      <c r="R13">
        <f>IF((G13-P13) &gt; 0, Q13/((G13-P13)/1000000000), NA())</f>
        <v>18724.571428571428</v>
      </c>
      <c r="S13" t="b">
        <f>IF(ISNA(R13), FALSE, IF($T$8&gt;R13,TRUE, FALSE))</f>
        <v>1</v>
      </c>
      <c r="T13" t="b">
        <f>TRUE</f>
        <v>1</v>
      </c>
      <c r="U13" t="b">
        <f t="shared" ref="U13:U43" si="3">IF(O13&lt;E13, FALSE, TRUE)</f>
        <v>1</v>
      </c>
      <c r="W13" t="b">
        <f>AND(IF($D$8="あり", S46, TRUE), S13)</f>
        <v>1</v>
      </c>
      <c r="X13" t="b">
        <f ca="1">AND(IF($D$8="あり", T46, TRUE), T13)</f>
        <v>1</v>
      </c>
    </row>
    <row r="14" spans="2:24" x14ac:dyDescent="0.4">
      <c r="B14">
        <v>2</v>
      </c>
      <c r="C14" s="5">
        <v>20</v>
      </c>
      <c r="D14">
        <v>20</v>
      </c>
      <c r="E14">
        <v>180</v>
      </c>
      <c r="F14">
        <v>0</v>
      </c>
      <c r="G14" s="6">
        <v>400</v>
      </c>
      <c r="I14" s="22" t="b">
        <f t="shared" si="1"/>
        <v>1</v>
      </c>
      <c r="K14">
        <f>M14+E14</f>
        <v>1780</v>
      </c>
      <c r="L14">
        <f t="shared" ref="L14:L43" si="4">K14+G14+SUM($T$5:$T$7)</f>
        <v>3106</v>
      </c>
      <c r="M14">
        <f>SUM(O12:O13)</f>
        <v>1600</v>
      </c>
      <c r="N14">
        <f>IF(C14&lt;=0, 0, 1000 *D14 / C14)</f>
        <v>1000</v>
      </c>
      <c r="O14">
        <f t="shared" si="0"/>
        <v>1000</v>
      </c>
      <c r="P14">
        <f t="shared" si="2"/>
        <v>0</v>
      </c>
      <c r="Q14">
        <f>$T$9*(G14/1000000000)</f>
        <v>6.5535999999999997E-3</v>
      </c>
      <c r="R14">
        <f>IF((G14-P14) &gt; 0, Q14/((G14-P14)/1000000000), NA())</f>
        <v>16384</v>
      </c>
      <c r="S14" t="b">
        <f>IF(ISNA(R14), FALSE, IF($T$8&gt;R14,TRUE, FALSE))</f>
        <v>1</v>
      </c>
      <c r="T14" t="b">
        <f t="shared" ref="T14:T43" si="5">IF(K14&gt;=L12, TRUE, FALSE)</f>
        <v>1</v>
      </c>
      <c r="U14" t="b">
        <f t="shared" si="3"/>
        <v>1</v>
      </c>
      <c r="W14" t="b">
        <f>S14</f>
        <v>1</v>
      </c>
      <c r="X14" t="b">
        <f>T14</f>
        <v>1</v>
      </c>
    </row>
    <row r="15" spans="2:24" x14ac:dyDescent="0.4">
      <c r="B15">
        <v>3</v>
      </c>
      <c r="C15" s="5"/>
      <c r="G15" s="6"/>
      <c r="I15" s="22" t="b">
        <f t="shared" si="1"/>
        <v>0</v>
      </c>
      <c r="K15">
        <f>M15+E15</f>
        <v>2600</v>
      </c>
      <c r="L15">
        <f t="shared" si="4"/>
        <v>3526</v>
      </c>
      <c r="M15">
        <f>SUM(O12:O14)</f>
        <v>2600</v>
      </c>
      <c r="N15">
        <f>IF(C15&lt;=0, 0, 1000 *D15 / C15)</f>
        <v>0</v>
      </c>
      <c r="O15">
        <f t="shared" si="0"/>
        <v>0</v>
      </c>
      <c r="P15">
        <f t="shared" si="2"/>
        <v>0</v>
      </c>
      <c r="Q15">
        <f>$T$9*(G15/1000000000)</f>
        <v>0</v>
      </c>
      <c r="R15" t="e">
        <f t="shared" ref="R15:R43" si="6">IF((G15-P15) &gt; 0, Q15/((G15-P15)/1000000000), NA())</f>
        <v>#N/A</v>
      </c>
      <c r="S15" t="b">
        <f>IF(ISNA(R15), FALSE, IF($T$8&gt;R15,TRUE, FALSE))</f>
        <v>0</v>
      </c>
      <c r="T15" t="b">
        <f t="shared" si="5"/>
        <v>1</v>
      </c>
      <c r="U15" t="b">
        <f t="shared" si="3"/>
        <v>1</v>
      </c>
      <c r="W15" t="b">
        <f>S15</f>
        <v>0</v>
      </c>
      <c r="X15" t="b">
        <f t="shared" ref="X15:X43" si="7">T15</f>
        <v>1</v>
      </c>
    </row>
    <row r="16" spans="2:24" x14ac:dyDescent="0.4">
      <c r="B16">
        <v>4</v>
      </c>
      <c r="C16" s="5"/>
      <c r="G16" s="6"/>
      <c r="I16" s="22" t="b">
        <f t="shared" si="1"/>
        <v>0</v>
      </c>
      <c r="K16">
        <f>M16+E16</f>
        <v>2600</v>
      </c>
      <c r="L16">
        <f>K16+G16+SUM($T$5:$T$7)</f>
        <v>3526</v>
      </c>
      <c r="M16">
        <f>SUM(O12:O15)</f>
        <v>2600</v>
      </c>
      <c r="N16">
        <f>IF(C16&lt;=0, 0, 1000 *D16 / C16)</f>
        <v>0</v>
      </c>
      <c r="O16">
        <f t="shared" si="0"/>
        <v>0</v>
      </c>
      <c r="P16">
        <f t="shared" si="2"/>
        <v>150</v>
      </c>
      <c r="Q16">
        <f t="shared" ref="Q16:Q43" si="8">$T$9*(G16/1000000000)</f>
        <v>0</v>
      </c>
      <c r="R16" t="e">
        <f t="shared" si="6"/>
        <v>#N/A</v>
      </c>
      <c r="S16" t="b">
        <f>IF(ISNA(R16), FALSE, IF($T$8&gt;R16,TRUE, FALSE))</f>
        <v>0</v>
      </c>
      <c r="T16" t="b">
        <f t="shared" si="5"/>
        <v>0</v>
      </c>
      <c r="U16" t="b">
        <f t="shared" si="3"/>
        <v>1</v>
      </c>
      <c r="W16" t="b">
        <f t="shared" ref="W16:W42" si="9">S16</f>
        <v>0</v>
      </c>
      <c r="X16" t="b">
        <f t="shared" si="7"/>
        <v>0</v>
      </c>
    </row>
    <row r="17" spans="2:24" x14ac:dyDescent="0.4">
      <c r="B17">
        <v>5</v>
      </c>
      <c r="C17" s="5"/>
      <c r="G17" s="6"/>
      <c r="I17" s="22" t="b">
        <f t="shared" si="1"/>
        <v>0</v>
      </c>
      <c r="K17">
        <f>M17+E17</f>
        <v>2600</v>
      </c>
      <c r="L17">
        <f t="shared" si="4"/>
        <v>3526</v>
      </c>
      <c r="M17">
        <f>SUM(O12:O16)</f>
        <v>2600</v>
      </c>
      <c r="N17">
        <f t="shared" ref="N17:N43" si="10">IF(C17&lt;=0, 0, 1000 *D17 / C17)</f>
        <v>0</v>
      </c>
      <c r="O17">
        <f t="shared" si="0"/>
        <v>0</v>
      </c>
      <c r="P17">
        <f t="shared" si="2"/>
        <v>150</v>
      </c>
      <c r="Q17">
        <f t="shared" si="8"/>
        <v>0</v>
      </c>
      <c r="R17" t="e">
        <f t="shared" si="6"/>
        <v>#N/A</v>
      </c>
      <c r="S17" t="b">
        <f t="shared" ref="S17:S43" si="11">IF(ISNA(R17), FALSE, IF($T$8&gt;R17,TRUE, FALSE))</f>
        <v>0</v>
      </c>
      <c r="T17" t="b">
        <f t="shared" si="5"/>
        <v>0</v>
      </c>
      <c r="U17" t="b">
        <f t="shared" si="3"/>
        <v>1</v>
      </c>
      <c r="W17" t="b">
        <f t="shared" si="9"/>
        <v>0</v>
      </c>
      <c r="X17" t="b">
        <f t="shared" si="7"/>
        <v>0</v>
      </c>
    </row>
    <row r="18" spans="2:24" x14ac:dyDescent="0.4">
      <c r="B18">
        <v>6</v>
      </c>
      <c r="C18" s="5"/>
      <c r="G18" s="6"/>
      <c r="I18" s="22" t="b">
        <f t="shared" si="1"/>
        <v>0</v>
      </c>
      <c r="K18">
        <f t="shared" ref="K18:K43" si="12">M18+E18</f>
        <v>2600</v>
      </c>
      <c r="L18">
        <f t="shared" si="4"/>
        <v>3526</v>
      </c>
      <c r="M18">
        <f>SUM(O12:O17)</f>
        <v>2600</v>
      </c>
      <c r="N18">
        <f t="shared" si="10"/>
        <v>0</v>
      </c>
      <c r="O18">
        <f t="shared" si="0"/>
        <v>0</v>
      </c>
      <c r="P18">
        <f t="shared" si="2"/>
        <v>150</v>
      </c>
      <c r="Q18">
        <f t="shared" si="8"/>
        <v>0</v>
      </c>
      <c r="R18" t="e">
        <f t="shared" si="6"/>
        <v>#N/A</v>
      </c>
      <c r="S18" t="b">
        <f t="shared" si="11"/>
        <v>0</v>
      </c>
      <c r="T18" t="b">
        <f t="shared" si="5"/>
        <v>0</v>
      </c>
      <c r="U18" t="b">
        <f t="shared" si="3"/>
        <v>1</v>
      </c>
      <c r="W18" t="b">
        <f t="shared" si="9"/>
        <v>0</v>
      </c>
      <c r="X18" t="b">
        <f t="shared" si="7"/>
        <v>0</v>
      </c>
    </row>
    <row r="19" spans="2:24" x14ac:dyDescent="0.4">
      <c r="B19">
        <v>7</v>
      </c>
      <c r="C19" s="5"/>
      <c r="G19" s="6"/>
      <c r="I19" s="22" t="b">
        <f t="shared" si="1"/>
        <v>0</v>
      </c>
      <c r="K19">
        <f t="shared" si="12"/>
        <v>2600</v>
      </c>
      <c r="L19">
        <f t="shared" si="4"/>
        <v>3526</v>
      </c>
      <c r="M19">
        <f>SUM(O12:O18)</f>
        <v>2600</v>
      </c>
      <c r="N19">
        <f t="shared" si="10"/>
        <v>0</v>
      </c>
      <c r="O19">
        <f t="shared" si="0"/>
        <v>0</v>
      </c>
      <c r="P19">
        <f t="shared" si="2"/>
        <v>150</v>
      </c>
      <c r="Q19">
        <f t="shared" si="8"/>
        <v>0</v>
      </c>
      <c r="R19" t="e">
        <f t="shared" si="6"/>
        <v>#N/A</v>
      </c>
      <c r="S19" t="b">
        <f t="shared" si="11"/>
        <v>0</v>
      </c>
      <c r="T19" t="b">
        <f t="shared" si="5"/>
        <v>0</v>
      </c>
      <c r="U19" t="b">
        <f t="shared" si="3"/>
        <v>1</v>
      </c>
      <c r="W19" t="b">
        <f t="shared" si="9"/>
        <v>0</v>
      </c>
      <c r="X19" t="b">
        <f t="shared" si="7"/>
        <v>0</v>
      </c>
    </row>
    <row r="20" spans="2:24" x14ac:dyDescent="0.4">
      <c r="B20">
        <v>8</v>
      </c>
      <c r="C20" s="5"/>
      <c r="G20" s="6"/>
      <c r="I20" s="22" t="b">
        <f t="shared" si="1"/>
        <v>0</v>
      </c>
      <c r="K20">
        <f t="shared" si="12"/>
        <v>2600</v>
      </c>
      <c r="L20">
        <f t="shared" si="4"/>
        <v>3526</v>
      </c>
      <c r="M20">
        <f>SUM(O12:O19)</f>
        <v>2600</v>
      </c>
      <c r="N20">
        <f t="shared" si="10"/>
        <v>0</v>
      </c>
      <c r="O20">
        <f t="shared" si="0"/>
        <v>0</v>
      </c>
      <c r="P20">
        <f t="shared" si="2"/>
        <v>150</v>
      </c>
      <c r="Q20">
        <f t="shared" si="8"/>
        <v>0</v>
      </c>
      <c r="R20" t="e">
        <f t="shared" si="6"/>
        <v>#N/A</v>
      </c>
      <c r="S20" t="b">
        <f t="shared" si="11"/>
        <v>0</v>
      </c>
      <c r="T20" t="b">
        <f t="shared" si="5"/>
        <v>0</v>
      </c>
      <c r="U20" t="b">
        <f t="shared" si="3"/>
        <v>1</v>
      </c>
      <c r="W20" t="b">
        <f t="shared" si="9"/>
        <v>0</v>
      </c>
      <c r="X20" t="b">
        <f t="shared" si="7"/>
        <v>0</v>
      </c>
    </row>
    <row r="21" spans="2:24" x14ac:dyDescent="0.4">
      <c r="B21">
        <v>9</v>
      </c>
      <c r="C21" s="5"/>
      <c r="G21" s="6"/>
      <c r="I21" s="22" t="b">
        <f t="shared" si="1"/>
        <v>0</v>
      </c>
      <c r="K21">
        <f t="shared" si="12"/>
        <v>2600</v>
      </c>
      <c r="L21">
        <f t="shared" si="4"/>
        <v>3526</v>
      </c>
      <c r="M21">
        <f>SUM(O12:O20)</f>
        <v>2600</v>
      </c>
      <c r="N21">
        <f t="shared" si="10"/>
        <v>0</v>
      </c>
      <c r="O21">
        <f t="shared" ref="O21:O43" si="13">N21+F21</f>
        <v>0</v>
      </c>
      <c r="P21">
        <f t="shared" ref="P21:P43" si="14">MAX(0, E20+G20+$T$6 - (O20+E21))</f>
        <v>150</v>
      </c>
      <c r="Q21">
        <f t="shared" si="8"/>
        <v>0</v>
      </c>
      <c r="R21" t="e">
        <f t="shared" si="6"/>
        <v>#N/A</v>
      </c>
      <c r="S21" t="b">
        <f t="shared" si="11"/>
        <v>0</v>
      </c>
      <c r="T21" t="b">
        <f t="shared" si="5"/>
        <v>0</v>
      </c>
      <c r="U21" t="b">
        <f t="shared" si="3"/>
        <v>1</v>
      </c>
      <c r="W21" t="b">
        <f t="shared" si="9"/>
        <v>0</v>
      </c>
      <c r="X21" t="b">
        <f t="shared" si="7"/>
        <v>0</v>
      </c>
    </row>
    <row r="22" spans="2:24" x14ac:dyDescent="0.4">
      <c r="B22">
        <v>10</v>
      </c>
      <c r="C22" s="5"/>
      <c r="G22" s="6"/>
      <c r="I22" s="22" t="b">
        <f t="shared" si="1"/>
        <v>0</v>
      </c>
      <c r="K22">
        <f t="shared" si="12"/>
        <v>2600</v>
      </c>
      <c r="L22">
        <f t="shared" si="4"/>
        <v>3526</v>
      </c>
      <c r="M22">
        <f>SUM(O12:O21)</f>
        <v>2600</v>
      </c>
      <c r="N22">
        <f t="shared" si="10"/>
        <v>0</v>
      </c>
      <c r="O22">
        <f t="shared" si="13"/>
        <v>0</v>
      </c>
      <c r="P22">
        <f t="shared" si="14"/>
        <v>150</v>
      </c>
      <c r="Q22">
        <f t="shared" si="8"/>
        <v>0</v>
      </c>
      <c r="R22" t="e">
        <f t="shared" si="6"/>
        <v>#N/A</v>
      </c>
      <c r="S22" t="b">
        <f t="shared" si="11"/>
        <v>0</v>
      </c>
      <c r="T22" t="b">
        <f t="shared" si="5"/>
        <v>0</v>
      </c>
      <c r="U22" t="b">
        <f t="shared" si="3"/>
        <v>1</v>
      </c>
      <c r="W22" t="b">
        <f t="shared" si="9"/>
        <v>0</v>
      </c>
      <c r="X22" t="b">
        <f t="shared" si="7"/>
        <v>0</v>
      </c>
    </row>
    <row r="23" spans="2:24" x14ac:dyDescent="0.4">
      <c r="B23">
        <v>11</v>
      </c>
      <c r="C23" s="5"/>
      <c r="G23" s="6"/>
      <c r="I23" s="22" t="b">
        <f t="shared" si="1"/>
        <v>0</v>
      </c>
      <c r="K23">
        <f t="shared" si="12"/>
        <v>2600</v>
      </c>
      <c r="L23">
        <f t="shared" si="4"/>
        <v>3526</v>
      </c>
      <c r="M23">
        <f>SUM(O12:O22)</f>
        <v>2600</v>
      </c>
      <c r="N23">
        <f t="shared" si="10"/>
        <v>0</v>
      </c>
      <c r="O23">
        <f t="shared" si="13"/>
        <v>0</v>
      </c>
      <c r="P23">
        <f t="shared" si="14"/>
        <v>150</v>
      </c>
      <c r="Q23">
        <f t="shared" si="8"/>
        <v>0</v>
      </c>
      <c r="R23" t="e">
        <f t="shared" si="6"/>
        <v>#N/A</v>
      </c>
      <c r="S23" t="b">
        <f t="shared" si="11"/>
        <v>0</v>
      </c>
      <c r="T23" t="b">
        <f t="shared" si="5"/>
        <v>0</v>
      </c>
      <c r="U23" t="b">
        <f t="shared" si="3"/>
        <v>1</v>
      </c>
      <c r="W23" t="b">
        <f t="shared" si="9"/>
        <v>0</v>
      </c>
      <c r="X23" t="b">
        <f t="shared" si="7"/>
        <v>0</v>
      </c>
    </row>
    <row r="24" spans="2:24" x14ac:dyDescent="0.4">
      <c r="B24">
        <v>12</v>
      </c>
      <c r="C24" s="5"/>
      <c r="G24" s="6"/>
      <c r="I24" s="22" t="b">
        <f t="shared" si="1"/>
        <v>0</v>
      </c>
      <c r="K24">
        <f t="shared" si="12"/>
        <v>2600</v>
      </c>
      <c r="L24">
        <f t="shared" si="4"/>
        <v>3526</v>
      </c>
      <c r="M24">
        <f>SUM(O12:O23)</f>
        <v>2600</v>
      </c>
      <c r="N24">
        <f t="shared" si="10"/>
        <v>0</v>
      </c>
      <c r="O24">
        <f t="shared" si="13"/>
        <v>0</v>
      </c>
      <c r="P24">
        <f t="shared" si="14"/>
        <v>150</v>
      </c>
      <c r="Q24">
        <f t="shared" si="8"/>
        <v>0</v>
      </c>
      <c r="R24" t="e">
        <f t="shared" si="6"/>
        <v>#N/A</v>
      </c>
      <c r="S24" t="b">
        <f t="shared" si="11"/>
        <v>0</v>
      </c>
      <c r="T24" t="b">
        <f t="shared" si="5"/>
        <v>0</v>
      </c>
      <c r="U24" t="b">
        <f t="shared" si="3"/>
        <v>1</v>
      </c>
      <c r="W24" t="b">
        <f t="shared" si="9"/>
        <v>0</v>
      </c>
      <c r="X24" t="b">
        <f t="shared" si="7"/>
        <v>0</v>
      </c>
    </row>
    <row r="25" spans="2:24" x14ac:dyDescent="0.4">
      <c r="B25">
        <v>13</v>
      </c>
      <c r="C25" s="5"/>
      <c r="G25" s="6"/>
      <c r="I25" s="22" t="b">
        <f t="shared" si="1"/>
        <v>0</v>
      </c>
      <c r="K25">
        <f t="shared" si="12"/>
        <v>2600</v>
      </c>
      <c r="L25">
        <f t="shared" si="4"/>
        <v>3526</v>
      </c>
      <c r="M25">
        <f>SUM(O12:O24)</f>
        <v>2600</v>
      </c>
      <c r="N25">
        <f t="shared" si="10"/>
        <v>0</v>
      </c>
      <c r="O25">
        <f t="shared" si="13"/>
        <v>0</v>
      </c>
      <c r="P25">
        <f t="shared" si="14"/>
        <v>150</v>
      </c>
      <c r="Q25">
        <f t="shared" si="8"/>
        <v>0</v>
      </c>
      <c r="R25" t="e">
        <f t="shared" si="6"/>
        <v>#N/A</v>
      </c>
      <c r="S25" t="b">
        <f t="shared" si="11"/>
        <v>0</v>
      </c>
      <c r="T25" t="b">
        <f t="shared" si="5"/>
        <v>0</v>
      </c>
      <c r="U25" t="b">
        <f t="shared" si="3"/>
        <v>1</v>
      </c>
      <c r="W25" t="b">
        <f t="shared" si="9"/>
        <v>0</v>
      </c>
      <c r="X25" t="b">
        <f t="shared" si="7"/>
        <v>0</v>
      </c>
    </row>
    <row r="26" spans="2:24" x14ac:dyDescent="0.4">
      <c r="B26">
        <v>14</v>
      </c>
      <c r="C26" s="5"/>
      <c r="G26" s="6"/>
      <c r="I26" s="22" t="b">
        <f t="shared" si="1"/>
        <v>0</v>
      </c>
      <c r="K26">
        <f t="shared" si="12"/>
        <v>2600</v>
      </c>
      <c r="L26">
        <f t="shared" si="4"/>
        <v>3526</v>
      </c>
      <c r="M26">
        <f>SUM(O12:O25)</f>
        <v>2600</v>
      </c>
      <c r="N26">
        <f t="shared" si="10"/>
        <v>0</v>
      </c>
      <c r="O26">
        <f t="shared" si="13"/>
        <v>0</v>
      </c>
      <c r="P26">
        <f t="shared" si="14"/>
        <v>150</v>
      </c>
      <c r="Q26">
        <f t="shared" si="8"/>
        <v>0</v>
      </c>
      <c r="R26" t="e">
        <f t="shared" si="6"/>
        <v>#N/A</v>
      </c>
      <c r="S26" t="b">
        <f t="shared" si="11"/>
        <v>0</v>
      </c>
      <c r="T26" t="b">
        <f t="shared" si="5"/>
        <v>0</v>
      </c>
      <c r="U26" t="b">
        <f t="shared" si="3"/>
        <v>1</v>
      </c>
      <c r="W26" t="b">
        <f t="shared" si="9"/>
        <v>0</v>
      </c>
      <c r="X26" t="b">
        <f t="shared" si="7"/>
        <v>0</v>
      </c>
    </row>
    <row r="27" spans="2:24" x14ac:dyDescent="0.4">
      <c r="B27">
        <v>15</v>
      </c>
      <c r="C27" s="5"/>
      <c r="G27" s="6"/>
      <c r="I27" s="22" t="b">
        <f t="shared" si="1"/>
        <v>0</v>
      </c>
      <c r="K27">
        <f t="shared" si="12"/>
        <v>2600</v>
      </c>
      <c r="L27">
        <f t="shared" si="4"/>
        <v>3526</v>
      </c>
      <c r="M27">
        <f>SUM(O12:O26)</f>
        <v>2600</v>
      </c>
      <c r="N27">
        <f t="shared" si="10"/>
        <v>0</v>
      </c>
      <c r="O27">
        <f t="shared" si="13"/>
        <v>0</v>
      </c>
      <c r="P27">
        <f t="shared" si="14"/>
        <v>150</v>
      </c>
      <c r="Q27">
        <f t="shared" si="8"/>
        <v>0</v>
      </c>
      <c r="R27" t="e">
        <f t="shared" si="6"/>
        <v>#N/A</v>
      </c>
      <c r="S27" t="b">
        <f t="shared" si="11"/>
        <v>0</v>
      </c>
      <c r="T27" t="b">
        <f t="shared" si="5"/>
        <v>0</v>
      </c>
      <c r="U27" t="b">
        <f t="shared" si="3"/>
        <v>1</v>
      </c>
      <c r="W27" t="b">
        <f t="shared" si="9"/>
        <v>0</v>
      </c>
      <c r="X27" t="b">
        <f t="shared" si="7"/>
        <v>0</v>
      </c>
    </row>
    <row r="28" spans="2:24" x14ac:dyDescent="0.4">
      <c r="B28">
        <v>16</v>
      </c>
      <c r="C28" s="5"/>
      <c r="G28" s="6"/>
      <c r="I28" s="22" t="b">
        <f t="shared" si="1"/>
        <v>0</v>
      </c>
      <c r="K28">
        <f t="shared" si="12"/>
        <v>2600</v>
      </c>
      <c r="L28">
        <f t="shared" si="4"/>
        <v>3526</v>
      </c>
      <c r="M28">
        <f>SUM(O12:O27)</f>
        <v>2600</v>
      </c>
      <c r="N28">
        <f t="shared" si="10"/>
        <v>0</v>
      </c>
      <c r="O28">
        <f t="shared" si="13"/>
        <v>0</v>
      </c>
      <c r="P28">
        <f t="shared" si="14"/>
        <v>150</v>
      </c>
      <c r="Q28">
        <f t="shared" si="8"/>
        <v>0</v>
      </c>
      <c r="R28" t="e">
        <f t="shared" si="6"/>
        <v>#N/A</v>
      </c>
      <c r="S28" t="b">
        <f t="shared" si="11"/>
        <v>0</v>
      </c>
      <c r="T28" t="b">
        <f t="shared" si="5"/>
        <v>0</v>
      </c>
      <c r="U28" t="b">
        <f t="shared" si="3"/>
        <v>1</v>
      </c>
      <c r="W28" t="b">
        <f t="shared" si="9"/>
        <v>0</v>
      </c>
      <c r="X28" t="b">
        <f t="shared" si="7"/>
        <v>0</v>
      </c>
    </row>
    <row r="29" spans="2:24" x14ac:dyDescent="0.4">
      <c r="B29">
        <v>17</v>
      </c>
      <c r="C29" s="5"/>
      <c r="G29" s="6"/>
      <c r="I29" s="22" t="b">
        <f t="shared" si="1"/>
        <v>0</v>
      </c>
      <c r="K29">
        <f t="shared" si="12"/>
        <v>2600</v>
      </c>
      <c r="L29">
        <f t="shared" si="4"/>
        <v>3526</v>
      </c>
      <c r="M29">
        <f>SUM(O12:O28)</f>
        <v>2600</v>
      </c>
      <c r="N29">
        <f t="shared" si="10"/>
        <v>0</v>
      </c>
      <c r="O29">
        <f t="shared" si="13"/>
        <v>0</v>
      </c>
      <c r="P29">
        <f t="shared" si="14"/>
        <v>150</v>
      </c>
      <c r="Q29">
        <f t="shared" si="8"/>
        <v>0</v>
      </c>
      <c r="R29" t="e">
        <f t="shared" si="6"/>
        <v>#N/A</v>
      </c>
      <c r="S29" t="b">
        <f t="shared" si="11"/>
        <v>0</v>
      </c>
      <c r="T29" t="b">
        <f t="shared" si="5"/>
        <v>0</v>
      </c>
      <c r="U29" t="b">
        <f t="shared" si="3"/>
        <v>1</v>
      </c>
      <c r="W29" t="b">
        <f t="shared" si="9"/>
        <v>0</v>
      </c>
      <c r="X29" t="b">
        <f t="shared" si="7"/>
        <v>0</v>
      </c>
    </row>
    <row r="30" spans="2:24" x14ac:dyDescent="0.4">
      <c r="B30">
        <v>18</v>
      </c>
      <c r="C30" s="5"/>
      <c r="G30" s="6"/>
      <c r="I30" s="22" t="b">
        <f t="shared" si="1"/>
        <v>0</v>
      </c>
      <c r="K30">
        <f t="shared" si="12"/>
        <v>2600</v>
      </c>
      <c r="L30">
        <f t="shared" si="4"/>
        <v>3526</v>
      </c>
      <c r="M30">
        <f>SUM(O12:O29)</f>
        <v>2600</v>
      </c>
      <c r="N30">
        <f t="shared" si="10"/>
        <v>0</v>
      </c>
      <c r="O30">
        <f t="shared" si="13"/>
        <v>0</v>
      </c>
      <c r="P30">
        <f t="shared" si="14"/>
        <v>150</v>
      </c>
      <c r="Q30">
        <f t="shared" si="8"/>
        <v>0</v>
      </c>
      <c r="R30" t="e">
        <f t="shared" si="6"/>
        <v>#N/A</v>
      </c>
      <c r="S30" t="b">
        <f t="shared" si="11"/>
        <v>0</v>
      </c>
      <c r="T30" t="b">
        <f t="shared" si="5"/>
        <v>0</v>
      </c>
      <c r="U30" t="b">
        <f t="shared" si="3"/>
        <v>1</v>
      </c>
      <c r="W30" t="b">
        <f t="shared" si="9"/>
        <v>0</v>
      </c>
      <c r="X30" t="b">
        <f t="shared" si="7"/>
        <v>0</v>
      </c>
    </row>
    <row r="31" spans="2:24" x14ac:dyDescent="0.4">
      <c r="B31">
        <v>19</v>
      </c>
      <c r="C31" s="5"/>
      <c r="G31" s="6"/>
      <c r="I31" s="22" t="b">
        <f t="shared" si="1"/>
        <v>0</v>
      </c>
      <c r="K31">
        <f t="shared" si="12"/>
        <v>2600</v>
      </c>
      <c r="L31">
        <f t="shared" si="4"/>
        <v>3526</v>
      </c>
      <c r="M31">
        <f>SUM(O12:O30)</f>
        <v>2600</v>
      </c>
      <c r="N31">
        <f t="shared" si="10"/>
        <v>0</v>
      </c>
      <c r="O31">
        <f t="shared" si="13"/>
        <v>0</v>
      </c>
      <c r="P31">
        <f t="shared" si="14"/>
        <v>150</v>
      </c>
      <c r="Q31">
        <f t="shared" si="8"/>
        <v>0</v>
      </c>
      <c r="R31" t="e">
        <f t="shared" si="6"/>
        <v>#N/A</v>
      </c>
      <c r="S31" t="b">
        <f t="shared" si="11"/>
        <v>0</v>
      </c>
      <c r="T31" t="b">
        <f t="shared" si="5"/>
        <v>0</v>
      </c>
      <c r="U31" t="b">
        <f t="shared" si="3"/>
        <v>1</v>
      </c>
      <c r="W31" t="b">
        <f t="shared" si="9"/>
        <v>0</v>
      </c>
      <c r="X31" t="b">
        <f t="shared" si="7"/>
        <v>0</v>
      </c>
    </row>
    <row r="32" spans="2:24" x14ac:dyDescent="0.4">
      <c r="B32">
        <v>20</v>
      </c>
      <c r="C32" s="5"/>
      <c r="G32" s="6"/>
      <c r="I32" s="22" t="b">
        <f t="shared" si="1"/>
        <v>0</v>
      </c>
      <c r="K32">
        <f t="shared" si="12"/>
        <v>2600</v>
      </c>
      <c r="L32">
        <f t="shared" si="4"/>
        <v>3526</v>
      </c>
      <c r="M32">
        <f>SUM(O12:O31)</f>
        <v>2600</v>
      </c>
      <c r="N32">
        <f t="shared" si="10"/>
        <v>0</v>
      </c>
      <c r="O32">
        <f t="shared" si="13"/>
        <v>0</v>
      </c>
      <c r="P32">
        <f t="shared" si="14"/>
        <v>150</v>
      </c>
      <c r="Q32">
        <f t="shared" si="8"/>
        <v>0</v>
      </c>
      <c r="R32" t="e">
        <f t="shared" si="6"/>
        <v>#N/A</v>
      </c>
      <c r="S32" t="b">
        <f t="shared" si="11"/>
        <v>0</v>
      </c>
      <c r="T32" t="b">
        <f t="shared" si="5"/>
        <v>0</v>
      </c>
      <c r="U32" t="b">
        <f t="shared" si="3"/>
        <v>1</v>
      </c>
      <c r="W32" t="b">
        <f t="shared" si="9"/>
        <v>0</v>
      </c>
      <c r="X32" t="b">
        <f t="shared" si="7"/>
        <v>0</v>
      </c>
    </row>
    <row r="33" spans="2:24" x14ac:dyDescent="0.4">
      <c r="B33">
        <v>21</v>
      </c>
      <c r="C33" s="5"/>
      <c r="G33" s="6"/>
      <c r="I33" s="22" t="b">
        <f t="shared" si="1"/>
        <v>0</v>
      </c>
      <c r="K33">
        <f t="shared" si="12"/>
        <v>2600</v>
      </c>
      <c r="L33">
        <f t="shared" si="4"/>
        <v>3526</v>
      </c>
      <c r="M33">
        <f>SUM(O12:O32)</f>
        <v>2600</v>
      </c>
      <c r="N33">
        <f t="shared" si="10"/>
        <v>0</v>
      </c>
      <c r="O33">
        <f t="shared" si="13"/>
        <v>0</v>
      </c>
      <c r="P33">
        <f t="shared" si="14"/>
        <v>150</v>
      </c>
      <c r="Q33">
        <f t="shared" si="8"/>
        <v>0</v>
      </c>
      <c r="R33" t="e">
        <f t="shared" si="6"/>
        <v>#N/A</v>
      </c>
      <c r="S33" t="b">
        <f t="shared" si="11"/>
        <v>0</v>
      </c>
      <c r="T33" t="b">
        <f t="shared" si="5"/>
        <v>0</v>
      </c>
      <c r="U33" t="b">
        <f t="shared" si="3"/>
        <v>1</v>
      </c>
      <c r="W33" t="b">
        <f t="shared" si="9"/>
        <v>0</v>
      </c>
      <c r="X33" t="b">
        <f t="shared" si="7"/>
        <v>0</v>
      </c>
    </row>
    <row r="34" spans="2:24" x14ac:dyDescent="0.4">
      <c r="B34">
        <v>22</v>
      </c>
      <c r="C34" s="5"/>
      <c r="G34" s="6"/>
      <c r="I34" s="22" t="b">
        <f t="shared" si="1"/>
        <v>0</v>
      </c>
      <c r="K34">
        <f t="shared" si="12"/>
        <v>2600</v>
      </c>
      <c r="L34">
        <f t="shared" si="4"/>
        <v>3526</v>
      </c>
      <c r="M34">
        <f>SUM(O12:O33)</f>
        <v>2600</v>
      </c>
      <c r="N34">
        <f t="shared" si="10"/>
        <v>0</v>
      </c>
      <c r="O34">
        <f t="shared" si="13"/>
        <v>0</v>
      </c>
      <c r="P34">
        <f t="shared" si="14"/>
        <v>150</v>
      </c>
      <c r="Q34">
        <f t="shared" si="8"/>
        <v>0</v>
      </c>
      <c r="R34" t="e">
        <f t="shared" si="6"/>
        <v>#N/A</v>
      </c>
      <c r="S34" t="b">
        <f t="shared" si="11"/>
        <v>0</v>
      </c>
      <c r="T34" t="b">
        <f t="shared" si="5"/>
        <v>0</v>
      </c>
      <c r="U34" t="b">
        <f t="shared" si="3"/>
        <v>1</v>
      </c>
      <c r="W34" t="b">
        <f t="shared" si="9"/>
        <v>0</v>
      </c>
      <c r="X34" t="b">
        <f t="shared" si="7"/>
        <v>0</v>
      </c>
    </row>
    <row r="35" spans="2:24" x14ac:dyDescent="0.4">
      <c r="B35">
        <v>23</v>
      </c>
      <c r="C35" s="5"/>
      <c r="G35" s="6"/>
      <c r="I35" s="22" t="b">
        <f t="shared" si="1"/>
        <v>0</v>
      </c>
      <c r="K35">
        <f t="shared" si="12"/>
        <v>2600</v>
      </c>
      <c r="L35">
        <f t="shared" si="4"/>
        <v>3526</v>
      </c>
      <c r="M35">
        <f>SUM(O12:O34)</f>
        <v>2600</v>
      </c>
      <c r="N35">
        <f t="shared" si="10"/>
        <v>0</v>
      </c>
      <c r="O35">
        <f t="shared" si="13"/>
        <v>0</v>
      </c>
      <c r="P35">
        <f t="shared" si="14"/>
        <v>150</v>
      </c>
      <c r="Q35">
        <f t="shared" si="8"/>
        <v>0</v>
      </c>
      <c r="R35" t="e">
        <f t="shared" si="6"/>
        <v>#N/A</v>
      </c>
      <c r="S35" t="b">
        <f t="shared" si="11"/>
        <v>0</v>
      </c>
      <c r="T35" t="b">
        <f t="shared" si="5"/>
        <v>0</v>
      </c>
      <c r="U35" t="b">
        <f t="shared" si="3"/>
        <v>1</v>
      </c>
      <c r="W35" t="b">
        <f t="shared" si="9"/>
        <v>0</v>
      </c>
      <c r="X35" t="b">
        <f t="shared" si="7"/>
        <v>0</v>
      </c>
    </row>
    <row r="36" spans="2:24" x14ac:dyDescent="0.4">
      <c r="B36">
        <v>24</v>
      </c>
      <c r="C36" s="5"/>
      <c r="G36" s="6"/>
      <c r="I36" s="22" t="b">
        <f t="shared" si="1"/>
        <v>0</v>
      </c>
      <c r="K36">
        <f t="shared" si="12"/>
        <v>2600</v>
      </c>
      <c r="L36">
        <f t="shared" si="4"/>
        <v>3526</v>
      </c>
      <c r="M36">
        <f>SUM(O12:O35)</f>
        <v>2600</v>
      </c>
      <c r="N36">
        <f t="shared" si="10"/>
        <v>0</v>
      </c>
      <c r="O36">
        <f t="shared" si="13"/>
        <v>0</v>
      </c>
      <c r="P36">
        <f t="shared" si="14"/>
        <v>150</v>
      </c>
      <c r="Q36">
        <f t="shared" si="8"/>
        <v>0</v>
      </c>
      <c r="R36" t="e">
        <f t="shared" si="6"/>
        <v>#N/A</v>
      </c>
      <c r="S36" t="b">
        <f t="shared" si="11"/>
        <v>0</v>
      </c>
      <c r="T36" t="b">
        <f t="shared" si="5"/>
        <v>0</v>
      </c>
      <c r="U36" t="b">
        <f t="shared" si="3"/>
        <v>1</v>
      </c>
      <c r="W36" t="b">
        <f t="shared" si="9"/>
        <v>0</v>
      </c>
      <c r="X36" t="b">
        <f t="shared" si="7"/>
        <v>0</v>
      </c>
    </row>
    <row r="37" spans="2:24" x14ac:dyDescent="0.4">
      <c r="B37">
        <v>25</v>
      </c>
      <c r="C37" s="5"/>
      <c r="G37" s="6"/>
      <c r="I37" s="22" t="b">
        <f t="shared" si="1"/>
        <v>0</v>
      </c>
      <c r="K37">
        <f t="shared" si="12"/>
        <v>2600</v>
      </c>
      <c r="L37">
        <f t="shared" si="4"/>
        <v>3526</v>
      </c>
      <c r="M37">
        <f>SUM(O12:O36)</f>
        <v>2600</v>
      </c>
      <c r="N37">
        <f t="shared" si="10"/>
        <v>0</v>
      </c>
      <c r="O37">
        <f t="shared" si="13"/>
        <v>0</v>
      </c>
      <c r="P37">
        <f t="shared" si="14"/>
        <v>150</v>
      </c>
      <c r="Q37">
        <f t="shared" si="8"/>
        <v>0</v>
      </c>
      <c r="R37" t="e">
        <f t="shared" si="6"/>
        <v>#N/A</v>
      </c>
      <c r="S37" t="b">
        <f t="shared" si="11"/>
        <v>0</v>
      </c>
      <c r="T37" t="b">
        <f t="shared" si="5"/>
        <v>0</v>
      </c>
      <c r="U37" t="b">
        <f t="shared" si="3"/>
        <v>1</v>
      </c>
      <c r="W37" t="b">
        <f t="shared" si="9"/>
        <v>0</v>
      </c>
      <c r="X37" t="b">
        <f t="shared" si="7"/>
        <v>0</v>
      </c>
    </row>
    <row r="38" spans="2:24" x14ac:dyDescent="0.4">
      <c r="B38">
        <v>26</v>
      </c>
      <c r="C38" s="5"/>
      <c r="G38" s="6"/>
      <c r="I38" s="22" t="b">
        <f t="shared" si="1"/>
        <v>0</v>
      </c>
      <c r="K38">
        <f t="shared" si="12"/>
        <v>2600</v>
      </c>
      <c r="L38">
        <f t="shared" si="4"/>
        <v>3526</v>
      </c>
      <c r="M38">
        <f>SUM(O12:O37)</f>
        <v>2600</v>
      </c>
      <c r="N38">
        <f t="shared" si="10"/>
        <v>0</v>
      </c>
      <c r="O38">
        <f t="shared" si="13"/>
        <v>0</v>
      </c>
      <c r="P38">
        <f t="shared" si="14"/>
        <v>150</v>
      </c>
      <c r="Q38">
        <f t="shared" si="8"/>
        <v>0</v>
      </c>
      <c r="R38" t="e">
        <f t="shared" si="6"/>
        <v>#N/A</v>
      </c>
      <c r="S38" t="b">
        <f t="shared" si="11"/>
        <v>0</v>
      </c>
      <c r="T38" t="b">
        <f t="shared" si="5"/>
        <v>0</v>
      </c>
      <c r="U38" t="b">
        <f t="shared" si="3"/>
        <v>1</v>
      </c>
      <c r="W38" t="b">
        <f t="shared" si="9"/>
        <v>0</v>
      </c>
      <c r="X38" t="b">
        <f t="shared" si="7"/>
        <v>0</v>
      </c>
    </row>
    <row r="39" spans="2:24" x14ac:dyDescent="0.4">
      <c r="B39">
        <v>27</v>
      </c>
      <c r="C39" s="5"/>
      <c r="G39" s="6"/>
      <c r="I39" s="22" t="b">
        <f t="shared" si="1"/>
        <v>0</v>
      </c>
      <c r="K39">
        <f t="shared" si="12"/>
        <v>2600</v>
      </c>
      <c r="L39">
        <f t="shared" si="4"/>
        <v>3526</v>
      </c>
      <c r="M39">
        <f>SUM(O12:O38)</f>
        <v>2600</v>
      </c>
      <c r="N39">
        <f t="shared" si="10"/>
        <v>0</v>
      </c>
      <c r="O39">
        <f t="shared" si="13"/>
        <v>0</v>
      </c>
      <c r="P39">
        <f t="shared" si="14"/>
        <v>150</v>
      </c>
      <c r="Q39">
        <f t="shared" si="8"/>
        <v>0</v>
      </c>
      <c r="R39" t="e">
        <f t="shared" si="6"/>
        <v>#N/A</v>
      </c>
      <c r="S39" t="b">
        <f t="shared" si="11"/>
        <v>0</v>
      </c>
      <c r="T39" t="b">
        <f t="shared" si="5"/>
        <v>0</v>
      </c>
      <c r="U39" t="b">
        <f t="shared" si="3"/>
        <v>1</v>
      </c>
      <c r="W39" t="b">
        <f t="shared" si="9"/>
        <v>0</v>
      </c>
      <c r="X39" t="b">
        <f t="shared" si="7"/>
        <v>0</v>
      </c>
    </row>
    <row r="40" spans="2:24" x14ac:dyDescent="0.4">
      <c r="B40">
        <v>28</v>
      </c>
      <c r="C40" s="5"/>
      <c r="G40" s="6"/>
      <c r="I40" s="22" t="b">
        <f t="shared" si="1"/>
        <v>0</v>
      </c>
      <c r="K40">
        <f t="shared" si="12"/>
        <v>2600</v>
      </c>
      <c r="L40">
        <f t="shared" si="4"/>
        <v>3526</v>
      </c>
      <c r="M40">
        <f>SUM(O12:O39)</f>
        <v>2600</v>
      </c>
      <c r="N40">
        <f t="shared" si="10"/>
        <v>0</v>
      </c>
      <c r="O40">
        <f t="shared" si="13"/>
        <v>0</v>
      </c>
      <c r="P40">
        <f t="shared" si="14"/>
        <v>150</v>
      </c>
      <c r="Q40">
        <f t="shared" si="8"/>
        <v>0</v>
      </c>
      <c r="R40" t="e">
        <f t="shared" si="6"/>
        <v>#N/A</v>
      </c>
      <c r="S40" t="b">
        <f t="shared" si="11"/>
        <v>0</v>
      </c>
      <c r="T40" t="b">
        <f t="shared" si="5"/>
        <v>0</v>
      </c>
      <c r="U40" t="b">
        <f t="shared" si="3"/>
        <v>1</v>
      </c>
      <c r="W40" t="b">
        <f t="shared" si="9"/>
        <v>0</v>
      </c>
      <c r="X40" t="b">
        <f t="shared" si="7"/>
        <v>0</v>
      </c>
    </row>
    <row r="41" spans="2:24" x14ac:dyDescent="0.4">
      <c r="B41">
        <v>29</v>
      </c>
      <c r="C41" s="5"/>
      <c r="G41" s="6"/>
      <c r="I41" s="22" t="b">
        <f t="shared" si="1"/>
        <v>0</v>
      </c>
      <c r="K41">
        <f t="shared" si="12"/>
        <v>2600</v>
      </c>
      <c r="L41">
        <f t="shared" si="4"/>
        <v>3526</v>
      </c>
      <c r="M41">
        <f>SUM(O12:O40)</f>
        <v>2600</v>
      </c>
      <c r="N41">
        <f t="shared" si="10"/>
        <v>0</v>
      </c>
      <c r="O41">
        <f t="shared" si="13"/>
        <v>0</v>
      </c>
      <c r="P41">
        <f t="shared" si="14"/>
        <v>150</v>
      </c>
      <c r="Q41">
        <f t="shared" si="8"/>
        <v>0</v>
      </c>
      <c r="R41" t="e">
        <f t="shared" si="6"/>
        <v>#N/A</v>
      </c>
      <c r="S41" t="b">
        <f t="shared" si="11"/>
        <v>0</v>
      </c>
      <c r="T41" t="b">
        <f t="shared" si="5"/>
        <v>0</v>
      </c>
      <c r="U41" t="b">
        <f t="shared" si="3"/>
        <v>1</v>
      </c>
      <c r="W41" t="b">
        <f t="shared" si="9"/>
        <v>0</v>
      </c>
      <c r="X41" t="b">
        <f t="shared" si="7"/>
        <v>0</v>
      </c>
    </row>
    <row r="42" spans="2:24" x14ac:dyDescent="0.4">
      <c r="B42">
        <v>30</v>
      </c>
      <c r="C42" s="5"/>
      <c r="G42" s="6"/>
      <c r="I42" s="22" t="b">
        <f t="shared" si="1"/>
        <v>0</v>
      </c>
      <c r="K42">
        <f t="shared" si="12"/>
        <v>2600</v>
      </c>
      <c r="L42">
        <f t="shared" si="4"/>
        <v>3526</v>
      </c>
      <c r="M42">
        <f>SUM(O12:O41)</f>
        <v>2600</v>
      </c>
      <c r="N42">
        <f t="shared" si="10"/>
        <v>0</v>
      </c>
      <c r="O42">
        <f t="shared" si="13"/>
        <v>0</v>
      </c>
      <c r="P42">
        <f t="shared" si="14"/>
        <v>150</v>
      </c>
      <c r="Q42">
        <f t="shared" si="8"/>
        <v>0</v>
      </c>
      <c r="R42" t="e">
        <f t="shared" si="6"/>
        <v>#N/A</v>
      </c>
      <c r="S42" t="b">
        <f t="shared" si="11"/>
        <v>0</v>
      </c>
      <c r="T42" t="b">
        <f t="shared" si="5"/>
        <v>0</v>
      </c>
      <c r="U42" t="b">
        <f t="shared" si="3"/>
        <v>1</v>
      </c>
      <c r="W42" t="b">
        <f t="shared" si="9"/>
        <v>0</v>
      </c>
      <c r="X42" t="b">
        <f t="shared" si="7"/>
        <v>0</v>
      </c>
    </row>
    <row r="43" spans="2:24" x14ac:dyDescent="0.4">
      <c r="B43">
        <v>31</v>
      </c>
      <c r="C43" s="7"/>
      <c r="D43" s="8"/>
      <c r="E43" s="8"/>
      <c r="F43" s="8"/>
      <c r="G43" s="9"/>
      <c r="I43" s="22" t="b">
        <f>AND(W43, X43, U43)</f>
        <v>0</v>
      </c>
      <c r="K43">
        <f t="shared" si="12"/>
        <v>2600</v>
      </c>
      <c r="L43">
        <f t="shared" si="4"/>
        <v>3526</v>
      </c>
      <c r="M43">
        <f>SUM(O12:O42)</f>
        <v>2600</v>
      </c>
      <c r="N43">
        <f t="shared" si="10"/>
        <v>0</v>
      </c>
      <c r="O43">
        <f t="shared" si="13"/>
        <v>0</v>
      </c>
      <c r="P43">
        <f t="shared" si="14"/>
        <v>150</v>
      </c>
      <c r="Q43">
        <f t="shared" si="8"/>
        <v>0</v>
      </c>
      <c r="R43" t="e">
        <f t="shared" si="6"/>
        <v>#N/A</v>
      </c>
      <c r="S43" t="b">
        <f t="shared" si="11"/>
        <v>0</v>
      </c>
      <c r="T43" t="b">
        <f t="shared" si="5"/>
        <v>0</v>
      </c>
      <c r="U43" t="b">
        <f t="shared" si="3"/>
        <v>1</v>
      </c>
      <c r="W43" t="b">
        <f>S43</f>
        <v>0</v>
      </c>
      <c r="X43" t="b">
        <f t="shared" si="7"/>
        <v>0</v>
      </c>
    </row>
    <row r="45" spans="2:24" x14ac:dyDescent="0.4">
      <c r="B45">
        <v>32</v>
      </c>
      <c r="C45">
        <f>IF($D$8="あり", C12, 0)</f>
        <v>10</v>
      </c>
      <c r="D45">
        <f>IF($D$8="あり", D12, 0)</f>
        <v>6</v>
      </c>
      <c r="E45">
        <f>IF($D$8="あり", E12, 0)</f>
        <v>180</v>
      </c>
      <c r="F45">
        <f>IF($D$8="あり", F12, 0)</f>
        <v>0</v>
      </c>
      <c r="G45">
        <f>IF($D$8="あり", G12, 0)</f>
        <v>500</v>
      </c>
      <c r="K45">
        <f ca="1">M45+E45</f>
        <v>2780</v>
      </c>
      <c r="L45">
        <f ca="1">K45+G45+SUM($T$5:$T$7)</f>
        <v>4206</v>
      </c>
      <c r="M45">
        <f ca="1">SUM(O12:OFFSET(O12, T4 - 1, 0))</f>
        <v>2600</v>
      </c>
      <c r="N45">
        <f>IF(C45&lt;=0, 0, 1000 *D45 / C45)</f>
        <v>600</v>
      </c>
      <c r="O45">
        <f>N45+F45</f>
        <v>600</v>
      </c>
      <c r="P45">
        <f ca="1">MAX(0, OFFSET(E12, $T$4 - 1, 0) + OFFSET(G12, $T$4 - 1, 0)  + $T$6 - (OFFSET(O12, $T$4 - 1, 0) + E45))</f>
        <v>0</v>
      </c>
      <c r="Q45">
        <f>$T$9*(G45/1000000000)</f>
        <v>8.1919999999999996E-3</v>
      </c>
      <c r="R45">
        <f ca="1">IF((G45-P45) &gt; 0, Q45/((G45-P45)/1000000000), NA())</f>
        <v>16384</v>
      </c>
      <c r="S45" t="b">
        <f ca="1">IF(ISNA(R45), FALSE, IF($T$8&gt;R45,TRUE, FALSE))</f>
        <v>1</v>
      </c>
      <c r="T45" t="b">
        <f ca="1">IF(T4=1, TRUE, IF(K45&gt;= OFFSET(L12, $T$4-2, 0), TRUE, FALSE))</f>
        <v>1</v>
      </c>
    </row>
    <row r="46" spans="2:24" x14ac:dyDescent="0.4">
      <c r="B46">
        <v>33</v>
      </c>
      <c r="C46">
        <f>IF($D$8="あり",IF($T$4=1, C12, C13), 0)</f>
        <v>20</v>
      </c>
      <c r="D46">
        <f t="shared" ref="D46:G46" si="15">IF($D$8="あり",IF($T$4=1, D12, D13), 0)</f>
        <v>10</v>
      </c>
      <c r="E46">
        <f t="shared" si="15"/>
        <v>180</v>
      </c>
      <c r="F46">
        <f t="shared" si="15"/>
        <v>500</v>
      </c>
      <c r="G46">
        <f t="shared" si="15"/>
        <v>400</v>
      </c>
      <c r="K46">
        <f ca="1">M46+E46</f>
        <v>3380</v>
      </c>
      <c r="L46">
        <f ca="1">K46+G46+SUM($T$5:$T$7)</f>
        <v>4706</v>
      </c>
      <c r="M46">
        <f ca="1">SUM(O12:OFFSET(O12, T4 - 1, 0))+SUM(O45:O45)</f>
        <v>3200</v>
      </c>
      <c r="N46">
        <f t="shared" ref="N46" si="16">IF(C46&lt;=0, 0, 1000 *D46 / C46)</f>
        <v>500</v>
      </c>
      <c r="O46">
        <f>N46+F46</f>
        <v>1000</v>
      </c>
      <c r="P46">
        <f>MAX(0, E45+G45+$T$6 - (O45+E46))</f>
        <v>50</v>
      </c>
      <c r="Q46">
        <f>$T$9*(G46/1000000000)</f>
        <v>6.5535999999999997E-3</v>
      </c>
      <c r="R46">
        <f>IF((G46-P46) &gt; 0, Q46/((G46-P46)/1000000000), NA())</f>
        <v>18724.571428571428</v>
      </c>
      <c r="S46" t="b">
        <f>IF(ISNA(R46), FALSE, IF($T$8&gt;R46,TRUE, FALSE))</f>
        <v>1</v>
      </c>
      <c r="T46" t="b">
        <f ca="1">IF(K46 &gt;= OFFSET(L12, $T$4-1, 0), TRUE, FALSE)</f>
        <v>1</v>
      </c>
    </row>
  </sheetData>
  <mergeCells count="1">
    <mergeCell ref="B7:C7"/>
  </mergeCells>
  <phoneticPr fontId="1"/>
  <dataValidations count="2">
    <dataValidation type="list" allowBlank="1" showInputMessage="1" showErrorMessage="1" sqref="D9" xr:uid="{3146FEB2-0EDF-4815-B22B-B98A903BC42D}">
      <formula1>"はい,いいえ"</formula1>
    </dataValidation>
    <dataValidation type="list" allowBlank="1" showInputMessage="1" showErrorMessage="1" sqref="D8" xr:uid="{6345E1F0-10DD-45E8-8091-EDD2E38241D1}">
      <formula1>"あり,なし"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94BF-6A2A-41D7-922B-C741643F0A0A}">
  <dimension ref="B4:X46"/>
  <sheetViews>
    <sheetView tabSelected="1" zoomScale="70" zoomScaleNormal="70" workbookViewId="0">
      <selection activeCell="E4" sqref="E4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0.5" customWidth="1"/>
    <col min="9" max="10" width="17.5" customWidth="1"/>
    <col min="11" max="11" width="22.625" customWidth="1"/>
    <col min="12" max="13" width="24.75" customWidth="1"/>
    <col min="14" max="15" width="20.125" customWidth="1"/>
    <col min="16" max="16" width="21.625" customWidth="1"/>
    <col min="17" max="17" width="20.125" customWidth="1"/>
    <col min="18" max="18" width="31.625" customWidth="1"/>
    <col min="19" max="19" width="23.5" customWidth="1"/>
    <col min="20" max="20" width="28.75" customWidth="1"/>
    <col min="21" max="21" width="23.25" customWidth="1"/>
    <col min="22" max="22" width="1.75" customWidth="1"/>
    <col min="23" max="23" width="30.875" customWidth="1"/>
    <col min="24" max="24" width="36.75" customWidth="1"/>
  </cols>
  <sheetData>
    <row r="4" spans="2:24" x14ac:dyDescent="0.4">
      <c r="S4" s="11" t="s">
        <v>18</v>
      </c>
      <c r="T4" s="12">
        <f>COUNTIF(C12:C43, "&gt;0")</f>
        <v>3</v>
      </c>
      <c r="U4" s="13"/>
    </row>
    <row r="5" spans="2:24" x14ac:dyDescent="0.4">
      <c r="S5" s="14" t="s">
        <v>0</v>
      </c>
      <c r="T5">
        <v>96</v>
      </c>
      <c r="U5" s="15" t="s">
        <v>2</v>
      </c>
    </row>
    <row r="6" spans="2:24" x14ac:dyDescent="0.4">
      <c r="S6" s="14" t="s">
        <v>1</v>
      </c>
      <c r="T6">
        <v>150</v>
      </c>
      <c r="U6" s="15" t="s">
        <v>2</v>
      </c>
    </row>
    <row r="7" spans="2:24" x14ac:dyDescent="0.4">
      <c r="B7" s="45" t="s">
        <v>31</v>
      </c>
      <c r="C7" s="45"/>
      <c r="D7" s="19">
        <v>3932.16</v>
      </c>
      <c r="S7" s="14" t="s">
        <v>16</v>
      </c>
      <c r="T7">
        <v>680</v>
      </c>
      <c r="U7" s="15" t="s">
        <v>2</v>
      </c>
    </row>
    <row r="8" spans="2:24" x14ac:dyDescent="0.4">
      <c r="C8" s="10" t="s">
        <v>7</v>
      </c>
      <c r="D8" s="20" t="s">
        <v>8</v>
      </c>
      <c r="S8" s="14" t="s">
        <v>12</v>
      </c>
      <c r="T8">
        <f>64*300</f>
        <v>19200</v>
      </c>
      <c r="U8" s="15" t="s">
        <v>13</v>
      </c>
    </row>
    <row r="9" spans="2:24" x14ac:dyDescent="0.4">
      <c r="C9" s="10" t="s">
        <v>28</v>
      </c>
      <c r="D9" s="21" t="s">
        <v>26</v>
      </c>
      <c r="N9" s="10"/>
      <c r="O9" s="10"/>
      <c r="P9" s="10"/>
      <c r="Q9" s="10"/>
      <c r="R9" s="10"/>
      <c r="S9" s="16" t="s">
        <v>27</v>
      </c>
      <c r="T9" s="17">
        <f>IF($D$9="はい", 8*$D$7, 4*$D$7)</f>
        <v>15728.64</v>
      </c>
      <c r="U9" s="18" t="s">
        <v>13</v>
      </c>
    </row>
    <row r="11" spans="2:24" x14ac:dyDescent="0.4">
      <c r="B11" s="1" t="s">
        <v>5</v>
      </c>
      <c r="C11" s="1" t="s">
        <v>10</v>
      </c>
      <c r="D11" s="1" t="s">
        <v>6</v>
      </c>
      <c r="E11" s="1" t="s">
        <v>9</v>
      </c>
      <c r="F11" s="1" t="s">
        <v>3</v>
      </c>
      <c r="G11" s="1" t="s">
        <v>4</v>
      </c>
      <c r="H11" s="1"/>
      <c r="I11" s="1" t="s">
        <v>14</v>
      </c>
      <c r="J11" s="1"/>
      <c r="K11" s="1" t="s">
        <v>20</v>
      </c>
      <c r="L11" s="1" t="s">
        <v>21</v>
      </c>
      <c r="M11" s="1" t="s">
        <v>22</v>
      </c>
      <c r="N11" s="1" t="s">
        <v>11</v>
      </c>
      <c r="O11" s="1" t="s">
        <v>19</v>
      </c>
      <c r="P11" s="1" t="s">
        <v>24</v>
      </c>
      <c r="Q11" s="1" t="s">
        <v>25</v>
      </c>
      <c r="R11" s="1" t="s">
        <v>23</v>
      </c>
      <c r="S11" s="1" t="s">
        <v>15</v>
      </c>
      <c r="T11" s="1" t="s">
        <v>17</v>
      </c>
      <c r="U11" s="24" t="s">
        <v>32</v>
      </c>
      <c r="W11" s="1" t="s">
        <v>29</v>
      </c>
      <c r="X11" s="1" t="s">
        <v>30</v>
      </c>
    </row>
    <row r="12" spans="2:24" x14ac:dyDescent="0.4">
      <c r="B12">
        <v>0</v>
      </c>
      <c r="C12" s="2">
        <v>10</v>
      </c>
      <c r="D12" s="3">
        <v>6</v>
      </c>
      <c r="E12" s="3">
        <v>180</v>
      </c>
      <c r="F12" s="3">
        <v>0</v>
      </c>
      <c r="G12" s="4">
        <v>500</v>
      </c>
      <c r="I12" s="22" t="b">
        <f ca="1">AND(W12, X12, U12)</f>
        <v>1</v>
      </c>
      <c r="K12">
        <f>E12</f>
        <v>180</v>
      </c>
      <c r="L12">
        <f>K12+G12+SUM($T$5:$T$7)</f>
        <v>1606</v>
      </c>
      <c r="M12">
        <v>0</v>
      </c>
      <c r="N12">
        <f>IF(C12&lt;=0, 0, 1000 *D12 / C12)</f>
        <v>600</v>
      </c>
      <c r="O12">
        <f t="shared" ref="O12:O20" si="0">N12+F12</f>
        <v>600</v>
      </c>
      <c r="P12">
        <v>0</v>
      </c>
      <c r="Q12">
        <f>$T$9*(G12/1000000000)</f>
        <v>7.8643199999999993E-3</v>
      </c>
      <c r="R12">
        <f>IF((G12-P12) &gt; 0, Q12/((G12-P12)/1000000000), NA())</f>
        <v>15728.64</v>
      </c>
      <c r="S12" t="b">
        <f>IF(ISNA(R12), FALSE, IF($T$8&gt;R12,TRUE, FALSE))</f>
        <v>1</v>
      </c>
      <c r="T12" t="b">
        <f>TRUE</f>
        <v>1</v>
      </c>
      <c r="U12" t="b">
        <f>IF(O12&lt;E12, FALSE, TRUE)</f>
        <v>1</v>
      </c>
      <c r="W12" t="b">
        <f ca="1">AND(IF($D$8="あり", S45, TRUE), S12)</f>
        <v>1</v>
      </c>
      <c r="X12" t="b">
        <f ca="1">AND(IF($D$8="あり", IF($T$4=1,T46,T45), TRUE), T12)</f>
        <v>1</v>
      </c>
    </row>
    <row r="13" spans="2:24" x14ac:dyDescent="0.4">
      <c r="B13">
        <v>1</v>
      </c>
      <c r="C13" s="5">
        <v>20</v>
      </c>
      <c r="D13">
        <v>10</v>
      </c>
      <c r="E13">
        <v>180</v>
      </c>
      <c r="F13">
        <v>500</v>
      </c>
      <c r="G13" s="6">
        <v>400</v>
      </c>
      <c r="I13" s="22" t="b">
        <f t="shared" ref="I13:I42" ca="1" si="1">AND(W13, X13, U13)</f>
        <v>1</v>
      </c>
      <c r="K13">
        <f>M13+E13</f>
        <v>780</v>
      </c>
      <c r="L13">
        <f>K13+G13+SUM($T$5:$T$7)</f>
        <v>2106</v>
      </c>
      <c r="M13">
        <f>O12</f>
        <v>600</v>
      </c>
      <c r="N13">
        <f>IF(C13&lt;=0, 0, 1000 *D13 / C13)</f>
        <v>500</v>
      </c>
      <c r="O13">
        <f t="shared" si="0"/>
        <v>1000</v>
      </c>
      <c r="P13">
        <f t="shared" ref="P13:P20" si="2">MAX(0, E12+G12+$T$6 - (O12+E13))</f>
        <v>50</v>
      </c>
      <c r="Q13">
        <f>$T$9*(G13/1000000000)</f>
        <v>6.2914559999999991E-3</v>
      </c>
      <c r="R13">
        <f>IF((G13-P13) &gt; 0, Q13/((G13-P13)/1000000000), NA())</f>
        <v>17975.588571428569</v>
      </c>
      <c r="S13" t="b">
        <f>IF(ISNA(R13), FALSE, IF($T$8&gt;R13,TRUE, FALSE))</f>
        <v>1</v>
      </c>
      <c r="T13" t="b">
        <f>TRUE</f>
        <v>1</v>
      </c>
      <c r="U13" t="b">
        <f t="shared" ref="U13:U43" si="3">IF(O13&lt;E13, FALSE, TRUE)</f>
        <v>1</v>
      </c>
      <c r="W13" t="b">
        <f>AND(IF($D$8="あり", S46, TRUE), S13)</f>
        <v>1</v>
      </c>
      <c r="X13" t="b">
        <f ca="1">AND(IF($D$8="あり", T46, TRUE), T13)</f>
        <v>1</v>
      </c>
    </row>
    <row r="14" spans="2:24" x14ac:dyDescent="0.4">
      <c r="B14">
        <v>2</v>
      </c>
      <c r="C14" s="5">
        <v>20</v>
      </c>
      <c r="D14">
        <v>20</v>
      </c>
      <c r="E14">
        <v>180</v>
      </c>
      <c r="F14">
        <v>0</v>
      </c>
      <c r="G14" s="6">
        <v>400</v>
      </c>
      <c r="I14" s="22" t="b">
        <f t="shared" si="1"/>
        <v>1</v>
      </c>
      <c r="K14">
        <f>M14+E14</f>
        <v>1780</v>
      </c>
      <c r="L14">
        <f t="shared" ref="L14:L43" si="4">K14+G14+SUM($T$5:$T$7)</f>
        <v>3106</v>
      </c>
      <c r="M14">
        <f>SUM(O12:O13)</f>
        <v>1600</v>
      </c>
      <c r="N14">
        <f>IF(C14&lt;=0, 0, 1000 *D14 / C14)</f>
        <v>1000</v>
      </c>
      <c r="O14">
        <f t="shared" si="0"/>
        <v>1000</v>
      </c>
      <c r="P14">
        <f t="shared" si="2"/>
        <v>0</v>
      </c>
      <c r="Q14">
        <f>$T$9*(G14/1000000000)</f>
        <v>6.2914559999999991E-3</v>
      </c>
      <c r="R14">
        <f>IF((G14-P14) &gt; 0, Q14/((G14-P14)/1000000000), NA())</f>
        <v>15728.639999999998</v>
      </c>
      <c r="S14" t="b">
        <f>IF(ISNA(R14), FALSE, IF($T$8&gt;R14,TRUE, FALSE))</f>
        <v>1</v>
      </c>
      <c r="T14" t="b">
        <f t="shared" ref="T14:T43" si="5">IF(K14&gt;=L12, TRUE, FALSE)</f>
        <v>1</v>
      </c>
      <c r="U14" t="b">
        <f t="shared" si="3"/>
        <v>1</v>
      </c>
      <c r="W14" t="b">
        <f>S14</f>
        <v>1</v>
      </c>
      <c r="X14" t="b">
        <f>T14</f>
        <v>1</v>
      </c>
    </row>
    <row r="15" spans="2:24" x14ac:dyDescent="0.4">
      <c r="B15">
        <v>3</v>
      </c>
      <c r="C15" s="5"/>
      <c r="G15" s="6"/>
      <c r="I15" s="22" t="b">
        <f t="shared" si="1"/>
        <v>0</v>
      </c>
      <c r="K15">
        <f>M15+E15</f>
        <v>2600</v>
      </c>
      <c r="L15">
        <f t="shared" si="4"/>
        <v>3526</v>
      </c>
      <c r="M15">
        <f>SUM(O12:O14)</f>
        <v>2600</v>
      </c>
      <c r="N15">
        <f>IF(C15&lt;=0, 0, 1000 *D15 / C15)</f>
        <v>0</v>
      </c>
      <c r="O15">
        <f t="shared" si="0"/>
        <v>0</v>
      </c>
      <c r="P15">
        <f t="shared" si="2"/>
        <v>0</v>
      </c>
      <c r="Q15">
        <f>$T$9*(G15/1000000000)</f>
        <v>0</v>
      </c>
      <c r="R15" t="e">
        <f t="shared" ref="R15:R43" si="6">IF((G15-P15) &gt; 0, Q15/((G15-P15)/1000000000), NA())</f>
        <v>#N/A</v>
      </c>
      <c r="S15" t="b">
        <f>IF(ISNA(R15), FALSE, IF($T$8&gt;R15,TRUE, FALSE))</f>
        <v>0</v>
      </c>
      <c r="T15" t="b">
        <f t="shared" si="5"/>
        <v>1</v>
      </c>
      <c r="U15" t="b">
        <f t="shared" si="3"/>
        <v>1</v>
      </c>
      <c r="W15" t="b">
        <f>S15</f>
        <v>0</v>
      </c>
      <c r="X15" t="b">
        <f t="shared" ref="X15:X43" si="7">T15</f>
        <v>1</v>
      </c>
    </row>
    <row r="16" spans="2:24" x14ac:dyDescent="0.4">
      <c r="B16">
        <v>4</v>
      </c>
      <c r="C16" s="5"/>
      <c r="G16" s="6"/>
      <c r="I16" s="22" t="b">
        <f t="shared" si="1"/>
        <v>0</v>
      </c>
      <c r="K16">
        <f>M16+E16</f>
        <v>2600</v>
      </c>
      <c r="L16">
        <f>K16+G16+SUM($T$5:$T$7)</f>
        <v>3526</v>
      </c>
      <c r="M16">
        <f>SUM(O12:O15)</f>
        <v>2600</v>
      </c>
      <c r="N16">
        <f>IF(C16&lt;=0, 0, 1000 *D16 / C16)</f>
        <v>0</v>
      </c>
      <c r="O16">
        <f t="shared" si="0"/>
        <v>0</v>
      </c>
      <c r="P16">
        <f t="shared" si="2"/>
        <v>150</v>
      </c>
      <c r="Q16">
        <f t="shared" ref="Q16:Q43" si="8">$T$9*(G16/1000000000)</f>
        <v>0</v>
      </c>
      <c r="R16" t="e">
        <f t="shared" si="6"/>
        <v>#N/A</v>
      </c>
      <c r="S16" t="b">
        <f>IF(ISNA(R16), FALSE, IF($T$8&gt;R16,TRUE, FALSE))</f>
        <v>0</v>
      </c>
      <c r="T16" t="b">
        <f t="shared" si="5"/>
        <v>0</v>
      </c>
      <c r="U16" t="b">
        <f t="shared" si="3"/>
        <v>1</v>
      </c>
      <c r="W16" t="b">
        <f t="shared" ref="W16:W42" si="9">S16</f>
        <v>0</v>
      </c>
      <c r="X16" t="b">
        <f t="shared" si="7"/>
        <v>0</v>
      </c>
    </row>
    <row r="17" spans="2:24" x14ac:dyDescent="0.4">
      <c r="B17">
        <v>5</v>
      </c>
      <c r="C17" s="5"/>
      <c r="G17" s="6"/>
      <c r="I17" s="22" t="b">
        <f t="shared" si="1"/>
        <v>0</v>
      </c>
      <c r="K17">
        <f>M17+E17</f>
        <v>2600</v>
      </c>
      <c r="L17">
        <f t="shared" si="4"/>
        <v>3526</v>
      </c>
      <c r="M17">
        <f>SUM(O12:O16)</f>
        <v>2600</v>
      </c>
      <c r="N17">
        <f t="shared" ref="N17:N43" si="10">IF(C17&lt;=0, 0, 1000 *D17 / C17)</f>
        <v>0</v>
      </c>
      <c r="O17">
        <f t="shared" si="0"/>
        <v>0</v>
      </c>
      <c r="P17">
        <f t="shared" si="2"/>
        <v>150</v>
      </c>
      <c r="Q17">
        <f t="shared" si="8"/>
        <v>0</v>
      </c>
      <c r="R17" t="e">
        <f t="shared" si="6"/>
        <v>#N/A</v>
      </c>
      <c r="S17" t="b">
        <f t="shared" ref="S17:S43" si="11">IF(ISNA(R17), FALSE, IF($T$8&gt;R17,TRUE, FALSE))</f>
        <v>0</v>
      </c>
      <c r="T17" t="b">
        <f t="shared" si="5"/>
        <v>0</v>
      </c>
      <c r="U17" t="b">
        <f t="shared" si="3"/>
        <v>1</v>
      </c>
      <c r="W17" t="b">
        <f t="shared" si="9"/>
        <v>0</v>
      </c>
      <c r="X17" t="b">
        <f t="shared" si="7"/>
        <v>0</v>
      </c>
    </row>
    <row r="18" spans="2:24" x14ac:dyDescent="0.4">
      <c r="B18">
        <v>6</v>
      </c>
      <c r="C18" s="5"/>
      <c r="G18" s="6"/>
      <c r="I18" s="22" t="b">
        <f t="shared" si="1"/>
        <v>0</v>
      </c>
      <c r="K18">
        <f t="shared" ref="K18:K43" si="12">M18+E18</f>
        <v>2600</v>
      </c>
      <c r="L18">
        <f t="shared" si="4"/>
        <v>3526</v>
      </c>
      <c r="M18">
        <f>SUM(O12:O17)</f>
        <v>2600</v>
      </c>
      <c r="N18">
        <f t="shared" si="10"/>
        <v>0</v>
      </c>
      <c r="O18">
        <f t="shared" si="0"/>
        <v>0</v>
      </c>
      <c r="P18">
        <f t="shared" si="2"/>
        <v>150</v>
      </c>
      <c r="Q18">
        <f t="shared" si="8"/>
        <v>0</v>
      </c>
      <c r="R18" t="e">
        <f t="shared" si="6"/>
        <v>#N/A</v>
      </c>
      <c r="S18" t="b">
        <f t="shared" si="11"/>
        <v>0</v>
      </c>
      <c r="T18" t="b">
        <f t="shared" si="5"/>
        <v>0</v>
      </c>
      <c r="U18" t="b">
        <f t="shared" si="3"/>
        <v>1</v>
      </c>
      <c r="W18" t="b">
        <f t="shared" si="9"/>
        <v>0</v>
      </c>
      <c r="X18" t="b">
        <f t="shared" si="7"/>
        <v>0</v>
      </c>
    </row>
    <row r="19" spans="2:24" x14ac:dyDescent="0.4">
      <c r="B19">
        <v>7</v>
      </c>
      <c r="C19" s="5"/>
      <c r="G19" s="6"/>
      <c r="I19" s="22" t="b">
        <f t="shared" si="1"/>
        <v>0</v>
      </c>
      <c r="K19">
        <f t="shared" si="12"/>
        <v>2600</v>
      </c>
      <c r="L19">
        <f t="shared" si="4"/>
        <v>3526</v>
      </c>
      <c r="M19">
        <f>SUM(O12:O18)</f>
        <v>2600</v>
      </c>
      <c r="N19">
        <f t="shared" si="10"/>
        <v>0</v>
      </c>
      <c r="O19">
        <f t="shared" si="0"/>
        <v>0</v>
      </c>
      <c r="P19">
        <f t="shared" si="2"/>
        <v>150</v>
      </c>
      <c r="Q19">
        <f t="shared" si="8"/>
        <v>0</v>
      </c>
      <c r="R19" t="e">
        <f t="shared" si="6"/>
        <v>#N/A</v>
      </c>
      <c r="S19" t="b">
        <f t="shared" si="11"/>
        <v>0</v>
      </c>
      <c r="T19" t="b">
        <f t="shared" si="5"/>
        <v>0</v>
      </c>
      <c r="U19" t="b">
        <f t="shared" si="3"/>
        <v>1</v>
      </c>
      <c r="W19" t="b">
        <f t="shared" si="9"/>
        <v>0</v>
      </c>
      <c r="X19" t="b">
        <f t="shared" si="7"/>
        <v>0</v>
      </c>
    </row>
    <row r="20" spans="2:24" x14ac:dyDescent="0.4">
      <c r="B20">
        <v>8</v>
      </c>
      <c r="C20" s="5"/>
      <c r="G20" s="6"/>
      <c r="I20" s="22" t="b">
        <f t="shared" si="1"/>
        <v>0</v>
      </c>
      <c r="K20">
        <f t="shared" si="12"/>
        <v>2600</v>
      </c>
      <c r="L20">
        <f t="shared" si="4"/>
        <v>3526</v>
      </c>
      <c r="M20">
        <f>SUM(O12:O19)</f>
        <v>2600</v>
      </c>
      <c r="N20">
        <f t="shared" si="10"/>
        <v>0</v>
      </c>
      <c r="O20">
        <f t="shared" si="0"/>
        <v>0</v>
      </c>
      <c r="P20">
        <f t="shared" si="2"/>
        <v>150</v>
      </c>
      <c r="Q20">
        <f t="shared" si="8"/>
        <v>0</v>
      </c>
      <c r="R20" t="e">
        <f t="shared" si="6"/>
        <v>#N/A</v>
      </c>
      <c r="S20" t="b">
        <f t="shared" si="11"/>
        <v>0</v>
      </c>
      <c r="T20" t="b">
        <f t="shared" si="5"/>
        <v>0</v>
      </c>
      <c r="U20" t="b">
        <f t="shared" si="3"/>
        <v>1</v>
      </c>
      <c r="W20" t="b">
        <f t="shared" si="9"/>
        <v>0</v>
      </c>
      <c r="X20" t="b">
        <f t="shared" si="7"/>
        <v>0</v>
      </c>
    </row>
    <row r="21" spans="2:24" x14ac:dyDescent="0.4">
      <c r="B21">
        <v>9</v>
      </c>
      <c r="C21" s="5"/>
      <c r="G21" s="6"/>
      <c r="I21" s="22" t="b">
        <f t="shared" si="1"/>
        <v>0</v>
      </c>
      <c r="K21">
        <f t="shared" si="12"/>
        <v>2600</v>
      </c>
      <c r="L21">
        <f t="shared" si="4"/>
        <v>3526</v>
      </c>
      <c r="M21">
        <f>SUM(O12:O20)</f>
        <v>2600</v>
      </c>
      <c r="N21">
        <f t="shared" si="10"/>
        <v>0</v>
      </c>
      <c r="O21">
        <f t="shared" ref="O21:O43" si="13">N21+F21</f>
        <v>0</v>
      </c>
      <c r="P21">
        <f t="shared" ref="P21:P43" si="14">MAX(0, E20+G20+$T$6 - (O20+E21))</f>
        <v>150</v>
      </c>
      <c r="Q21">
        <f t="shared" si="8"/>
        <v>0</v>
      </c>
      <c r="R21" t="e">
        <f t="shared" si="6"/>
        <v>#N/A</v>
      </c>
      <c r="S21" t="b">
        <f t="shared" si="11"/>
        <v>0</v>
      </c>
      <c r="T21" t="b">
        <f t="shared" si="5"/>
        <v>0</v>
      </c>
      <c r="U21" t="b">
        <f t="shared" si="3"/>
        <v>1</v>
      </c>
      <c r="W21" t="b">
        <f t="shared" si="9"/>
        <v>0</v>
      </c>
      <c r="X21" t="b">
        <f t="shared" si="7"/>
        <v>0</v>
      </c>
    </row>
    <row r="22" spans="2:24" x14ac:dyDescent="0.4">
      <c r="B22">
        <v>10</v>
      </c>
      <c r="C22" s="5"/>
      <c r="G22" s="6"/>
      <c r="I22" s="22" t="b">
        <f t="shared" si="1"/>
        <v>0</v>
      </c>
      <c r="K22">
        <f t="shared" si="12"/>
        <v>2600</v>
      </c>
      <c r="L22">
        <f t="shared" si="4"/>
        <v>3526</v>
      </c>
      <c r="M22">
        <f>SUM(O12:O21)</f>
        <v>2600</v>
      </c>
      <c r="N22">
        <f t="shared" si="10"/>
        <v>0</v>
      </c>
      <c r="O22">
        <f t="shared" si="13"/>
        <v>0</v>
      </c>
      <c r="P22">
        <f t="shared" si="14"/>
        <v>150</v>
      </c>
      <c r="Q22">
        <f t="shared" si="8"/>
        <v>0</v>
      </c>
      <c r="R22" t="e">
        <f t="shared" si="6"/>
        <v>#N/A</v>
      </c>
      <c r="S22" t="b">
        <f t="shared" si="11"/>
        <v>0</v>
      </c>
      <c r="T22" t="b">
        <f t="shared" si="5"/>
        <v>0</v>
      </c>
      <c r="U22" t="b">
        <f t="shared" si="3"/>
        <v>1</v>
      </c>
      <c r="W22" t="b">
        <f t="shared" si="9"/>
        <v>0</v>
      </c>
      <c r="X22" t="b">
        <f t="shared" si="7"/>
        <v>0</v>
      </c>
    </row>
    <row r="23" spans="2:24" x14ac:dyDescent="0.4">
      <c r="B23">
        <v>11</v>
      </c>
      <c r="C23" s="5"/>
      <c r="G23" s="6"/>
      <c r="I23" s="22" t="b">
        <f t="shared" si="1"/>
        <v>0</v>
      </c>
      <c r="K23">
        <f t="shared" si="12"/>
        <v>2600</v>
      </c>
      <c r="L23">
        <f t="shared" si="4"/>
        <v>3526</v>
      </c>
      <c r="M23">
        <f>SUM(O12:O22)</f>
        <v>2600</v>
      </c>
      <c r="N23">
        <f t="shared" si="10"/>
        <v>0</v>
      </c>
      <c r="O23">
        <f t="shared" si="13"/>
        <v>0</v>
      </c>
      <c r="P23">
        <f t="shared" si="14"/>
        <v>150</v>
      </c>
      <c r="Q23">
        <f t="shared" si="8"/>
        <v>0</v>
      </c>
      <c r="R23" t="e">
        <f t="shared" si="6"/>
        <v>#N/A</v>
      </c>
      <c r="S23" t="b">
        <f t="shared" si="11"/>
        <v>0</v>
      </c>
      <c r="T23" t="b">
        <f t="shared" si="5"/>
        <v>0</v>
      </c>
      <c r="U23" t="b">
        <f t="shared" si="3"/>
        <v>1</v>
      </c>
      <c r="W23" t="b">
        <f t="shared" si="9"/>
        <v>0</v>
      </c>
      <c r="X23" t="b">
        <f t="shared" si="7"/>
        <v>0</v>
      </c>
    </row>
    <row r="24" spans="2:24" x14ac:dyDescent="0.4">
      <c r="B24">
        <v>12</v>
      </c>
      <c r="C24" s="5"/>
      <c r="G24" s="6"/>
      <c r="I24" s="22" t="b">
        <f t="shared" si="1"/>
        <v>0</v>
      </c>
      <c r="K24">
        <f t="shared" si="12"/>
        <v>2600</v>
      </c>
      <c r="L24">
        <f t="shared" si="4"/>
        <v>3526</v>
      </c>
      <c r="M24">
        <f>SUM(O12:O23)</f>
        <v>2600</v>
      </c>
      <c r="N24">
        <f t="shared" si="10"/>
        <v>0</v>
      </c>
      <c r="O24">
        <f t="shared" si="13"/>
        <v>0</v>
      </c>
      <c r="P24">
        <f t="shared" si="14"/>
        <v>150</v>
      </c>
      <c r="Q24">
        <f t="shared" si="8"/>
        <v>0</v>
      </c>
      <c r="R24" t="e">
        <f t="shared" si="6"/>
        <v>#N/A</v>
      </c>
      <c r="S24" t="b">
        <f t="shared" si="11"/>
        <v>0</v>
      </c>
      <c r="T24" t="b">
        <f t="shared" si="5"/>
        <v>0</v>
      </c>
      <c r="U24" t="b">
        <f t="shared" si="3"/>
        <v>1</v>
      </c>
      <c r="W24" t="b">
        <f t="shared" si="9"/>
        <v>0</v>
      </c>
      <c r="X24" t="b">
        <f t="shared" si="7"/>
        <v>0</v>
      </c>
    </row>
    <row r="25" spans="2:24" x14ac:dyDescent="0.4">
      <c r="B25">
        <v>13</v>
      </c>
      <c r="C25" s="5"/>
      <c r="G25" s="6"/>
      <c r="I25" s="22" t="b">
        <f t="shared" si="1"/>
        <v>0</v>
      </c>
      <c r="K25">
        <f t="shared" si="12"/>
        <v>2600</v>
      </c>
      <c r="L25">
        <f t="shared" si="4"/>
        <v>3526</v>
      </c>
      <c r="M25">
        <f>SUM(O12:O24)</f>
        <v>2600</v>
      </c>
      <c r="N25">
        <f t="shared" si="10"/>
        <v>0</v>
      </c>
      <c r="O25">
        <f t="shared" si="13"/>
        <v>0</v>
      </c>
      <c r="P25">
        <f t="shared" si="14"/>
        <v>150</v>
      </c>
      <c r="Q25">
        <f t="shared" si="8"/>
        <v>0</v>
      </c>
      <c r="R25" t="e">
        <f t="shared" si="6"/>
        <v>#N/A</v>
      </c>
      <c r="S25" t="b">
        <f t="shared" si="11"/>
        <v>0</v>
      </c>
      <c r="T25" t="b">
        <f t="shared" si="5"/>
        <v>0</v>
      </c>
      <c r="U25" t="b">
        <f t="shared" si="3"/>
        <v>1</v>
      </c>
      <c r="W25" t="b">
        <f t="shared" si="9"/>
        <v>0</v>
      </c>
      <c r="X25" t="b">
        <f t="shared" si="7"/>
        <v>0</v>
      </c>
    </row>
    <row r="26" spans="2:24" x14ac:dyDescent="0.4">
      <c r="B26">
        <v>14</v>
      </c>
      <c r="C26" s="5"/>
      <c r="G26" s="6"/>
      <c r="I26" s="22" t="b">
        <f t="shared" si="1"/>
        <v>0</v>
      </c>
      <c r="K26">
        <f t="shared" si="12"/>
        <v>2600</v>
      </c>
      <c r="L26">
        <f t="shared" si="4"/>
        <v>3526</v>
      </c>
      <c r="M26">
        <f>SUM(O12:O25)</f>
        <v>2600</v>
      </c>
      <c r="N26">
        <f t="shared" si="10"/>
        <v>0</v>
      </c>
      <c r="O26">
        <f t="shared" si="13"/>
        <v>0</v>
      </c>
      <c r="P26">
        <f t="shared" si="14"/>
        <v>150</v>
      </c>
      <c r="Q26">
        <f t="shared" si="8"/>
        <v>0</v>
      </c>
      <c r="R26" t="e">
        <f t="shared" si="6"/>
        <v>#N/A</v>
      </c>
      <c r="S26" t="b">
        <f t="shared" si="11"/>
        <v>0</v>
      </c>
      <c r="T26" t="b">
        <f t="shared" si="5"/>
        <v>0</v>
      </c>
      <c r="U26" t="b">
        <f t="shared" si="3"/>
        <v>1</v>
      </c>
      <c r="W26" t="b">
        <f t="shared" si="9"/>
        <v>0</v>
      </c>
      <c r="X26" t="b">
        <f t="shared" si="7"/>
        <v>0</v>
      </c>
    </row>
    <row r="27" spans="2:24" x14ac:dyDescent="0.4">
      <c r="B27">
        <v>15</v>
      </c>
      <c r="C27" s="5"/>
      <c r="G27" s="6"/>
      <c r="I27" s="22" t="b">
        <f t="shared" si="1"/>
        <v>0</v>
      </c>
      <c r="K27">
        <f t="shared" si="12"/>
        <v>2600</v>
      </c>
      <c r="L27">
        <f t="shared" si="4"/>
        <v>3526</v>
      </c>
      <c r="M27">
        <f>SUM(O12:O26)</f>
        <v>2600</v>
      </c>
      <c r="N27">
        <f t="shared" si="10"/>
        <v>0</v>
      </c>
      <c r="O27">
        <f t="shared" si="13"/>
        <v>0</v>
      </c>
      <c r="P27">
        <f t="shared" si="14"/>
        <v>150</v>
      </c>
      <c r="Q27">
        <f t="shared" si="8"/>
        <v>0</v>
      </c>
      <c r="R27" t="e">
        <f t="shared" si="6"/>
        <v>#N/A</v>
      </c>
      <c r="S27" t="b">
        <f t="shared" si="11"/>
        <v>0</v>
      </c>
      <c r="T27" t="b">
        <f t="shared" si="5"/>
        <v>0</v>
      </c>
      <c r="U27" t="b">
        <f t="shared" si="3"/>
        <v>1</v>
      </c>
      <c r="W27" t="b">
        <f t="shared" si="9"/>
        <v>0</v>
      </c>
      <c r="X27" t="b">
        <f t="shared" si="7"/>
        <v>0</v>
      </c>
    </row>
    <row r="28" spans="2:24" x14ac:dyDescent="0.4">
      <c r="B28">
        <v>16</v>
      </c>
      <c r="C28" s="5"/>
      <c r="G28" s="6"/>
      <c r="I28" s="22" t="b">
        <f t="shared" si="1"/>
        <v>0</v>
      </c>
      <c r="K28">
        <f t="shared" si="12"/>
        <v>2600</v>
      </c>
      <c r="L28">
        <f t="shared" si="4"/>
        <v>3526</v>
      </c>
      <c r="M28">
        <f>SUM(O12:O27)</f>
        <v>2600</v>
      </c>
      <c r="N28">
        <f t="shared" si="10"/>
        <v>0</v>
      </c>
      <c r="O28">
        <f t="shared" si="13"/>
        <v>0</v>
      </c>
      <c r="P28">
        <f t="shared" si="14"/>
        <v>150</v>
      </c>
      <c r="Q28">
        <f t="shared" si="8"/>
        <v>0</v>
      </c>
      <c r="R28" t="e">
        <f t="shared" si="6"/>
        <v>#N/A</v>
      </c>
      <c r="S28" t="b">
        <f t="shared" si="11"/>
        <v>0</v>
      </c>
      <c r="T28" t="b">
        <f t="shared" si="5"/>
        <v>0</v>
      </c>
      <c r="U28" t="b">
        <f t="shared" si="3"/>
        <v>1</v>
      </c>
      <c r="W28" t="b">
        <f t="shared" si="9"/>
        <v>0</v>
      </c>
      <c r="X28" t="b">
        <f t="shared" si="7"/>
        <v>0</v>
      </c>
    </row>
    <row r="29" spans="2:24" x14ac:dyDescent="0.4">
      <c r="B29">
        <v>17</v>
      </c>
      <c r="C29" s="5"/>
      <c r="G29" s="6"/>
      <c r="I29" s="22" t="b">
        <f t="shared" si="1"/>
        <v>0</v>
      </c>
      <c r="K29">
        <f t="shared" si="12"/>
        <v>2600</v>
      </c>
      <c r="L29">
        <f t="shared" si="4"/>
        <v>3526</v>
      </c>
      <c r="M29">
        <f>SUM(O12:O28)</f>
        <v>2600</v>
      </c>
      <c r="N29">
        <f t="shared" si="10"/>
        <v>0</v>
      </c>
      <c r="O29">
        <f t="shared" si="13"/>
        <v>0</v>
      </c>
      <c r="P29">
        <f t="shared" si="14"/>
        <v>150</v>
      </c>
      <c r="Q29">
        <f t="shared" si="8"/>
        <v>0</v>
      </c>
      <c r="R29" t="e">
        <f t="shared" si="6"/>
        <v>#N/A</v>
      </c>
      <c r="S29" t="b">
        <f t="shared" si="11"/>
        <v>0</v>
      </c>
      <c r="T29" t="b">
        <f t="shared" si="5"/>
        <v>0</v>
      </c>
      <c r="U29" t="b">
        <f t="shared" si="3"/>
        <v>1</v>
      </c>
      <c r="W29" t="b">
        <f t="shared" si="9"/>
        <v>0</v>
      </c>
      <c r="X29" t="b">
        <f t="shared" si="7"/>
        <v>0</v>
      </c>
    </row>
    <row r="30" spans="2:24" x14ac:dyDescent="0.4">
      <c r="B30">
        <v>18</v>
      </c>
      <c r="C30" s="5"/>
      <c r="G30" s="6"/>
      <c r="I30" s="22" t="b">
        <f t="shared" si="1"/>
        <v>0</v>
      </c>
      <c r="K30">
        <f t="shared" si="12"/>
        <v>2600</v>
      </c>
      <c r="L30">
        <f t="shared" si="4"/>
        <v>3526</v>
      </c>
      <c r="M30">
        <f>SUM(O12:O29)</f>
        <v>2600</v>
      </c>
      <c r="N30">
        <f t="shared" si="10"/>
        <v>0</v>
      </c>
      <c r="O30">
        <f t="shared" si="13"/>
        <v>0</v>
      </c>
      <c r="P30">
        <f t="shared" si="14"/>
        <v>150</v>
      </c>
      <c r="Q30">
        <f t="shared" si="8"/>
        <v>0</v>
      </c>
      <c r="R30" t="e">
        <f t="shared" si="6"/>
        <v>#N/A</v>
      </c>
      <c r="S30" t="b">
        <f t="shared" si="11"/>
        <v>0</v>
      </c>
      <c r="T30" t="b">
        <f t="shared" si="5"/>
        <v>0</v>
      </c>
      <c r="U30" t="b">
        <f t="shared" si="3"/>
        <v>1</v>
      </c>
      <c r="W30" t="b">
        <f t="shared" si="9"/>
        <v>0</v>
      </c>
      <c r="X30" t="b">
        <f t="shared" si="7"/>
        <v>0</v>
      </c>
    </row>
    <row r="31" spans="2:24" x14ac:dyDescent="0.4">
      <c r="B31">
        <v>19</v>
      </c>
      <c r="C31" s="5"/>
      <c r="G31" s="6"/>
      <c r="I31" s="22" t="b">
        <f t="shared" si="1"/>
        <v>0</v>
      </c>
      <c r="K31">
        <f t="shared" si="12"/>
        <v>2600</v>
      </c>
      <c r="L31">
        <f t="shared" si="4"/>
        <v>3526</v>
      </c>
      <c r="M31">
        <f>SUM(O12:O30)</f>
        <v>2600</v>
      </c>
      <c r="N31">
        <f t="shared" si="10"/>
        <v>0</v>
      </c>
      <c r="O31">
        <f t="shared" si="13"/>
        <v>0</v>
      </c>
      <c r="P31">
        <f t="shared" si="14"/>
        <v>150</v>
      </c>
      <c r="Q31">
        <f t="shared" si="8"/>
        <v>0</v>
      </c>
      <c r="R31" t="e">
        <f t="shared" si="6"/>
        <v>#N/A</v>
      </c>
      <c r="S31" t="b">
        <f t="shared" si="11"/>
        <v>0</v>
      </c>
      <c r="T31" t="b">
        <f t="shared" si="5"/>
        <v>0</v>
      </c>
      <c r="U31" t="b">
        <f t="shared" si="3"/>
        <v>1</v>
      </c>
      <c r="W31" t="b">
        <f t="shared" si="9"/>
        <v>0</v>
      </c>
      <c r="X31" t="b">
        <f t="shared" si="7"/>
        <v>0</v>
      </c>
    </row>
    <row r="32" spans="2:24" x14ac:dyDescent="0.4">
      <c r="B32">
        <v>20</v>
      </c>
      <c r="C32" s="5"/>
      <c r="G32" s="6"/>
      <c r="I32" s="22" t="b">
        <f t="shared" si="1"/>
        <v>0</v>
      </c>
      <c r="K32">
        <f t="shared" si="12"/>
        <v>2600</v>
      </c>
      <c r="L32">
        <f t="shared" si="4"/>
        <v>3526</v>
      </c>
      <c r="M32">
        <f>SUM(O12:O31)</f>
        <v>2600</v>
      </c>
      <c r="N32">
        <f t="shared" si="10"/>
        <v>0</v>
      </c>
      <c r="O32">
        <f t="shared" si="13"/>
        <v>0</v>
      </c>
      <c r="P32">
        <f t="shared" si="14"/>
        <v>150</v>
      </c>
      <c r="Q32">
        <f t="shared" si="8"/>
        <v>0</v>
      </c>
      <c r="R32" t="e">
        <f t="shared" si="6"/>
        <v>#N/A</v>
      </c>
      <c r="S32" t="b">
        <f t="shared" si="11"/>
        <v>0</v>
      </c>
      <c r="T32" t="b">
        <f t="shared" si="5"/>
        <v>0</v>
      </c>
      <c r="U32" t="b">
        <f t="shared" si="3"/>
        <v>1</v>
      </c>
      <c r="W32" t="b">
        <f t="shared" si="9"/>
        <v>0</v>
      </c>
      <c r="X32" t="b">
        <f t="shared" si="7"/>
        <v>0</v>
      </c>
    </row>
    <row r="33" spans="2:24" x14ac:dyDescent="0.4">
      <c r="B33">
        <v>21</v>
      </c>
      <c r="C33" s="5"/>
      <c r="G33" s="6"/>
      <c r="I33" s="22" t="b">
        <f t="shared" si="1"/>
        <v>0</v>
      </c>
      <c r="K33">
        <f t="shared" si="12"/>
        <v>2600</v>
      </c>
      <c r="L33">
        <f t="shared" si="4"/>
        <v>3526</v>
      </c>
      <c r="M33">
        <f>SUM(O12:O32)</f>
        <v>2600</v>
      </c>
      <c r="N33">
        <f t="shared" si="10"/>
        <v>0</v>
      </c>
      <c r="O33">
        <f t="shared" si="13"/>
        <v>0</v>
      </c>
      <c r="P33">
        <f t="shared" si="14"/>
        <v>150</v>
      </c>
      <c r="Q33">
        <f t="shared" si="8"/>
        <v>0</v>
      </c>
      <c r="R33" t="e">
        <f t="shared" si="6"/>
        <v>#N/A</v>
      </c>
      <c r="S33" t="b">
        <f t="shared" si="11"/>
        <v>0</v>
      </c>
      <c r="T33" t="b">
        <f t="shared" si="5"/>
        <v>0</v>
      </c>
      <c r="U33" t="b">
        <f t="shared" si="3"/>
        <v>1</v>
      </c>
      <c r="W33" t="b">
        <f t="shared" si="9"/>
        <v>0</v>
      </c>
      <c r="X33" t="b">
        <f t="shared" si="7"/>
        <v>0</v>
      </c>
    </row>
    <row r="34" spans="2:24" x14ac:dyDescent="0.4">
      <c r="B34">
        <v>22</v>
      </c>
      <c r="C34" s="5"/>
      <c r="G34" s="6"/>
      <c r="I34" s="22" t="b">
        <f t="shared" si="1"/>
        <v>0</v>
      </c>
      <c r="K34">
        <f t="shared" si="12"/>
        <v>2600</v>
      </c>
      <c r="L34">
        <f t="shared" si="4"/>
        <v>3526</v>
      </c>
      <c r="M34">
        <f>SUM(O12:O33)</f>
        <v>2600</v>
      </c>
      <c r="N34">
        <f t="shared" si="10"/>
        <v>0</v>
      </c>
      <c r="O34">
        <f t="shared" si="13"/>
        <v>0</v>
      </c>
      <c r="P34">
        <f t="shared" si="14"/>
        <v>150</v>
      </c>
      <c r="Q34">
        <f t="shared" si="8"/>
        <v>0</v>
      </c>
      <c r="R34" t="e">
        <f t="shared" si="6"/>
        <v>#N/A</v>
      </c>
      <c r="S34" t="b">
        <f t="shared" si="11"/>
        <v>0</v>
      </c>
      <c r="T34" t="b">
        <f t="shared" si="5"/>
        <v>0</v>
      </c>
      <c r="U34" t="b">
        <f t="shared" si="3"/>
        <v>1</v>
      </c>
      <c r="W34" t="b">
        <f t="shared" si="9"/>
        <v>0</v>
      </c>
      <c r="X34" t="b">
        <f t="shared" si="7"/>
        <v>0</v>
      </c>
    </row>
    <row r="35" spans="2:24" x14ac:dyDescent="0.4">
      <c r="B35">
        <v>23</v>
      </c>
      <c r="C35" s="5"/>
      <c r="G35" s="6"/>
      <c r="I35" s="22" t="b">
        <f t="shared" si="1"/>
        <v>0</v>
      </c>
      <c r="K35">
        <f t="shared" si="12"/>
        <v>2600</v>
      </c>
      <c r="L35">
        <f t="shared" si="4"/>
        <v>3526</v>
      </c>
      <c r="M35">
        <f>SUM(O12:O34)</f>
        <v>2600</v>
      </c>
      <c r="N35">
        <f t="shared" si="10"/>
        <v>0</v>
      </c>
      <c r="O35">
        <f t="shared" si="13"/>
        <v>0</v>
      </c>
      <c r="P35">
        <f t="shared" si="14"/>
        <v>150</v>
      </c>
      <c r="Q35">
        <f t="shared" si="8"/>
        <v>0</v>
      </c>
      <c r="R35" t="e">
        <f t="shared" si="6"/>
        <v>#N/A</v>
      </c>
      <c r="S35" t="b">
        <f t="shared" si="11"/>
        <v>0</v>
      </c>
      <c r="T35" t="b">
        <f t="shared" si="5"/>
        <v>0</v>
      </c>
      <c r="U35" t="b">
        <f t="shared" si="3"/>
        <v>1</v>
      </c>
      <c r="W35" t="b">
        <f t="shared" si="9"/>
        <v>0</v>
      </c>
      <c r="X35" t="b">
        <f t="shared" si="7"/>
        <v>0</v>
      </c>
    </row>
    <row r="36" spans="2:24" x14ac:dyDescent="0.4">
      <c r="B36">
        <v>24</v>
      </c>
      <c r="C36" s="5"/>
      <c r="G36" s="6"/>
      <c r="I36" s="22" t="b">
        <f t="shared" si="1"/>
        <v>0</v>
      </c>
      <c r="K36">
        <f t="shared" si="12"/>
        <v>2600</v>
      </c>
      <c r="L36">
        <f t="shared" si="4"/>
        <v>3526</v>
      </c>
      <c r="M36">
        <f>SUM(O12:O35)</f>
        <v>2600</v>
      </c>
      <c r="N36">
        <f t="shared" si="10"/>
        <v>0</v>
      </c>
      <c r="O36">
        <f t="shared" si="13"/>
        <v>0</v>
      </c>
      <c r="P36">
        <f t="shared" si="14"/>
        <v>150</v>
      </c>
      <c r="Q36">
        <f t="shared" si="8"/>
        <v>0</v>
      </c>
      <c r="R36" t="e">
        <f t="shared" si="6"/>
        <v>#N/A</v>
      </c>
      <c r="S36" t="b">
        <f t="shared" si="11"/>
        <v>0</v>
      </c>
      <c r="T36" t="b">
        <f t="shared" si="5"/>
        <v>0</v>
      </c>
      <c r="U36" t="b">
        <f t="shared" si="3"/>
        <v>1</v>
      </c>
      <c r="W36" t="b">
        <f t="shared" si="9"/>
        <v>0</v>
      </c>
      <c r="X36" t="b">
        <f t="shared" si="7"/>
        <v>0</v>
      </c>
    </row>
    <row r="37" spans="2:24" x14ac:dyDescent="0.4">
      <c r="B37">
        <v>25</v>
      </c>
      <c r="C37" s="5"/>
      <c r="G37" s="6"/>
      <c r="I37" s="22" t="b">
        <f t="shared" si="1"/>
        <v>0</v>
      </c>
      <c r="K37">
        <f t="shared" si="12"/>
        <v>2600</v>
      </c>
      <c r="L37">
        <f t="shared" si="4"/>
        <v>3526</v>
      </c>
      <c r="M37">
        <f>SUM(O12:O36)</f>
        <v>2600</v>
      </c>
      <c r="N37">
        <f t="shared" si="10"/>
        <v>0</v>
      </c>
      <c r="O37">
        <f t="shared" si="13"/>
        <v>0</v>
      </c>
      <c r="P37">
        <f t="shared" si="14"/>
        <v>150</v>
      </c>
      <c r="Q37">
        <f t="shared" si="8"/>
        <v>0</v>
      </c>
      <c r="R37" t="e">
        <f t="shared" si="6"/>
        <v>#N/A</v>
      </c>
      <c r="S37" t="b">
        <f t="shared" si="11"/>
        <v>0</v>
      </c>
      <c r="T37" t="b">
        <f t="shared" si="5"/>
        <v>0</v>
      </c>
      <c r="U37" t="b">
        <f t="shared" si="3"/>
        <v>1</v>
      </c>
      <c r="W37" t="b">
        <f t="shared" si="9"/>
        <v>0</v>
      </c>
      <c r="X37" t="b">
        <f t="shared" si="7"/>
        <v>0</v>
      </c>
    </row>
    <row r="38" spans="2:24" x14ac:dyDescent="0.4">
      <c r="B38">
        <v>26</v>
      </c>
      <c r="C38" s="5"/>
      <c r="G38" s="6"/>
      <c r="I38" s="22" t="b">
        <f t="shared" si="1"/>
        <v>0</v>
      </c>
      <c r="K38">
        <f t="shared" si="12"/>
        <v>2600</v>
      </c>
      <c r="L38">
        <f t="shared" si="4"/>
        <v>3526</v>
      </c>
      <c r="M38">
        <f>SUM(O12:O37)</f>
        <v>2600</v>
      </c>
      <c r="N38">
        <f t="shared" si="10"/>
        <v>0</v>
      </c>
      <c r="O38">
        <f t="shared" si="13"/>
        <v>0</v>
      </c>
      <c r="P38">
        <f t="shared" si="14"/>
        <v>150</v>
      </c>
      <c r="Q38">
        <f t="shared" si="8"/>
        <v>0</v>
      </c>
      <c r="R38" t="e">
        <f t="shared" si="6"/>
        <v>#N/A</v>
      </c>
      <c r="S38" t="b">
        <f t="shared" si="11"/>
        <v>0</v>
      </c>
      <c r="T38" t="b">
        <f t="shared" si="5"/>
        <v>0</v>
      </c>
      <c r="U38" t="b">
        <f t="shared" si="3"/>
        <v>1</v>
      </c>
      <c r="W38" t="b">
        <f t="shared" si="9"/>
        <v>0</v>
      </c>
      <c r="X38" t="b">
        <f t="shared" si="7"/>
        <v>0</v>
      </c>
    </row>
    <row r="39" spans="2:24" x14ac:dyDescent="0.4">
      <c r="B39">
        <v>27</v>
      </c>
      <c r="C39" s="5"/>
      <c r="G39" s="6"/>
      <c r="I39" s="22" t="b">
        <f t="shared" si="1"/>
        <v>0</v>
      </c>
      <c r="K39">
        <f t="shared" si="12"/>
        <v>2600</v>
      </c>
      <c r="L39">
        <f t="shared" si="4"/>
        <v>3526</v>
      </c>
      <c r="M39">
        <f>SUM(O12:O38)</f>
        <v>2600</v>
      </c>
      <c r="N39">
        <f t="shared" si="10"/>
        <v>0</v>
      </c>
      <c r="O39">
        <f t="shared" si="13"/>
        <v>0</v>
      </c>
      <c r="P39">
        <f t="shared" si="14"/>
        <v>150</v>
      </c>
      <c r="Q39">
        <f t="shared" si="8"/>
        <v>0</v>
      </c>
      <c r="R39" t="e">
        <f t="shared" si="6"/>
        <v>#N/A</v>
      </c>
      <c r="S39" t="b">
        <f t="shared" si="11"/>
        <v>0</v>
      </c>
      <c r="T39" t="b">
        <f t="shared" si="5"/>
        <v>0</v>
      </c>
      <c r="U39" t="b">
        <f t="shared" si="3"/>
        <v>1</v>
      </c>
      <c r="W39" t="b">
        <f t="shared" si="9"/>
        <v>0</v>
      </c>
      <c r="X39" t="b">
        <f t="shared" si="7"/>
        <v>0</v>
      </c>
    </row>
    <row r="40" spans="2:24" x14ac:dyDescent="0.4">
      <c r="B40">
        <v>28</v>
      </c>
      <c r="C40" s="5"/>
      <c r="G40" s="6"/>
      <c r="I40" s="22" t="b">
        <f t="shared" si="1"/>
        <v>0</v>
      </c>
      <c r="K40">
        <f t="shared" si="12"/>
        <v>2600</v>
      </c>
      <c r="L40">
        <f t="shared" si="4"/>
        <v>3526</v>
      </c>
      <c r="M40">
        <f>SUM(O12:O39)</f>
        <v>2600</v>
      </c>
      <c r="N40">
        <f t="shared" si="10"/>
        <v>0</v>
      </c>
      <c r="O40">
        <f t="shared" si="13"/>
        <v>0</v>
      </c>
      <c r="P40">
        <f t="shared" si="14"/>
        <v>150</v>
      </c>
      <c r="Q40">
        <f t="shared" si="8"/>
        <v>0</v>
      </c>
      <c r="R40" t="e">
        <f t="shared" si="6"/>
        <v>#N/A</v>
      </c>
      <c r="S40" t="b">
        <f t="shared" si="11"/>
        <v>0</v>
      </c>
      <c r="T40" t="b">
        <f t="shared" si="5"/>
        <v>0</v>
      </c>
      <c r="U40" t="b">
        <f t="shared" si="3"/>
        <v>1</v>
      </c>
      <c r="W40" t="b">
        <f t="shared" si="9"/>
        <v>0</v>
      </c>
      <c r="X40" t="b">
        <f t="shared" si="7"/>
        <v>0</v>
      </c>
    </row>
    <row r="41" spans="2:24" x14ac:dyDescent="0.4">
      <c r="B41">
        <v>29</v>
      </c>
      <c r="C41" s="5"/>
      <c r="G41" s="6"/>
      <c r="I41" s="22" t="b">
        <f t="shared" si="1"/>
        <v>0</v>
      </c>
      <c r="K41">
        <f t="shared" si="12"/>
        <v>2600</v>
      </c>
      <c r="L41">
        <f t="shared" si="4"/>
        <v>3526</v>
      </c>
      <c r="M41">
        <f>SUM(O12:O40)</f>
        <v>2600</v>
      </c>
      <c r="N41">
        <f t="shared" si="10"/>
        <v>0</v>
      </c>
      <c r="O41">
        <f t="shared" si="13"/>
        <v>0</v>
      </c>
      <c r="P41">
        <f t="shared" si="14"/>
        <v>150</v>
      </c>
      <c r="Q41">
        <f t="shared" si="8"/>
        <v>0</v>
      </c>
      <c r="R41" t="e">
        <f t="shared" si="6"/>
        <v>#N/A</v>
      </c>
      <c r="S41" t="b">
        <f t="shared" si="11"/>
        <v>0</v>
      </c>
      <c r="T41" t="b">
        <f t="shared" si="5"/>
        <v>0</v>
      </c>
      <c r="U41" t="b">
        <f t="shared" si="3"/>
        <v>1</v>
      </c>
      <c r="W41" t="b">
        <f t="shared" si="9"/>
        <v>0</v>
      </c>
      <c r="X41" t="b">
        <f t="shared" si="7"/>
        <v>0</v>
      </c>
    </row>
    <row r="42" spans="2:24" x14ac:dyDescent="0.4">
      <c r="B42">
        <v>30</v>
      </c>
      <c r="C42" s="5"/>
      <c r="G42" s="6"/>
      <c r="I42" s="22" t="b">
        <f t="shared" si="1"/>
        <v>0</v>
      </c>
      <c r="K42">
        <f t="shared" si="12"/>
        <v>2600</v>
      </c>
      <c r="L42">
        <f t="shared" si="4"/>
        <v>3526</v>
      </c>
      <c r="M42">
        <f>SUM(O12:O41)</f>
        <v>2600</v>
      </c>
      <c r="N42">
        <f t="shared" si="10"/>
        <v>0</v>
      </c>
      <c r="O42">
        <f t="shared" si="13"/>
        <v>0</v>
      </c>
      <c r="P42">
        <f t="shared" si="14"/>
        <v>150</v>
      </c>
      <c r="Q42">
        <f t="shared" si="8"/>
        <v>0</v>
      </c>
      <c r="R42" t="e">
        <f t="shared" si="6"/>
        <v>#N/A</v>
      </c>
      <c r="S42" t="b">
        <f t="shared" si="11"/>
        <v>0</v>
      </c>
      <c r="T42" t="b">
        <f t="shared" si="5"/>
        <v>0</v>
      </c>
      <c r="U42" t="b">
        <f t="shared" si="3"/>
        <v>1</v>
      </c>
      <c r="W42" t="b">
        <f t="shared" si="9"/>
        <v>0</v>
      </c>
      <c r="X42" t="b">
        <f t="shared" si="7"/>
        <v>0</v>
      </c>
    </row>
    <row r="43" spans="2:24" x14ac:dyDescent="0.4">
      <c r="B43">
        <v>31</v>
      </c>
      <c r="C43" s="7"/>
      <c r="D43" s="8"/>
      <c r="E43" s="8"/>
      <c r="F43" s="8"/>
      <c r="G43" s="9"/>
      <c r="I43" s="22" t="b">
        <f>AND(W43, X43, U43)</f>
        <v>0</v>
      </c>
      <c r="K43">
        <f t="shared" si="12"/>
        <v>2600</v>
      </c>
      <c r="L43">
        <f t="shared" si="4"/>
        <v>3526</v>
      </c>
      <c r="M43">
        <f>SUM(O12:O42)</f>
        <v>2600</v>
      </c>
      <c r="N43">
        <f t="shared" si="10"/>
        <v>0</v>
      </c>
      <c r="O43">
        <f t="shared" si="13"/>
        <v>0</v>
      </c>
      <c r="P43">
        <f t="shared" si="14"/>
        <v>150</v>
      </c>
      <c r="Q43">
        <f t="shared" si="8"/>
        <v>0</v>
      </c>
      <c r="R43" t="e">
        <f t="shared" si="6"/>
        <v>#N/A</v>
      </c>
      <c r="S43" t="b">
        <f t="shared" si="11"/>
        <v>0</v>
      </c>
      <c r="T43" t="b">
        <f t="shared" si="5"/>
        <v>0</v>
      </c>
      <c r="U43" t="b">
        <f t="shared" si="3"/>
        <v>1</v>
      </c>
      <c r="W43" t="b">
        <f>S43</f>
        <v>0</v>
      </c>
      <c r="X43" t="b">
        <f t="shared" si="7"/>
        <v>0</v>
      </c>
    </row>
    <row r="45" spans="2:24" x14ac:dyDescent="0.4">
      <c r="B45">
        <v>32</v>
      </c>
      <c r="C45">
        <f t="shared" ref="C45:G45" si="15">IF($D$8="あり", C12, 0)</f>
        <v>10</v>
      </c>
      <c r="D45">
        <f t="shared" si="15"/>
        <v>6</v>
      </c>
      <c r="E45">
        <f t="shared" si="15"/>
        <v>180</v>
      </c>
      <c r="F45">
        <f t="shared" si="15"/>
        <v>0</v>
      </c>
      <c r="G45">
        <f t="shared" si="15"/>
        <v>500</v>
      </c>
      <c r="K45">
        <f ca="1">M45+E45</f>
        <v>2780</v>
      </c>
      <c r="L45">
        <f ca="1">K45+G45+SUM($T$5:$T$7)</f>
        <v>4206</v>
      </c>
      <c r="M45">
        <f ca="1">SUM(O12:OFFSET(O12, T4 - 1, 0))</f>
        <v>2600</v>
      </c>
      <c r="N45">
        <f>IF(C45&lt;=0, 0, 1000 *D45 / C45)</f>
        <v>600</v>
      </c>
      <c r="O45">
        <f>N45+F45</f>
        <v>600</v>
      </c>
      <c r="P45">
        <f ca="1">MAX(0, OFFSET(E12, $T$4 - 1, 0) + OFFSET(G12, $T$4 - 1, 0)  + $T$6 - (OFFSET(O12, $T$4 - 1, 0) + E45))</f>
        <v>0</v>
      </c>
      <c r="Q45">
        <f>$T$9*(G45/1000000000)</f>
        <v>7.8643199999999993E-3</v>
      </c>
      <c r="R45">
        <f ca="1">IF((G45-P45) &gt; 0, Q45/((G45-P45)/1000000000), NA())</f>
        <v>15728.64</v>
      </c>
      <c r="S45" t="b">
        <f ca="1">IF(ISNA(R45), FALSE, IF($T$8&gt;R45,TRUE, FALSE))</f>
        <v>1</v>
      </c>
      <c r="T45" t="b">
        <f ca="1">IF(T4=1, TRUE, IF(K45&gt;= OFFSET(L12, $T$4-2, 0), TRUE, FALSE))</f>
        <v>1</v>
      </c>
    </row>
    <row r="46" spans="2:24" x14ac:dyDescent="0.4">
      <c r="B46">
        <v>33</v>
      </c>
      <c r="C46">
        <f>IF($D$8="あり",IF($T$4=1, C12, C13), 0)</f>
        <v>20</v>
      </c>
      <c r="D46">
        <f t="shared" ref="D46:G46" si="16">IF($D$8="あり",IF($T$4=1, D12, D13), 0)</f>
        <v>10</v>
      </c>
      <c r="E46">
        <f t="shared" si="16"/>
        <v>180</v>
      </c>
      <c r="F46">
        <f t="shared" si="16"/>
        <v>500</v>
      </c>
      <c r="G46">
        <f t="shared" si="16"/>
        <v>400</v>
      </c>
      <c r="K46">
        <f ca="1">M46+E46</f>
        <v>3380</v>
      </c>
      <c r="L46">
        <f ca="1">K46+G46+SUM($T$5:$T$7)</f>
        <v>4706</v>
      </c>
      <c r="M46">
        <f ca="1">SUM(O12:OFFSET(O12, T4 - 1, 0))+SUM(O45:O45)</f>
        <v>3200</v>
      </c>
      <c r="N46">
        <f t="shared" ref="N46" si="17">IF(C46&lt;=0, 0, 1000 *D46 / C46)</f>
        <v>500</v>
      </c>
      <c r="O46">
        <f>N46+F46</f>
        <v>1000</v>
      </c>
      <c r="P46">
        <f>MAX(0, E45+G45+$T$6 - (O45+E46))</f>
        <v>50</v>
      </c>
      <c r="Q46">
        <f>$T$9*(G46/1000000000)</f>
        <v>6.2914559999999991E-3</v>
      </c>
      <c r="R46">
        <f>IF((G46-P46) &gt; 0, Q46/((G46-P46)/1000000000), NA())</f>
        <v>17975.588571428569</v>
      </c>
      <c r="S46" t="b">
        <f>IF(ISNA(R46), FALSE, IF($T$8&gt;R46,TRUE, FALSE))</f>
        <v>1</v>
      </c>
      <c r="T46" t="b">
        <f ca="1">IF(K46 &gt;= OFFSET(L12, $T$4-1, 0), TRUE, FALSE)</f>
        <v>1</v>
      </c>
    </row>
  </sheetData>
  <mergeCells count="1">
    <mergeCell ref="B7:C7"/>
  </mergeCells>
  <phoneticPr fontId="1"/>
  <dataValidations count="3">
    <dataValidation type="list" allowBlank="1" showInputMessage="1" showErrorMessage="1" sqref="D9" xr:uid="{DBE8E0CC-E1FF-461A-8E3D-DA16141B7404}">
      <formula1>"はい,いいえ"</formula1>
    </dataValidation>
    <dataValidation type="list" allowBlank="1" showInputMessage="1" showErrorMessage="1" sqref="D8" xr:uid="{F472C237-E2EE-4863-95A7-CC73F9EFE651}">
      <formula1>"あり,なし"</formula1>
    </dataValidation>
    <dataValidation type="list" allowBlank="1" showInputMessage="1" showErrorMessage="1" sqref="D7" xr:uid="{859465C5-497D-476A-A0C2-3F69AA1A861C}">
      <formula1>"3932.16,1105.92"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AB6F-07CF-4257-9480-4413F3A1118B}">
  <dimension ref="B2:AF50"/>
  <sheetViews>
    <sheetView zoomScale="70" zoomScaleNormal="70" workbookViewId="0">
      <pane xSplit="10" topLeftCell="L1" activePane="topRight" state="frozen"/>
      <selection pane="topRight" activeCell="L12" sqref="L12"/>
    </sheetView>
  </sheetViews>
  <sheetFormatPr defaultRowHeight="18.75" x14ac:dyDescent="0.4"/>
  <cols>
    <col min="2" max="2" width="12.125" customWidth="1"/>
    <col min="3" max="3" width="19.5" customWidth="1"/>
    <col min="4" max="4" width="15.375" customWidth="1"/>
    <col min="5" max="5" width="26.25" customWidth="1"/>
    <col min="6" max="6" width="16.75" customWidth="1"/>
    <col min="7" max="7" width="18.875" customWidth="1"/>
    <col min="8" max="8" width="17.375" customWidth="1"/>
    <col min="9" max="9" width="0.5" customWidth="1"/>
    <col min="10" max="12" width="17.5" customWidth="1"/>
    <col min="13" max="13" width="22.625" customWidth="1"/>
    <col min="14" max="15" width="24.75" customWidth="1"/>
    <col min="16" max="17" width="20.125" customWidth="1"/>
    <col min="18" max="18" width="21.625" customWidth="1"/>
    <col min="19" max="19" width="20.125" customWidth="1"/>
    <col min="20" max="20" width="31.625" customWidth="1"/>
    <col min="21" max="21" width="21.375" customWidth="1"/>
    <col min="22" max="22" width="28.75" customWidth="1"/>
    <col min="23" max="23" width="23.5" customWidth="1"/>
    <col min="24" max="24" width="0.75" customWidth="1"/>
    <col min="25" max="25" width="32.375" customWidth="1"/>
    <col min="26" max="26" width="41.125" customWidth="1"/>
    <col min="27" max="27" width="1" customWidth="1"/>
    <col min="28" max="28" width="22" customWidth="1"/>
    <col min="29" max="29" width="26.875" customWidth="1"/>
    <col min="30" max="30" width="24.5" customWidth="1"/>
    <col min="31" max="31" width="30" customWidth="1"/>
    <col min="32" max="32" width="26" customWidth="1"/>
  </cols>
  <sheetData>
    <row r="2" spans="2:32" x14ac:dyDescent="0.4">
      <c r="T2" s="31" t="s">
        <v>49</v>
      </c>
      <c r="U2" s="32">
        <v>16</v>
      </c>
      <c r="V2" s="33" t="s">
        <v>44</v>
      </c>
      <c r="AB2" s="40"/>
      <c r="AC2" s="41" t="s">
        <v>49</v>
      </c>
      <c r="AD2" s="12">
        <v>16</v>
      </c>
      <c r="AE2" s="13" t="s">
        <v>44</v>
      </c>
    </row>
    <row r="3" spans="2:32" x14ac:dyDescent="0.4">
      <c r="T3" s="34" t="s">
        <v>42</v>
      </c>
      <c r="U3">
        <v>64</v>
      </c>
      <c r="V3" s="27" t="s">
        <v>43</v>
      </c>
      <c r="AB3" s="42"/>
      <c r="AC3" s="10" t="s">
        <v>56</v>
      </c>
      <c r="AD3">
        <v>64</v>
      </c>
      <c r="AE3" s="15" t="s">
        <v>43</v>
      </c>
    </row>
    <row r="4" spans="2:32" x14ac:dyDescent="0.4">
      <c r="T4" s="34" t="s">
        <v>40</v>
      </c>
      <c r="U4">
        <v>1303</v>
      </c>
      <c r="V4" s="27" t="s">
        <v>2</v>
      </c>
      <c r="AB4" s="42"/>
      <c r="AC4" s="38" t="s">
        <v>55</v>
      </c>
      <c r="AD4">
        <v>140</v>
      </c>
      <c r="AE4" s="15" t="s">
        <v>2</v>
      </c>
    </row>
    <row r="5" spans="2:32" x14ac:dyDescent="0.4">
      <c r="T5" s="34" t="s">
        <v>34</v>
      </c>
      <c r="U5">
        <f>IF($D$13=1, 14254,13271)</f>
        <v>14254</v>
      </c>
      <c r="V5" s="27" t="s">
        <v>13</v>
      </c>
      <c r="AB5" s="42"/>
      <c r="AC5" s="10" t="s">
        <v>51</v>
      </c>
      <c r="AD5">
        <f>1000*AD3*64/U10</f>
        <v>287.35793461484496</v>
      </c>
      <c r="AE5" s="15" t="s">
        <v>2</v>
      </c>
    </row>
    <row r="6" spans="2:32" x14ac:dyDescent="0.4">
      <c r="T6" s="34" t="s">
        <v>18</v>
      </c>
      <c r="U6">
        <f>COUNTIF(C16:C47, "&gt;0")</f>
        <v>2</v>
      </c>
      <c r="V6" s="27"/>
      <c r="AB6" s="42"/>
      <c r="AC6" s="39" t="s">
        <v>54</v>
      </c>
      <c r="AD6">
        <v>46</v>
      </c>
      <c r="AE6" s="15"/>
    </row>
    <row r="7" spans="2:32" x14ac:dyDescent="0.4">
      <c r="T7" s="34" t="s">
        <v>0</v>
      </c>
      <c r="U7">
        <v>96</v>
      </c>
      <c r="V7" s="27" t="s">
        <v>2</v>
      </c>
      <c r="AB7" s="42"/>
      <c r="AC7" s="10" t="s">
        <v>52</v>
      </c>
      <c r="AD7">
        <f>1000*AD3*64/U10</f>
        <v>287.35793461484496</v>
      </c>
      <c r="AE7" s="15" t="s">
        <v>2</v>
      </c>
    </row>
    <row r="8" spans="2:32" x14ac:dyDescent="0.4">
      <c r="C8" s="10" t="s">
        <v>36</v>
      </c>
      <c r="D8" s="23" t="s">
        <v>26</v>
      </c>
      <c r="T8" s="34" t="s">
        <v>1</v>
      </c>
      <c r="U8">
        <f>IF($D$13=1, 870,1400)</f>
        <v>870</v>
      </c>
      <c r="V8" s="27" t="s">
        <v>2</v>
      </c>
      <c r="AB8" s="42"/>
      <c r="AC8" s="39" t="s">
        <v>53</v>
      </c>
      <c r="AD8">
        <v>43</v>
      </c>
      <c r="AE8" s="15"/>
    </row>
    <row r="9" spans="2:32" x14ac:dyDescent="0.4">
      <c r="B9" s="45" t="s">
        <v>31</v>
      </c>
      <c r="C9" s="45"/>
      <c r="D9" s="25">
        <v>3440.64</v>
      </c>
      <c r="T9" s="34" t="s">
        <v>16</v>
      </c>
      <c r="U9">
        <v>680</v>
      </c>
      <c r="V9" s="27" t="s">
        <v>2</v>
      </c>
      <c r="AB9" s="42"/>
      <c r="AC9" t="s">
        <v>40</v>
      </c>
      <c r="AD9">
        <f>SUM(AD4:AD8)</f>
        <v>803.71586922968993</v>
      </c>
      <c r="AE9" s="15"/>
    </row>
    <row r="10" spans="2:32" x14ac:dyDescent="0.4">
      <c r="C10" s="10" t="s">
        <v>7</v>
      </c>
      <c r="D10" s="20" t="s">
        <v>33</v>
      </c>
      <c r="T10" s="34" t="s">
        <v>47</v>
      </c>
      <c r="U10">
        <f>U5/D13/IF(OR(D8="はい", D12="はい"),2,1)</f>
        <v>14254</v>
      </c>
      <c r="V10" s="27" t="s">
        <v>13</v>
      </c>
      <c r="AB10" s="42"/>
      <c r="AE10" s="15"/>
    </row>
    <row r="11" spans="2:32" x14ac:dyDescent="0.4">
      <c r="C11" s="10" t="s">
        <v>28</v>
      </c>
      <c r="D11" s="20" t="s">
        <v>26</v>
      </c>
      <c r="P11" s="10"/>
      <c r="Q11" s="10"/>
      <c r="R11" s="10"/>
      <c r="S11" s="10"/>
      <c r="T11" s="34"/>
      <c r="V11" s="27"/>
      <c r="AB11" s="43"/>
      <c r="AC11" s="44" t="s">
        <v>47</v>
      </c>
      <c r="AD11" s="17">
        <f>U10/2</f>
        <v>7127</v>
      </c>
      <c r="AE11" s="18" t="s">
        <v>50</v>
      </c>
    </row>
    <row r="12" spans="2:32" x14ac:dyDescent="0.4">
      <c r="C12" s="10" t="s">
        <v>38</v>
      </c>
      <c r="D12" s="20" t="s">
        <v>26</v>
      </c>
      <c r="P12" s="10"/>
      <c r="Q12" s="10"/>
      <c r="R12" s="10"/>
      <c r="S12" s="10"/>
      <c r="T12" s="35" t="s">
        <v>27</v>
      </c>
      <c r="U12" s="28">
        <f>IF($D$11="はい", 8*$D$9, 4*$D$9)</f>
        <v>13762.56</v>
      </c>
      <c r="V12" s="29" t="s">
        <v>13</v>
      </c>
    </row>
    <row r="13" spans="2:32" x14ac:dyDescent="0.4">
      <c r="C13" s="10" t="s">
        <v>35</v>
      </c>
      <c r="D13" s="26">
        <v>1</v>
      </c>
      <c r="P13" s="10"/>
      <c r="Q13" s="10"/>
      <c r="R13" s="10"/>
      <c r="S13" s="10"/>
      <c r="T13" s="10"/>
      <c r="U13" s="10"/>
    </row>
    <row r="15" spans="2:32" x14ac:dyDescent="0.4">
      <c r="B15" s="1" t="s">
        <v>5</v>
      </c>
      <c r="C15" s="1" t="s">
        <v>10</v>
      </c>
      <c r="D15" s="1" t="s">
        <v>6</v>
      </c>
      <c r="E15" s="1" t="s">
        <v>9</v>
      </c>
      <c r="F15" s="1" t="s">
        <v>3</v>
      </c>
      <c r="G15" s="1" t="str">
        <f>IF(D8="はい", "ウィンドウサイズ[ns]", "キャプチャ時間 [ns]")</f>
        <v>キャプチャ時間 [ns]</v>
      </c>
      <c r="H15" s="1" t="str">
        <f>IF(D8="はい", "ウィンドウ数", "[入力不要]")</f>
        <v>[入力不要]</v>
      </c>
      <c r="I15" s="1"/>
      <c r="J15" s="1" t="s">
        <v>14</v>
      </c>
      <c r="K15" s="1"/>
      <c r="L15" s="1" t="s">
        <v>37</v>
      </c>
      <c r="M15" s="1" t="s">
        <v>20</v>
      </c>
      <c r="N15" s="1" t="s">
        <v>21</v>
      </c>
      <c r="O15" s="1" t="s">
        <v>22</v>
      </c>
      <c r="P15" s="1" t="s">
        <v>11</v>
      </c>
      <c r="Q15" s="1" t="s">
        <v>19</v>
      </c>
      <c r="R15" s="1" t="s">
        <v>24</v>
      </c>
      <c r="S15" s="1" t="s">
        <v>25</v>
      </c>
      <c r="T15" s="1" t="s">
        <v>23</v>
      </c>
      <c r="U15" s="1" t="s">
        <v>15</v>
      </c>
      <c r="V15" s="1" t="s">
        <v>17</v>
      </c>
      <c r="W15" s="36" t="s">
        <v>32</v>
      </c>
      <c r="Y15" s="37" t="s">
        <v>29</v>
      </c>
      <c r="Z15" s="37" t="s">
        <v>30</v>
      </c>
      <c r="AB15" s="1" t="s">
        <v>41</v>
      </c>
      <c r="AC15" s="30" t="s">
        <v>45</v>
      </c>
      <c r="AD15" s="30" t="s">
        <v>48</v>
      </c>
      <c r="AE15" s="1" t="s">
        <v>46</v>
      </c>
      <c r="AF15" s="37" t="s">
        <v>39</v>
      </c>
    </row>
    <row r="16" spans="2:32" x14ac:dyDescent="0.4">
      <c r="B16">
        <v>0</v>
      </c>
      <c r="C16" s="2">
        <v>10.021000000000001</v>
      </c>
      <c r="D16" s="3">
        <f>INT(30*C16)</f>
        <v>300</v>
      </c>
      <c r="E16" s="3">
        <v>167</v>
      </c>
      <c r="F16" s="3">
        <v>0</v>
      </c>
      <c r="G16" s="3">
        <f>D16*1000/C16</f>
        <v>29937.132022752219</v>
      </c>
      <c r="H16" s="4"/>
      <c r="J16" s="22" t="b">
        <f ca="1">AND(Y16, Z16, W16, AF16)</f>
        <v>1</v>
      </c>
      <c r="L16">
        <f t="shared" ref="L16:L47" si="0">G16*IF($D$8="はい", H16, 1)</f>
        <v>29937.132022752219</v>
      </c>
      <c r="M16">
        <f>E16</f>
        <v>167</v>
      </c>
      <c r="N16">
        <f>M16+L16+SUM($U$7:$U$9)</f>
        <v>31750.132022752219</v>
      </c>
      <c r="O16">
        <v>0</v>
      </c>
      <c r="P16">
        <f>IF(C16&lt;=0, 0, 1000 *D16 / C16)</f>
        <v>29937.132022752219</v>
      </c>
      <c r="Q16">
        <f>P16+F16</f>
        <v>29937.132022752219</v>
      </c>
      <c r="R16">
        <v>0</v>
      </c>
      <c r="S16">
        <f t="shared" ref="S16:S47" si="1">$U$12*(G16/1000000000)</f>
        <v>0.41201157569104874</v>
      </c>
      <c r="T16">
        <f t="shared" ref="T16:T47" si="2">IF((G16-R16) &gt; 0, S16/((G16-R16)/1000000000), NA())</f>
        <v>13762.56</v>
      </c>
      <c r="U16" t="b">
        <f>IF(ISNA(T16), FALSE, IF($U$10&gt;T16,TRUE, FALSE))</f>
        <v>1</v>
      </c>
      <c r="V16" t="b">
        <f>TRUE</f>
        <v>1</v>
      </c>
      <c r="W16" t="b">
        <f>IF(Q16&lt;E16, FALSE, TRUE)</f>
        <v>1</v>
      </c>
      <c r="Y16" t="b">
        <f ca="1">AND(IF($D$10="あり", U49, TRUE), U16)</f>
        <v>1</v>
      </c>
      <c r="Z16" t="b">
        <f ca="1">AND(IF($D$10="あり", IF($U$6=1,V50,V49), TRUE), V16)</f>
        <v>1</v>
      </c>
      <c r="AB16">
        <f>(G16*$D$9/1000)</f>
        <v>103002.89392276219</v>
      </c>
      <c r="AC16">
        <f>CEILING(AB16/$AD$2/$AD$3, 1)</f>
        <v>101</v>
      </c>
      <c r="AD16">
        <f>1000000000 * ((AB16 - $AD$2*$AD$3 ) /($AD$11*1000000))+$AD$9</f>
        <v>15112.526578190289</v>
      </c>
      <c r="AE16">
        <f>1000*AB16/AD16</f>
        <v>6815.7295466008491</v>
      </c>
      <c r="AF16" t="b">
        <f t="shared" ref="AF16:AF47" si="3">IF($D$8="いいえ", TRUE, IF(AND($D$9 &lt; AE16, AC16 &gt; 1), TRUE, FALSE))</f>
        <v>1</v>
      </c>
    </row>
    <row r="17" spans="2:32" x14ac:dyDescent="0.4">
      <c r="B17">
        <v>1</v>
      </c>
      <c r="C17" s="5">
        <v>20.042000000000002</v>
      </c>
      <c r="D17">
        <f>INT(30*C17)</f>
        <v>601</v>
      </c>
      <c r="E17">
        <v>167</v>
      </c>
      <c r="F17">
        <v>0</v>
      </c>
      <c r="G17">
        <f>D17*1000/C17</f>
        <v>29987.02724279014</v>
      </c>
      <c r="H17" s="6"/>
      <c r="J17" s="22" t="b">
        <f t="shared" ref="J17:J47" ca="1" si="4">AND(Y17, Z17, W17, AF17)</f>
        <v>1</v>
      </c>
      <c r="L17">
        <f t="shared" si="0"/>
        <v>29987.02724279014</v>
      </c>
      <c r="M17">
        <f t="shared" ref="M17:M47" si="5">O17+E17</f>
        <v>30104.132022752219</v>
      </c>
      <c r="N17">
        <f t="shared" ref="N17:N47" si="6">M17+L17+SUM($U$7:$U$9)</f>
        <v>61737.159265542359</v>
      </c>
      <c r="O17">
        <f>Q16</f>
        <v>29937.132022752219</v>
      </c>
      <c r="P17">
        <f>IF(C17&lt;=0, 0, 1000 *D17 / C17)</f>
        <v>29987.02724279014</v>
      </c>
      <c r="Q17">
        <f t="shared" ref="Q17:Q47" si="7">P17+F17</f>
        <v>29987.02724279014</v>
      </c>
      <c r="R17">
        <f t="shared" ref="R17:R47" si="8">MAX(0, E16+G16+$U$8 - (Q16+E17))</f>
        <v>870</v>
      </c>
      <c r="S17">
        <f t="shared" si="1"/>
        <v>0.41269826165053386</v>
      </c>
      <c r="T17">
        <f t="shared" si="2"/>
        <v>14173.777364333264</v>
      </c>
      <c r="U17" t="b">
        <f>IF(ISNA(T17), FALSE, IF($U$10&gt;T17,TRUE, FALSE))</f>
        <v>1</v>
      </c>
      <c r="V17" t="b">
        <f>TRUE</f>
        <v>1</v>
      </c>
      <c r="W17" t="b">
        <f>IF(Q17&lt;E17, FALSE, TRUE)</f>
        <v>1</v>
      </c>
      <c r="Y17" t="b">
        <f>AND(IF($D$10="あり", U50, TRUE), U17)</f>
        <v>1</v>
      </c>
      <c r="Z17" t="b">
        <f ca="1">AND(IF($D$10="あり", V50, TRUE), V17)</f>
        <v>1</v>
      </c>
      <c r="AB17">
        <f t="shared" ref="AB17:AB50" si="9">(G17*$D$9/1000)</f>
        <v>103174.56541263347</v>
      </c>
      <c r="AC17">
        <f t="shared" ref="AC17:AC50" si="10">CEILING(AB17/$AD$2/$AD$3, 1)</f>
        <v>101</v>
      </c>
      <c r="AD17">
        <f t="shared" ref="AD17:AD50" si="11">1000000000 * ((AB17 - $AD$2*$AD$3 ) /($AD$11*1000000))+$AD$9</f>
        <v>15136.614060984071</v>
      </c>
      <c r="AE17">
        <f>AB17*1000/$U$4</f>
        <v>79182.321882297358</v>
      </c>
      <c r="AF17" t="b">
        <f t="shared" si="3"/>
        <v>1</v>
      </c>
    </row>
    <row r="18" spans="2:32" x14ac:dyDescent="0.4">
      <c r="B18">
        <v>2</v>
      </c>
      <c r="C18" s="5"/>
      <c r="H18" s="6"/>
      <c r="J18" s="22" t="b">
        <f t="shared" si="4"/>
        <v>0</v>
      </c>
      <c r="L18">
        <f t="shared" si="0"/>
        <v>0</v>
      </c>
      <c r="M18">
        <f t="shared" si="5"/>
        <v>59924.159265542359</v>
      </c>
      <c r="N18">
        <f t="shared" si="6"/>
        <v>61570.159265542359</v>
      </c>
      <c r="O18">
        <f>SUM(Q16:Q17)</f>
        <v>59924.159265542359</v>
      </c>
      <c r="P18">
        <f t="shared" ref="P18:P47" si="12">IF(C18&lt;=0, 0, 1000 *D18 / C18)</f>
        <v>0</v>
      </c>
      <c r="Q18">
        <f t="shared" si="7"/>
        <v>0</v>
      </c>
      <c r="R18">
        <f t="shared" si="8"/>
        <v>1037</v>
      </c>
      <c r="S18">
        <f t="shared" si="1"/>
        <v>0</v>
      </c>
      <c r="T18" t="e">
        <f t="shared" si="2"/>
        <v>#N/A</v>
      </c>
      <c r="U18" t="b">
        <f>IF(ISNA(T18), FALSE, IF($U$10&gt;T18,TRUE, FALSE))</f>
        <v>0</v>
      </c>
      <c r="V18" t="b">
        <f>IF(M18&gt;=N16, TRUE, FALSE)</f>
        <v>1</v>
      </c>
      <c r="W18" t="b">
        <f>IF(Q18&lt;E18, FALSE, TRUE)</f>
        <v>1</v>
      </c>
      <c r="Y18" t="b">
        <f>U18</f>
        <v>0</v>
      </c>
      <c r="Z18" t="b">
        <f>V18</f>
        <v>1</v>
      </c>
      <c r="AB18">
        <f t="shared" si="9"/>
        <v>0</v>
      </c>
      <c r="AC18">
        <f t="shared" si="10"/>
        <v>0</v>
      </c>
      <c r="AD18">
        <f t="shared" si="11"/>
        <v>660.03690192226748</v>
      </c>
      <c r="AE18">
        <f>AB18*1000/$U$4</f>
        <v>0</v>
      </c>
      <c r="AF18" t="b">
        <f t="shared" si="3"/>
        <v>1</v>
      </c>
    </row>
    <row r="19" spans="2:32" x14ac:dyDescent="0.4">
      <c r="B19">
        <v>3</v>
      </c>
      <c r="C19" s="5"/>
      <c r="H19" s="6"/>
      <c r="J19" s="22" t="b">
        <f t="shared" si="4"/>
        <v>0</v>
      </c>
      <c r="L19">
        <f t="shared" si="0"/>
        <v>0</v>
      </c>
      <c r="M19">
        <f t="shared" si="5"/>
        <v>59924.159265542359</v>
      </c>
      <c r="N19">
        <f t="shared" si="6"/>
        <v>61570.159265542359</v>
      </c>
      <c r="O19">
        <f>SUM(Q16:Q18)</f>
        <v>59924.159265542359</v>
      </c>
      <c r="P19">
        <f t="shared" si="12"/>
        <v>0</v>
      </c>
      <c r="Q19">
        <f t="shared" si="7"/>
        <v>0</v>
      </c>
      <c r="R19">
        <f t="shared" si="8"/>
        <v>870</v>
      </c>
      <c r="S19">
        <f t="shared" si="1"/>
        <v>0</v>
      </c>
      <c r="T19" t="e">
        <f t="shared" si="2"/>
        <v>#N/A</v>
      </c>
      <c r="U19" t="b">
        <f>IF(ISNA(T19), FALSE, IF($U$10&gt;T19,TRUE, FALSE))</f>
        <v>0</v>
      </c>
      <c r="V19" t="b">
        <f>IF(M19&gt;=N17, TRUE, FALSE)</f>
        <v>0</v>
      </c>
      <c r="W19" t="b">
        <f t="shared" ref="W19:W47" si="13">IF(Q19&lt;E19, FALSE, TRUE)</f>
        <v>1</v>
      </c>
      <c r="Y19" t="b">
        <f t="shared" ref="Y19:Y47" si="14">U19</f>
        <v>0</v>
      </c>
      <c r="Z19" t="b">
        <f t="shared" ref="Z19:Z46" si="15">V19</f>
        <v>0</v>
      </c>
      <c r="AB19">
        <f t="shared" si="9"/>
        <v>0</v>
      </c>
      <c r="AC19">
        <f t="shared" si="10"/>
        <v>0</v>
      </c>
      <c r="AD19">
        <f t="shared" si="11"/>
        <v>660.03690192226748</v>
      </c>
      <c r="AE19">
        <f t="shared" ref="AE19:AE47" si="16">AB19*1000/$U$4</f>
        <v>0</v>
      </c>
      <c r="AF19" t="b">
        <f t="shared" si="3"/>
        <v>1</v>
      </c>
    </row>
    <row r="20" spans="2:32" x14ac:dyDescent="0.4">
      <c r="B20">
        <v>4</v>
      </c>
      <c r="C20" s="5"/>
      <c r="H20" s="6"/>
      <c r="J20" s="22" t="b">
        <f t="shared" si="4"/>
        <v>0</v>
      </c>
      <c r="L20">
        <f t="shared" si="0"/>
        <v>0</v>
      </c>
      <c r="M20">
        <f t="shared" si="5"/>
        <v>59924.159265542359</v>
      </c>
      <c r="N20">
        <f t="shared" si="6"/>
        <v>61570.159265542359</v>
      </c>
      <c r="O20">
        <f>SUM(Q16:Q19)</f>
        <v>59924.159265542359</v>
      </c>
      <c r="P20">
        <f t="shared" si="12"/>
        <v>0</v>
      </c>
      <c r="Q20">
        <f t="shared" si="7"/>
        <v>0</v>
      </c>
      <c r="R20">
        <f t="shared" si="8"/>
        <v>870</v>
      </c>
      <c r="S20">
        <f t="shared" si="1"/>
        <v>0</v>
      </c>
      <c r="T20" t="e">
        <f t="shared" si="2"/>
        <v>#N/A</v>
      </c>
      <c r="U20" t="b">
        <f>IF(ISNA(T20), FALSE, IF($U$10&gt;T20,TRUE, FALSE))</f>
        <v>0</v>
      </c>
      <c r="V20" t="b">
        <f t="shared" ref="V20:V47" si="17">IF(M20&gt;=N18, TRUE, FALSE)</f>
        <v>0</v>
      </c>
      <c r="W20" t="b">
        <f t="shared" si="13"/>
        <v>1</v>
      </c>
      <c r="Y20" t="b">
        <f t="shared" si="14"/>
        <v>0</v>
      </c>
      <c r="Z20" t="b">
        <f t="shared" si="15"/>
        <v>0</v>
      </c>
      <c r="AB20">
        <f t="shared" si="9"/>
        <v>0</v>
      </c>
      <c r="AC20">
        <f t="shared" si="10"/>
        <v>0</v>
      </c>
      <c r="AD20">
        <f t="shared" si="11"/>
        <v>660.03690192226748</v>
      </c>
      <c r="AE20">
        <f t="shared" si="16"/>
        <v>0</v>
      </c>
      <c r="AF20" t="b">
        <f t="shared" si="3"/>
        <v>1</v>
      </c>
    </row>
    <row r="21" spans="2:32" x14ac:dyDescent="0.4">
      <c r="B21">
        <v>5</v>
      </c>
      <c r="C21" s="5"/>
      <c r="H21" s="6"/>
      <c r="J21" s="22" t="b">
        <f t="shared" si="4"/>
        <v>0</v>
      </c>
      <c r="L21">
        <f t="shared" si="0"/>
        <v>0</v>
      </c>
      <c r="M21">
        <f t="shared" si="5"/>
        <v>59924.159265542359</v>
      </c>
      <c r="N21">
        <f t="shared" si="6"/>
        <v>61570.159265542359</v>
      </c>
      <c r="O21">
        <f>SUM(Q16:Q20)</f>
        <v>59924.159265542359</v>
      </c>
      <c r="P21">
        <f t="shared" si="12"/>
        <v>0</v>
      </c>
      <c r="Q21">
        <f t="shared" si="7"/>
        <v>0</v>
      </c>
      <c r="R21">
        <f t="shared" si="8"/>
        <v>870</v>
      </c>
      <c r="S21">
        <f t="shared" si="1"/>
        <v>0</v>
      </c>
      <c r="T21" t="e">
        <f t="shared" si="2"/>
        <v>#N/A</v>
      </c>
      <c r="U21" t="b">
        <f t="shared" ref="U21:U47" si="18">IF(ISNA(T21), FALSE, IF($U$10&gt;T21,TRUE, FALSE))</f>
        <v>0</v>
      </c>
      <c r="V21" t="b">
        <f t="shared" si="17"/>
        <v>0</v>
      </c>
      <c r="W21" t="b">
        <f t="shared" si="13"/>
        <v>1</v>
      </c>
      <c r="Y21" t="b">
        <f t="shared" si="14"/>
        <v>0</v>
      </c>
      <c r="Z21" t="b">
        <f t="shared" si="15"/>
        <v>0</v>
      </c>
      <c r="AB21">
        <f t="shared" si="9"/>
        <v>0</v>
      </c>
      <c r="AC21">
        <f t="shared" si="10"/>
        <v>0</v>
      </c>
      <c r="AD21">
        <f t="shared" si="11"/>
        <v>660.03690192226748</v>
      </c>
      <c r="AE21">
        <f t="shared" si="16"/>
        <v>0</v>
      </c>
      <c r="AF21" t="b">
        <f t="shared" si="3"/>
        <v>1</v>
      </c>
    </row>
    <row r="22" spans="2:32" x14ac:dyDescent="0.4">
      <c r="B22">
        <v>6</v>
      </c>
      <c r="C22" s="5"/>
      <c r="H22" s="6"/>
      <c r="J22" s="22" t="b">
        <f t="shared" si="4"/>
        <v>0</v>
      </c>
      <c r="L22">
        <f t="shared" si="0"/>
        <v>0</v>
      </c>
      <c r="M22">
        <f t="shared" si="5"/>
        <v>59924.159265542359</v>
      </c>
      <c r="N22">
        <f t="shared" si="6"/>
        <v>61570.159265542359</v>
      </c>
      <c r="O22">
        <f>SUM(Q16:Q21)</f>
        <v>59924.159265542359</v>
      </c>
      <c r="P22">
        <f t="shared" si="12"/>
        <v>0</v>
      </c>
      <c r="Q22">
        <f t="shared" si="7"/>
        <v>0</v>
      </c>
      <c r="R22">
        <f t="shared" si="8"/>
        <v>870</v>
      </c>
      <c r="S22">
        <f t="shared" si="1"/>
        <v>0</v>
      </c>
      <c r="T22" t="e">
        <f t="shared" si="2"/>
        <v>#N/A</v>
      </c>
      <c r="U22" t="b">
        <f t="shared" si="18"/>
        <v>0</v>
      </c>
      <c r="V22" t="b">
        <f t="shared" si="17"/>
        <v>0</v>
      </c>
      <c r="W22" t="b">
        <f t="shared" si="13"/>
        <v>1</v>
      </c>
      <c r="Y22" t="b">
        <f t="shared" si="14"/>
        <v>0</v>
      </c>
      <c r="Z22" t="b">
        <f t="shared" si="15"/>
        <v>0</v>
      </c>
      <c r="AB22">
        <f t="shared" si="9"/>
        <v>0</v>
      </c>
      <c r="AC22">
        <f t="shared" si="10"/>
        <v>0</v>
      </c>
      <c r="AD22">
        <f t="shared" si="11"/>
        <v>660.03690192226748</v>
      </c>
      <c r="AE22">
        <f>AB22*1000/$U$4</f>
        <v>0</v>
      </c>
      <c r="AF22" t="b">
        <f t="shared" si="3"/>
        <v>1</v>
      </c>
    </row>
    <row r="23" spans="2:32" x14ac:dyDescent="0.4">
      <c r="B23">
        <v>7</v>
      </c>
      <c r="C23" s="5"/>
      <c r="H23" s="6"/>
      <c r="J23" s="22" t="b">
        <f t="shared" si="4"/>
        <v>0</v>
      </c>
      <c r="L23">
        <f t="shared" si="0"/>
        <v>0</v>
      </c>
      <c r="M23">
        <f t="shared" si="5"/>
        <v>59924.159265542359</v>
      </c>
      <c r="N23">
        <f t="shared" si="6"/>
        <v>61570.159265542359</v>
      </c>
      <c r="O23">
        <f>SUM(Q16:Q22)</f>
        <v>59924.159265542359</v>
      </c>
      <c r="P23">
        <f t="shared" si="12"/>
        <v>0</v>
      </c>
      <c r="Q23">
        <f t="shared" si="7"/>
        <v>0</v>
      </c>
      <c r="R23">
        <f t="shared" si="8"/>
        <v>870</v>
      </c>
      <c r="S23">
        <f t="shared" si="1"/>
        <v>0</v>
      </c>
      <c r="T23" t="e">
        <f t="shared" si="2"/>
        <v>#N/A</v>
      </c>
      <c r="U23" t="b">
        <f t="shared" si="18"/>
        <v>0</v>
      </c>
      <c r="V23" t="b">
        <f t="shared" si="17"/>
        <v>0</v>
      </c>
      <c r="W23" t="b">
        <f t="shared" si="13"/>
        <v>1</v>
      </c>
      <c r="Y23" t="b">
        <f t="shared" si="14"/>
        <v>0</v>
      </c>
      <c r="Z23" t="b">
        <f t="shared" si="15"/>
        <v>0</v>
      </c>
      <c r="AB23">
        <f t="shared" si="9"/>
        <v>0</v>
      </c>
      <c r="AC23">
        <f t="shared" si="10"/>
        <v>0</v>
      </c>
      <c r="AD23">
        <f t="shared" si="11"/>
        <v>660.03690192226748</v>
      </c>
      <c r="AE23">
        <f t="shared" si="16"/>
        <v>0</v>
      </c>
      <c r="AF23" t="b">
        <f t="shared" si="3"/>
        <v>1</v>
      </c>
    </row>
    <row r="24" spans="2:32" x14ac:dyDescent="0.4">
      <c r="B24">
        <v>8</v>
      </c>
      <c r="C24" s="5"/>
      <c r="H24" s="6"/>
      <c r="J24" s="22" t="b">
        <f t="shared" si="4"/>
        <v>0</v>
      </c>
      <c r="L24">
        <f t="shared" si="0"/>
        <v>0</v>
      </c>
      <c r="M24">
        <f t="shared" si="5"/>
        <v>59924.159265542359</v>
      </c>
      <c r="N24">
        <f t="shared" si="6"/>
        <v>61570.159265542359</v>
      </c>
      <c r="O24">
        <f>SUM(Q16:Q23)</f>
        <v>59924.159265542359</v>
      </c>
      <c r="P24">
        <f t="shared" si="12"/>
        <v>0</v>
      </c>
      <c r="Q24">
        <f t="shared" si="7"/>
        <v>0</v>
      </c>
      <c r="R24">
        <f t="shared" si="8"/>
        <v>870</v>
      </c>
      <c r="S24">
        <f t="shared" si="1"/>
        <v>0</v>
      </c>
      <c r="T24" t="e">
        <f t="shared" si="2"/>
        <v>#N/A</v>
      </c>
      <c r="U24" t="b">
        <f t="shared" si="18"/>
        <v>0</v>
      </c>
      <c r="V24" t="b">
        <f t="shared" si="17"/>
        <v>0</v>
      </c>
      <c r="W24" t="b">
        <f t="shared" si="13"/>
        <v>1</v>
      </c>
      <c r="Y24" t="b">
        <f t="shared" si="14"/>
        <v>0</v>
      </c>
      <c r="Z24" t="b">
        <f t="shared" si="15"/>
        <v>0</v>
      </c>
      <c r="AB24">
        <f t="shared" si="9"/>
        <v>0</v>
      </c>
      <c r="AC24">
        <f t="shared" si="10"/>
        <v>0</v>
      </c>
      <c r="AD24">
        <f t="shared" si="11"/>
        <v>660.03690192226748</v>
      </c>
      <c r="AE24">
        <f t="shared" si="16"/>
        <v>0</v>
      </c>
      <c r="AF24" t="b">
        <f t="shared" si="3"/>
        <v>1</v>
      </c>
    </row>
    <row r="25" spans="2:32" x14ac:dyDescent="0.4">
      <c r="B25">
        <v>9</v>
      </c>
      <c r="C25" s="5"/>
      <c r="H25" s="6"/>
      <c r="J25" s="22" t="b">
        <f t="shared" si="4"/>
        <v>0</v>
      </c>
      <c r="L25">
        <f t="shared" si="0"/>
        <v>0</v>
      </c>
      <c r="M25">
        <f t="shared" si="5"/>
        <v>59924.159265542359</v>
      </c>
      <c r="N25">
        <f t="shared" si="6"/>
        <v>61570.159265542359</v>
      </c>
      <c r="O25">
        <f>SUM(Q16:Q24)</f>
        <v>59924.159265542359</v>
      </c>
      <c r="P25">
        <f t="shared" si="12"/>
        <v>0</v>
      </c>
      <c r="Q25">
        <f t="shared" si="7"/>
        <v>0</v>
      </c>
      <c r="R25">
        <f t="shared" si="8"/>
        <v>870</v>
      </c>
      <c r="S25">
        <f t="shared" si="1"/>
        <v>0</v>
      </c>
      <c r="T25" t="e">
        <f t="shared" si="2"/>
        <v>#N/A</v>
      </c>
      <c r="U25" t="b">
        <f t="shared" si="18"/>
        <v>0</v>
      </c>
      <c r="V25" t="b">
        <f t="shared" si="17"/>
        <v>0</v>
      </c>
      <c r="W25" t="b">
        <f t="shared" si="13"/>
        <v>1</v>
      </c>
      <c r="Y25" t="b">
        <f t="shared" si="14"/>
        <v>0</v>
      </c>
      <c r="Z25" t="b">
        <f t="shared" si="15"/>
        <v>0</v>
      </c>
      <c r="AB25">
        <f t="shared" si="9"/>
        <v>0</v>
      </c>
      <c r="AC25">
        <f t="shared" si="10"/>
        <v>0</v>
      </c>
      <c r="AD25">
        <f t="shared" si="11"/>
        <v>660.03690192226748</v>
      </c>
      <c r="AE25">
        <f t="shared" si="16"/>
        <v>0</v>
      </c>
      <c r="AF25" t="b">
        <f t="shared" si="3"/>
        <v>1</v>
      </c>
    </row>
    <row r="26" spans="2:32" x14ac:dyDescent="0.4">
      <c r="B26">
        <v>10</v>
      </c>
      <c r="C26" s="5"/>
      <c r="H26" s="6"/>
      <c r="J26" s="22" t="b">
        <f t="shared" si="4"/>
        <v>0</v>
      </c>
      <c r="L26">
        <f t="shared" si="0"/>
        <v>0</v>
      </c>
      <c r="M26">
        <f t="shared" si="5"/>
        <v>59924.159265542359</v>
      </c>
      <c r="N26">
        <f t="shared" si="6"/>
        <v>61570.159265542359</v>
      </c>
      <c r="O26">
        <f>SUM(Q16:Q25)</f>
        <v>59924.159265542359</v>
      </c>
      <c r="P26">
        <f t="shared" si="12"/>
        <v>0</v>
      </c>
      <c r="Q26">
        <f t="shared" si="7"/>
        <v>0</v>
      </c>
      <c r="R26">
        <f t="shared" si="8"/>
        <v>870</v>
      </c>
      <c r="S26">
        <f t="shared" si="1"/>
        <v>0</v>
      </c>
      <c r="T26" t="e">
        <f t="shared" si="2"/>
        <v>#N/A</v>
      </c>
      <c r="U26" t="b">
        <f t="shared" si="18"/>
        <v>0</v>
      </c>
      <c r="V26" t="b">
        <f t="shared" si="17"/>
        <v>0</v>
      </c>
      <c r="W26" t="b">
        <f t="shared" si="13"/>
        <v>1</v>
      </c>
      <c r="Y26" t="b">
        <f t="shared" si="14"/>
        <v>0</v>
      </c>
      <c r="Z26" t="b">
        <f t="shared" si="15"/>
        <v>0</v>
      </c>
      <c r="AB26">
        <f t="shared" si="9"/>
        <v>0</v>
      </c>
      <c r="AC26">
        <f t="shared" si="10"/>
        <v>0</v>
      </c>
      <c r="AD26">
        <f t="shared" si="11"/>
        <v>660.03690192226748</v>
      </c>
      <c r="AE26">
        <f t="shared" si="16"/>
        <v>0</v>
      </c>
      <c r="AF26" t="b">
        <f t="shared" si="3"/>
        <v>1</v>
      </c>
    </row>
    <row r="27" spans="2:32" x14ac:dyDescent="0.4">
      <c r="B27">
        <v>11</v>
      </c>
      <c r="C27" s="5"/>
      <c r="H27" s="6"/>
      <c r="J27" s="22" t="b">
        <f t="shared" si="4"/>
        <v>0</v>
      </c>
      <c r="L27">
        <f t="shared" si="0"/>
        <v>0</v>
      </c>
      <c r="M27">
        <f t="shared" si="5"/>
        <v>59924.159265542359</v>
      </c>
      <c r="N27">
        <f t="shared" si="6"/>
        <v>61570.159265542359</v>
      </c>
      <c r="O27">
        <f>SUM(Q16:Q26)</f>
        <v>59924.159265542359</v>
      </c>
      <c r="P27">
        <f t="shared" si="12"/>
        <v>0</v>
      </c>
      <c r="Q27">
        <f t="shared" si="7"/>
        <v>0</v>
      </c>
      <c r="R27">
        <f t="shared" si="8"/>
        <v>870</v>
      </c>
      <c r="S27">
        <f t="shared" si="1"/>
        <v>0</v>
      </c>
      <c r="T27" t="e">
        <f t="shared" si="2"/>
        <v>#N/A</v>
      </c>
      <c r="U27" t="b">
        <f t="shared" si="18"/>
        <v>0</v>
      </c>
      <c r="V27" t="b">
        <f t="shared" si="17"/>
        <v>0</v>
      </c>
      <c r="W27" t="b">
        <f t="shared" si="13"/>
        <v>1</v>
      </c>
      <c r="Y27" t="b">
        <f t="shared" si="14"/>
        <v>0</v>
      </c>
      <c r="Z27" t="b">
        <f t="shared" si="15"/>
        <v>0</v>
      </c>
      <c r="AB27">
        <f t="shared" si="9"/>
        <v>0</v>
      </c>
      <c r="AC27">
        <f t="shared" si="10"/>
        <v>0</v>
      </c>
      <c r="AD27">
        <f t="shared" si="11"/>
        <v>660.03690192226748</v>
      </c>
      <c r="AE27">
        <f t="shared" si="16"/>
        <v>0</v>
      </c>
      <c r="AF27" t="b">
        <f t="shared" si="3"/>
        <v>1</v>
      </c>
    </row>
    <row r="28" spans="2:32" x14ac:dyDescent="0.4">
      <c r="B28">
        <v>12</v>
      </c>
      <c r="C28" s="5"/>
      <c r="H28" s="6"/>
      <c r="J28" s="22" t="b">
        <f t="shared" si="4"/>
        <v>0</v>
      </c>
      <c r="L28">
        <f t="shared" si="0"/>
        <v>0</v>
      </c>
      <c r="M28">
        <f t="shared" si="5"/>
        <v>59924.159265542359</v>
      </c>
      <c r="N28">
        <f t="shared" si="6"/>
        <v>61570.159265542359</v>
      </c>
      <c r="O28">
        <f>SUM(Q16:Q27)</f>
        <v>59924.159265542359</v>
      </c>
      <c r="P28">
        <f t="shared" si="12"/>
        <v>0</v>
      </c>
      <c r="Q28">
        <f t="shared" si="7"/>
        <v>0</v>
      </c>
      <c r="R28">
        <f t="shared" si="8"/>
        <v>870</v>
      </c>
      <c r="S28">
        <f t="shared" si="1"/>
        <v>0</v>
      </c>
      <c r="T28" t="e">
        <f t="shared" si="2"/>
        <v>#N/A</v>
      </c>
      <c r="U28" t="b">
        <f t="shared" si="18"/>
        <v>0</v>
      </c>
      <c r="V28" t="b">
        <f t="shared" si="17"/>
        <v>0</v>
      </c>
      <c r="W28" t="b">
        <f t="shared" si="13"/>
        <v>1</v>
      </c>
      <c r="Y28" t="b">
        <f t="shared" si="14"/>
        <v>0</v>
      </c>
      <c r="Z28" t="b">
        <f t="shared" si="15"/>
        <v>0</v>
      </c>
      <c r="AB28">
        <f t="shared" si="9"/>
        <v>0</v>
      </c>
      <c r="AC28">
        <f t="shared" si="10"/>
        <v>0</v>
      </c>
      <c r="AD28">
        <f t="shared" si="11"/>
        <v>660.03690192226748</v>
      </c>
      <c r="AE28">
        <f t="shared" si="16"/>
        <v>0</v>
      </c>
      <c r="AF28" t="b">
        <f t="shared" si="3"/>
        <v>1</v>
      </c>
    </row>
    <row r="29" spans="2:32" x14ac:dyDescent="0.4">
      <c r="B29">
        <v>13</v>
      </c>
      <c r="C29" s="5"/>
      <c r="H29" s="6"/>
      <c r="J29" s="22" t="b">
        <f t="shared" si="4"/>
        <v>0</v>
      </c>
      <c r="L29">
        <f t="shared" si="0"/>
        <v>0</v>
      </c>
      <c r="M29">
        <f t="shared" si="5"/>
        <v>59924.159265542359</v>
      </c>
      <c r="N29">
        <f t="shared" si="6"/>
        <v>61570.159265542359</v>
      </c>
      <c r="O29">
        <f>SUM(Q16:Q28)</f>
        <v>59924.159265542359</v>
      </c>
      <c r="P29">
        <f t="shared" si="12"/>
        <v>0</v>
      </c>
      <c r="Q29">
        <f t="shared" si="7"/>
        <v>0</v>
      </c>
      <c r="R29">
        <f t="shared" si="8"/>
        <v>870</v>
      </c>
      <c r="S29">
        <f t="shared" si="1"/>
        <v>0</v>
      </c>
      <c r="T29" t="e">
        <f t="shared" si="2"/>
        <v>#N/A</v>
      </c>
      <c r="U29" t="b">
        <f t="shared" si="18"/>
        <v>0</v>
      </c>
      <c r="V29" t="b">
        <f t="shared" si="17"/>
        <v>0</v>
      </c>
      <c r="W29" t="b">
        <f t="shared" si="13"/>
        <v>1</v>
      </c>
      <c r="Y29" t="b">
        <f t="shared" si="14"/>
        <v>0</v>
      </c>
      <c r="Z29" t="b">
        <f t="shared" si="15"/>
        <v>0</v>
      </c>
      <c r="AB29">
        <f t="shared" si="9"/>
        <v>0</v>
      </c>
      <c r="AC29">
        <f t="shared" si="10"/>
        <v>0</v>
      </c>
      <c r="AD29">
        <f t="shared" si="11"/>
        <v>660.03690192226748</v>
      </c>
      <c r="AE29">
        <f t="shared" si="16"/>
        <v>0</v>
      </c>
      <c r="AF29" t="b">
        <f t="shared" si="3"/>
        <v>1</v>
      </c>
    </row>
    <row r="30" spans="2:32" x14ac:dyDescent="0.4">
      <c r="B30">
        <v>14</v>
      </c>
      <c r="C30" s="5"/>
      <c r="H30" s="6"/>
      <c r="J30" s="22" t="b">
        <f t="shared" si="4"/>
        <v>0</v>
      </c>
      <c r="L30">
        <f t="shared" si="0"/>
        <v>0</v>
      </c>
      <c r="M30">
        <f t="shared" si="5"/>
        <v>59924.159265542359</v>
      </c>
      <c r="N30">
        <f t="shared" si="6"/>
        <v>61570.159265542359</v>
      </c>
      <c r="O30">
        <f>SUM(Q16:Q29)</f>
        <v>59924.159265542359</v>
      </c>
      <c r="P30">
        <f t="shared" si="12"/>
        <v>0</v>
      </c>
      <c r="Q30">
        <f t="shared" si="7"/>
        <v>0</v>
      </c>
      <c r="R30">
        <f t="shared" si="8"/>
        <v>870</v>
      </c>
      <c r="S30">
        <f t="shared" si="1"/>
        <v>0</v>
      </c>
      <c r="T30" t="e">
        <f t="shared" si="2"/>
        <v>#N/A</v>
      </c>
      <c r="U30" t="b">
        <f t="shared" si="18"/>
        <v>0</v>
      </c>
      <c r="V30" t="b">
        <f t="shared" si="17"/>
        <v>0</v>
      </c>
      <c r="W30" t="b">
        <f t="shared" si="13"/>
        <v>1</v>
      </c>
      <c r="Y30" t="b">
        <f t="shared" si="14"/>
        <v>0</v>
      </c>
      <c r="Z30" t="b">
        <f t="shared" si="15"/>
        <v>0</v>
      </c>
      <c r="AB30">
        <f t="shared" si="9"/>
        <v>0</v>
      </c>
      <c r="AC30">
        <f t="shared" si="10"/>
        <v>0</v>
      </c>
      <c r="AD30">
        <f t="shared" si="11"/>
        <v>660.03690192226748</v>
      </c>
      <c r="AE30">
        <f t="shared" si="16"/>
        <v>0</v>
      </c>
      <c r="AF30" t="b">
        <f t="shared" si="3"/>
        <v>1</v>
      </c>
    </row>
    <row r="31" spans="2:32" x14ac:dyDescent="0.4">
      <c r="B31">
        <v>15</v>
      </c>
      <c r="C31" s="5"/>
      <c r="H31" s="6"/>
      <c r="J31" s="22" t="b">
        <f t="shared" si="4"/>
        <v>0</v>
      </c>
      <c r="L31">
        <f t="shared" si="0"/>
        <v>0</v>
      </c>
      <c r="M31">
        <f t="shared" si="5"/>
        <v>59924.159265542359</v>
      </c>
      <c r="N31">
        <f t="shared" si="6"/>
        <v>61570.159265542359</v>
      </c>
      <c r="O31">
        <f>SUM(Q16:Q30)</f>
        <v>59924.159265542359</v>
      </c>
      <c r="P31">
        <f t="shared" si="12"/>
        <v>0</v>
      </c>
      <c r="Q31">
        <f t="shared" si="7"/>
        <v>0</v>
      </c>
      <c r="R31">
        <f t="shared" si="8"/>
        <v>870</v>
      </c>
      <c r="S31">
        <f t="shared" si="1"/>
        <v>0</v>
      </c>
      <c r="T31" t="e">
        <f t="shared" si="2"/>
        <v>#N/A</v>
      </c>
      <c r="U31" t="b">
        <f t="shared" si="18"/>
        <v>0</v>
      </c>
      <c r="V31" t="b">
        <f t="shared" si="17"/>
        <v>0</v>
      </c>
      <c r="W31" t="b">
        <f t="shared" si="13"/>
        <v>1</v>
      </c>
      <c r="Y31" t="b">
        <f t="shared" si="14"/>
        <v>0</v>
      </c>
      <c r="Z31" t="b">
        <f t="shared" si="15"/>
        <v>0</v>
      </c>
      <c r="AB31">
        <f t="shared" si="9"/>
        <v>0</v>
      </c>
      <c r="AC31">
        <f t="shared" si="10"/>
        <v>0</v>
      </c>
      <c r="AD31">
        <f t="shared" si="11"/>
        <v>660.03690192226748</v>
      </c>
      <c r="AE31">
        <f t="shared" si="16"/>
        <v>0</v>
      </c>
      <c r="AF31" t="b">
        <f t="shared" si="3"/>
        <v>1</v>
      </c>
    </row>
    <row r="32" spans="2:32" x14ac:dyDescent="0.4">
      <c r="B32">
        <v>16</v>
      </c>
      <c r="C32" s="5"/>
      <c r="H32" s="6"/>
      <c r="J32" s="22" t="b">
        <f t="shared" si="4"/>
        <v>0</v>
      </c>
      <c r="L32">
        <f t="shared" si="0"/>
        <v>0</v>
      </c>
      <c r="M32">
        <f t="shared" si="5"/>
        <v>59924.159265542359</v>
      </c>
      <c r="N32">
        <f t="shared" si="6"/>
        <v>61570.159265542359</v>
      </c>
      <c r="O32">
        <f>SUM(Q16:Q31)</f>
        <v>59924.159265542359</v>
      </c>
      <c r="P32">
        <f t="shared" si="12"/>
        <v>0</v>
      </c>
      <c r="Q32">
        <f t="shared" si="7"/>
        <v>0</v>
      </c>
      <c r="R32">
        <f t="shared" si="8"/>
        <v>870</v>
      </c>
      <c r="S32">
        <f t="shared" si="1"/>
        <v>0</v>
      </c>
      <c r="T32" t="e">
        <f t="shared" si="2"/>
        <v>#N/A</v>
      </c>
      <c r="U32" t="b">
        <f t="shared" si="18"/>
        <v>0</v>
      </c>
      <c r="V32" t="b">
        <f t="shared" si="17"/>
        <v>0</v>
      </c>
      <c r="W32" t="b">
        <f t="shared" si="13"/>
        <v>1</v>
      </c>
      <c r="Y32" t="b">
        <f t="shared" si="14"/>
        <v>0</v>
      </c>
      <c r="Z32" t="b">
        <f t="shared" si="15"/>
        <v>0</v>
      </c>
      <c r="AB32">
        <f t="shared" si="9"/>
        <v>0</v>
      </c>
      <c r="AC32">
        <f t="shared" si="10"/>
        <v>0</v>
      </c>
      <c r="AD32">
        <f>1000000000 * ((AB32 - $AD$2*$AD$3 ) /($AD$11*1000000))+$AD$9</f>
        <v>660.03690192226748</v>
      </c>
      <c r="AE32">
        <f t="shared" si="16"/>
        <v>0</v>
      </c>
      <c r="AF32" t="b">
        <f t="shared" si="3"/>
        <v>1</v>
      </c>
    </row>
    <row r="33" spans="2:32" x14ac:dyDescent="0.4">
      <c r="B33">
        <v>17</v>
      </c>
      <c r="C33" s="5"/>
      <c r="H33" s="6"/>
      <c r="J33" s="22" t="b">
        <f t="shared" si="4"/>
        <v>0</v>
      </c>
      <c r="L33">
        <f t="shared" si="0"/>
        <v>0</v>
      </c>
      <c r="M33">
        <f t="shared" si="5"/>
        <v>59924.159265542359</v>
      </c>
      <c r="N33">
        <f t="shared" si="6"/>
        <v>61570.159265542359</v>
      </c>
      <c r="O33">
        <f>SUM(Q16:Q32)</f>
        <v>59924.159265542359</v>
      </c>
      <c r="P33">
        <f t="shared" si="12"/>
        <v>0</v>
      </c>
      <c r="Q33">
        <f t="shared" si="7"/>
        <v>0</v>
      </c>
      <c r="R33">
        <f t="shared" si="8"/>
        <v>870</v>
      </c>
      <c r="S33">
        <f t="shared" si="1"/>
        <v>0</v>
      </c>
      <c r="T33" t="e">
        <f t="shared" si="2"/>
        <v>#N/A</v>
      </c>
      <c r="U33" t="b">
        <f t="shared" si="18"/>
        <v>0</v>
      </c>
      <c r="V33" t="b">
        <f t="shared" si="17"/>
        <v>0</v>
      </c>
      <c r="W33" t="b">
        <f t="shared" si="13"/>
        <v>1</v>
      </c>
      <c r="Y33" t="b">
        <f t="shared" si="14"/>
        <v>0</v>
      </c>
      <c r="Z33" t="b">
        <f t="shared" si="15"/>
        <v>0</v>
      </c>
      <c r="AB33">
        <f t="shared" si="9"/>
        <v>0</v>
      </c>
      <c r="AC33">
        <f t="shared" si="10"/>
        <v>0</v>
      </c>
      <c r="AD33">
        <f t="shared" si="11"/>
        <v>660.03690192226748</v>
      </c>
      <c r="AE33">
        <f t="shared" si="16"/>
        <v>0</v>
      </c>
      <c r="AF33" t="b">
        <f t="shared" si="3"/>
        <v>1</v>
      </c>
    </row>
    <row r="34" spans="2:32" x14ac:dyDescent="0.4">
      <c r="B34">
        <v>18</v>
      </c>
      <c r="C34" s="5"/>
      <c r="H34" s="6"/>
      <c r="J34" s="22" t="b">
        <f t="shared" si="4"/>
        <v>0</v>
      </c>
      <c r="L34">
        <f t="shared" si="0"/>
        <v>0</v>
      </c>
      <c r="M34">
        <f t="shared" si="5"/>
        <v>59924.159265542359</v>
      </c>
      <c r="N34">
        <f t="shared" si="6"/>
        <v>61570.159265542359</v>
      </c>
      <c r="O34">
        <f>SUM(Q16:Q33)</f>
        <v>59924.159265542359</v>
      </c>
      <c r="P34">
        <f t="shared" si="12"/>
        <v>0</v>
      </c>
      <c r="Q34">
        <f t="shared" si="7"/>
        <v>0</v>
      </c>
      <c r="R34">
        <f t="shared" si="8"/>
        <v>870</v>
      </c>
      <c r="S34">
        <f t="shared" si="1"/>
        <v>0</v>
      </c>
      <c r="T34" t="e">
        <f t="shared" si="2"/>
        <v>#N/A</v>
      </c>
      <c r="U34" t="b">
        <f t="shared" si="18"/>
        <v>0</v>
      </c>
      <c r="V34" t="b">
        <f t="shared" si="17"/>
        <v>0</v>
      </c>
      <c r="W34" t="b">
        <f t="shared" si="13"/>
        <v>1</v>
      </c>
      <c r="Y34" t="b">
        <f t="shared" si="14"/>
        <v>0</v>
      </c>
      <c r="Z34" t="b">
        <f t="shared" si="15"/>
        <v>0</v>
      </c>
      <c r="AB34">
        <f t="shared" si="9"/>
        <v>0</v>
      </c>
      <c r="AC34">
        <f t="shared" si="10"/>
        <v>0</v>
      </c>
      <c r="AD34">
        <f>1000000000 * ((AB34 - $AD$2*$AD$3 ) /($AD$11*1000000))+$AD$9</f>
        <v>660.03690192226748</v>
      </c>
      <c r="AE34">
        <f>AB34*1000/$U$4</f>
        <v>0</v>
      </c>
      <c r="AF34" t="b">
        <f t="shared" si="3"/>
        <v>1</v>
      </c>
    </row>
    <row r="35" spans="2:32" x14ac:dyDescent="0.4">
      <c r="B35">
        <v>19</v>
      </c>
      <c r="C35" s="5"/>
      <c r="H35" s="6"/>
      <c r="J35" s="22" t="b">
        <f t="shared" si="4"/>
        <v>0</v>
      </c>
      <c r="L35">
        <f t="shared" si="0"/>
        <v>0</v>
      </c>
      <c r="M35">
        <f t="shared" si="5"/>
        <v>59924.159265542359</v>
      </c>
      <c r="N35">
        <f t="shared" si="6"/>
        <v>61570.159265542359</v>
      </c>
      <c r="O35">
        <f>SUM(Q16:Q34)</f>
        <v>59924.159265542359</v>
      </c>
      <c r="P35">
        <f t="shared" si="12"/>
        <v>0</v>
      </c>
      <c r="Q35">
        <f t="shared" si="7"/>
        <v>0</v>
      </c>
      <c r="R35">
        <f t="shared" si="8"/>
        <v>870</v>
      </c>
      <c r="S35">
        <f t="shared" si="1"/>
        <v>0</v>
      </c>
      <c r="T35" t="e">
        <f t="shared" si="2"/>
        <v>#N/A</v>
      </c>
      <c r="U35" t="b">
        <f t="shared" si="18"/>
        <v>0</v>
      </c>
      <c r="V35" t="b">
        <f t="shared" si="17"/>
        <v>0</v>
      </c>
      <c r="W35" t="b">
        <f t="shared" si="13"/>
        <v>1</v>
      </c>
      <c r="Y35" t="b">
        <f t="shared" si="14"/>
        <v>0</v>
      </c>
      <c r="Z35" t="b">
        <f t="shared" si="15"/>
        <v>0</v>
      </c>
      <c r="AB35">
        <f t="shared" si="9"/>
        <v>0</v>
      </c>
      <c r="AC35">
        <f t="shared" si="10"/>
        <v>0</v>
      </c>
      <c r="AD35">
        <f t="shared" si="11"/>
        <v>660.03690192226748</v>
      </c>
      <c r="AE35">
        <f t="shared" si="16"/>
        <v>0</v>
      </c>
      <c r="AF35" t="b">
        <f t="shared" si="3"/>
        <v>1</v>
      </c>
    </row>
    <row r="36" spans="2:32" x14ac:dyDescent="0.4">
      <c r="B36">
        <v>20</v>
      </c>
      <c r="C36" s="5"/>
      <c r="H36" s="6"/>
      <c r="J36" s="22" t="b">
        <f t="shared" si="4"/>
        <v>0</v>
      </c>
      <c r="L36">
        <f t="shared" si="0"/>
        <v>0</v>
      </c>
      <c r="M36">
        <f t="shared" si="5"/>
        <v>59924.159265542359</v>
      </c>
      <c r="N36">
        <f t="shared" si="6"/>
        <v>61570.159265542359</v>
      </c>
      <c r="O36">
        <f>SUM(Q16:Q35)</f>
        <v>59924.159265542359</v>
      </c>
      <c r="P36">
        <f t="shared" si="12"/>
        <v>0</v>
      </c>
      <c r="Q36">
        <f t="shared" si="7"/>
        <v>0</v>
      </c>
      <c r="R36">
        <f t="shared" si="8"/>
        <v>870</v>
      </c>
      <c r="S36">
        <f t="shared" si="1"/>
        <v>0</v>
      </c>
      <c r="T36" t="e">
        <f t="shared" si="2"/>
        <v>#N/A</v>
      </c>
      <c r="U36" t="b">
        <f t="shared" si="18"/>
        <v>0</v>
      </c>
      <c r="V36" t="b">
        <f t="shared" si="17"/>
        <v>0</v>
      </c>
      <c r="W36" t="b">
        <f t="shared" si="13"/>
        <v>1</v>
      </c>
      <c r="Y36" t="b">
        <f t="shared" si="14"/>
        <v>0</v>
      </c>
      <c r="Z36" t="b">
        <f t="shared" si="15"/>
        <v>0</v>
      </c>
      <c r="AB36">
        <f t="shared" si="9"/>
        <v>0</v>
      </c>
      <c r="AC36">
        <f t="shared" si="10"/>
        <v>0</v>
      </c>
      <c r="AD36">
        <f t="shared" si="11"/>
        <v>660.03690192226748</v>
      </c>
      <c r="AE36">
        <f t="shared" si="16"/>
        <v>0</v>
      </c>
      <c r="AF36" t="b">
        <f>IF($D$8="いいえ", TRUE, IF(AND($D$9 &lt; AE36, AC36 &gt; 1), TRUE, FALSE))</f>
        <v>1</v>
      </c>
    </row>
    <row r="37" spans="2:32" x14ac:dyDescent="0.4">
      <c r="B37">
        <v>21</v>
      </c>
      <c r="C37" s="5"/>
      <c r="H37" s="6"/>
      <c r="J37" s="22" t="b">
        <f t="shared" si="4"/>
        <v>0</v>
      </c>
      <c r="L37">
        <f t="shared" si="0"/>
        <v>0</v>
      </c>
      <c r="M37">
        <f t="shared" si="5"/>
        <v>59924.159265542359</v>
      </c>
      <c r="N37">
        <f t="shared" si="6"/>
        <v>61570.159265542359</v>
      </c>
      <c r="O37">
        <f>SUM(Q16:Q36)</f>
        <v>59924.159265542359</v>
      </c>
      <c r="P37">
        <f t="shared" si="12"/>
        <v>0</v>
      </c>
      <c r="Q37">
        <f t="shared" si="7"/>
        <v>0</v>
      </c>
      <c r="R37">
        <f t="shared" si="8"/>
        <v>870</v>
      </c>
      <c r="S37">
        <f t="shared" si="1"/>
        <v>0</v>
      </c>
      <c r="T37" t="e">
        <f t="shared" si="2"/>
        <v>#N/A</v>
      </c>
      <c r="U37" t="b">
        <f t="shared" si="18"/>
        <v>0</v>
      </c>
      <c r="V37" t="b">
        <f t="shared" si="17"/>
        <v>0</v>
      </c>
      <c r="W37" t="b">
        <f t="shared" si="13"/>
        <v>1</v>
      </c>
      <c r="Y37" t="b">
        <f t="shared" si="14"/>
        <v>0</v>
      </c>
      <c r="Z37" t="b">
        <f t="shared" si="15"/>
        <v>0</v>
      </c>
      <c r="AB37">
        <f t="shared" si="9"/>
        <v>0</v>
      </c>
      <c r="AC37">
        <f t="shared" si="10"/>
        <v>0</v>
      </c>
      <c r="AD37">
        <f t="shared" si="11"/>
        <v>660.03690192226748</v>
      </c>
      <c r="AE37">
        <f t="shared" si="16"/>
        <v>0</v>
      </c>
      <c r="AF37" t="b">
        <f t="shared" si="3"/>
        <v>1</v>
      </c>
    </row>
    <row r="38" spans="2:32" x14ac:dyDescent="0.4">
      <c r="B38">
        <v>22</v>
      </c>
      <c r="C38" s="5"/>
      <c r="H38" s="6"/>
      <c r="J38" s="22" t="b">
        <f t="shared" si="4"/>
        <v>0</v>
      </c>
      <c r="L38">
        <f t="shared" si="0"/>
        <v>0</v>
      </c>
      <c r="M38">
        <f t="shared" si="5"/>
        <v>59924.159265542359</v>
      </c>
      <c r="N38">
        <f t="shared" si="6"/>
        <v>61570.159265542359</v>
      </c>
      <c r="O38">
        <f>SUM(Q16:Q37)</f>
        <v>59924.159265542359</v>
      </c>
      <c r="P38">
        <f t="shared" si="12"/>
        <v>0</v>
      </c>
      <c r="Q38">
        <f t="shared" si="7"/>
        <v>0</v>
      </c>
      <c r="R38">
        <f t="shared" si="8"/>
        <v>870</v>
      </c>
      <c r="S38">
        <f t="shared" si="1"/>
        <v>0</v>
      </c>
      <c r="T38" t="e">
        <f t="shared" si="2"/>
        <v>#N/A</v>
      </c>
      <c r="U38" t="b">
        <f t="shared" si="18"/>
        <v>0</v>
      </c>
      <c r="V38" t="b">
        <f t="shared" si="17"/>
        <v>0</v>
      </c>
      <c r="W38" t="b">
        <f t="shared" si="13"/>
        <v>1</v>
      </c>
      <c r="Y38" t="b">
        <f t="shared" si="14"/>
        <v>0</v>
      </c>
      <c r="Z38" t="b">
        <f t="shared" si="15"/>
        <v>0</v>
      </c>
      <c r="AB38">
        <f t="shared" si="9"/>
        <v>0</v>
      </c>
      <c r="AC38">
        <f t="shared" si="10"/>
        <v>0</v>
      </c>
      <c r="AD38">
        <f t="shared" si="11"/>
        <v>660.03690192226748</v>
      </c>
      <c r="AE38">
        <f t="shared" si="16"/>
        <v>0</v>
      </c>
      <c r="AF38" t="b">
        <f t="shared" si="3"/>
        <v>1</v>
      </c>
    </row>
    <row r="39" spans="2:32" x14ac:dyDescent="0.4">
      <c r="B39">
        <v>23</v>
      </c>
      <c r="C39" s="5"/>
      <c r="H39" s="6"/>
      <c r="J39" s="22" t="b">
        <f t="shared" si="4"/>
        <v>0</v>
      </c>
      <c r="L39">
        <f t="shared" si="0"/>
        <v>0</v>
      </c>
      <c r="M39">
        <f t="shared" si="5"/>
        <v>59924.159265542359</v>
      </c>
      <c r="N39">
        <f t="shared" si="6"/>
        <v>61570.159265542359</v>
      </c>
      <c r="O39">
        <f>SUM(Q16:Q38)</f>
        <v>59924.159265542359</v>
      </c>
      <c r="P39">
        <f t="shared" si="12"/>
        <v>0</v>
      </c>
      <c r="Q39">
        <f t="shared" si="7"/>
        <v>0</v>
      </c>
      <c r="R39">
        <f t="shared" si="8"/>
        <v>870</v>
      </c>
      <c r="S39">
        <f t="shared" si="1"/>
        <v>0</v>
      </c>
      <c r="T39" t="e">
        <f t="shared" si="2"/>
        <v>#N/A</v>
      </c>
      <c r="U39" t="b">
        <f t="shared" si="18"/>
        <v>0</v>
      </c>
      <c r="V39" t="b">
        <f t="shared" si="17"/>
        <v>0</v>
      </c>
      <c r="W39" t="b">
        <f t="shared" si="13"/>
        <v>1</v>
      </c>
      <c r="Y39" t="b">
        <f t="shared" si="14"/>
        <v>0</v>
      </c>
      <c r="Z39" t="b">
        <f t="shared" si="15"/>
        <v>0</v>
      </c>
      <c r="AB39">
        <f t="shared" si="9"/>
        <v>0</v>
      </c>
      <c r="AC39">
        <f t="shared" si="10"/>
        <v>0</v>
      </c>
      <c r="AD39">
        <f>1000000000 * ((AB39 - $AD$2*$AD$3 ) /($AD$11*1000000))+$AD$9</f>
        <v>660.03690192226748</v>
      </c>
      <c r="AE39">
        <f t="shared" si="16"/>
        <v>0</v>
      </c>
      <c r="AF39" t="b">
        <f t="shared" si="3"/>
        <v>1</v>
      </c>
    </row>
    <row r="40" spans="2:32" x14ac:dyDescent="0.4">
      <c r="B40">
        <v>24</v>
      </c>
      <c r="C40" s="5"/>
      <c r="H40" s="6"/>
      <c r="J40" s="22" t="b">
        <f t="shared" si="4"/>
        <v>0</v>
      </c>
      <c r="L40">
        <f t="shared" si="0"/>
        <v>0</v>
      </c>
      <c r="M40">
        <f t="shared" si="5"/>
        <v>59924.159265542359</v>
      </c>
      <c r="N40">
        <f t="shared" si="6"/>
        <v>61570.159265542359</v>
      </c>
      <c r="O40">
        <f>SUM(Q16:Q39)</f>
        <v>59924.159265542359</v>
      </c>
      <c r="P40">
        <f t="shared" si="12"/>
        <v>0</v>
      </c>
      <c r="Q40">
        <f t="shared" si="7"/>
        <v>0</v>
      </c>
      <c r="R40">
        <f t="shared" si="8"/>
        <v>870</v>
      </c>
      <c r="S40">
        <f t="shared" si="1"/>
        <v>0</v>
      </c>
      <c r="T40" t="e">
        <f t="shared" si="2"/>
        <v>#N/A</v>
      </c>
      <c r="U40" t="b">
        <f t="shared" si="18"/>
        <v>0</v>
      </c>
      <c r="V40" t="b">
        <f t="shared" si="17"/>
        <v>0</v>
      </c>
      <c r="W40" t="b">
        <f t="shared" si="13"/>
        <v>1</v>
      </c>
      <c r="Y40" t="b">
        <f t="shared" si="14"/>
        <v>0</v>
      </c>
      <c r="Z40" t="b">
        <f t="shared" si="15"/>
        <v>0</v>
      </c>
      <c r="AB40">
        <f t="shared" si="9"/>
        <v>0</v>
      </c>
      <c r="AC40">
        <f t="shared" si="10"/>
        <v>0</v>
      </c>
      <c r="AD40">
        <f t="shared" si="11"/>
        <v>660.03690192226748</v>
      </c>
      <c r="AE40">
        <f t="shared" si="16"/>
        <v>0</v>
      </c>
      <c r="AF40" t="b">
        <f t="shared" si="3"/>
        <v>1</v>
      </c>
    </row>
    <row r="41" spans="2:32" x14ac:dyDescent="0.4">
      <c r="B41">
        <v>25</v>
      </c>
      <c r="C41" s="5"/>
      <c r="H41" s="6"/>
      <c r="J41" s="22" t="b">
        <f t="shared" si="4"/>
        <v>0</v>
      </c>
      <c r="L41">
        <f t="shared" si="0"/>
        <v>0</v>
      </c>
      <c r="M41">
        <f t="shared" si="5"/>
        <v>59924.159265542359</v>
      </c>
      <c r="N41">
        <f t="shared" si="6"/>
        <v>61570.159265542359</v>
      </c>
      <c r="O41">
        <f>SUM(Q16:Q40)</f>
        <v>59924.159265542359</v>
      </c>
      <c r="P41">
        <f t="shared" si="12"/>
        <v>0</v>
      </c>
      <c r="Q41">
        <f t="shared" si="7"/>
        <v>0</v>
      </c>
      <c r="R41">
        <f t="shared" si="8"/>
        <v>870</v>
      </c>
      <c r="S41">
        <f t="shared" si="1"/>
        <v>0</v>
      </c>
      <c r="T41" t="e">
        <f t="shared" si="2"/>
        <v>#N/A</v>
      </c>
      <c r="U41" t="b">
        <f t="shared" si="18"/>
        <v>0</v>
      </c>
      <c r="V41" t="b">
        <f t="shared" si="17"/>
        <v>0</v>
      </c>
      <c r="W41" t="b">
        <f t="shared" si="13"/>
        <v>1</v>
      </c>
      <c r="Y41" t="b">
        <f t="shared" si="14"/>
        <v>0</v>
      </c>
      <c r="Z41" t="b">
        <f t="shared" si="15"/>
        <v>0</v>
      </c>
      <c r="AB41">
        <f t="shared" si="9"/>
        <v>0</v>
      </c>
      <c r="AC41">
        <f t="shared" si="10"/>
        <v>0</v>
      </c>
      <c r="AD41">
        <f t="shared" si="11"/>
        <v>660.03690192226748</v>
      </c>
      <c r="AE41">
        <f>AB41*1000/$U$4</f>
        <v>0</v>
      </c>
      <c r="AF41" t="b">
        <f t="shared" si="3"/>
        <v>1</v>
      </c>
    </row>
    <row r="42" spans="2:32" x14ac:dyDescent="0.4">
      <c r="B42">
        <v>26</v>
      </c>
      <c r="C42" s="5"/>
      <c r="H42" s="6"/>
      <c r="J42" s="22" t="b">
        <f t="shared" si="4"/>
        <v>0</v>
      </c>
      <c r="L42">
        <f t="shared" si="0"/>
        <v>0</v>
      </c>
      <c r="M42">
        <f t="shared" si="5"/>
        <v>59924.159265542359</v>
      </c>
      <c r="N42">
        <f t="shared" si="6"/>
        <v>61570.159265542359</v>
      </c>
      <c r="O42">
        <f>SUM(Q16:Q41)</f>
        <v>59924.159265542359</v>
      </c>
      <c r="P42">
        <f t="shared" si="12"/>
        <v>0</v>
      </c>
      <c r="Q42">
        <f t="shared" si="7"/>
        <v>0</v>
      </c>
      <c r="R42">
        <f t="shared" si="8"/>
        <v>870</v>
      </c>
      <c r="S42">
        <f t="shared" si="1"/>
        <v>0</v>
      </c>
      <c r="T42" t="e">
        <f t="shared" si="2"/>
        <v>#N/A</v>
      </c>
      <c r="U42" t="b">
        <f t="shared" si="18"/>
        <v>0</v>
      </c>
      <c r="V42" t="b">
        <f t="shared" si="17"/>
        <v>0</v>
      </c>
      <c r="W42" t="b">
        <f t="shared" si="13"/>
        <v>1</v>
      </c>
      <c r="Y42" t="b">
        <f t="shared" si="14"/>
        <v>0</v>
      </c>
      <c r="Z42" t="b">
        <f t="shared" si="15"/>
        <v>0</v>
      </c>
      <c r="AB42">
        <f t="shared" si="9"/>
        <v>0</v>
      </c>
      <c r="AC42">
        <f t="shared" si="10"/>
        <v>0</v>
      </c>
      <c r="AD42">
        <f t="shared" si="11"/>
        <v>660.03690192226748</v>
      </c>
      <c r="AE42">
        <f t="shared" si="16"/>
        <v>0</v>
      </c>
      <c r="AF42" t="b">
        <f t="shared" si="3"/>
        <v>1</v>
      </c>
    </row>
    <row r="43" spans="2:32" x14ac:dyDescent="0.4">
      <c r="B43">
        <v>27</v>
      </c>
      <c r="C43" s="5"/>
      <c r="H43" s="6"/>
      <c r="J43" s="22" t="b">
        <f t="shared" si="4"/>
        <v>0</v>
      </c>
      <c r="L43">
        <f t="shared" si="0"/>
        <v>0</v>
      </c>
      <c r="M43">
        <f t="shared" si="5"/>
        <v>59924.159265542359</v>
      </c>
      <c r="N43">
        <f t="shared" si="6"/>
        <v>61570.159265542359</v>
      </c>
      <c r="O43">
        <f>SUM(Q16:Q42)</f>
        <v>59924.159265542359</v>
      </c>
      <c r="P43">
        <f t="shared" si="12"/>
        <v>0</v>
      </c>
      <c r="Q43">
        <f t="shared" si="7"/>
        <v>0</v>
      </c>
      <c r="R43">
        <f t="shared" si="8"/>
        <v>870</v>
      </c>
      <c r="S43">
        <f t="shared" si="1"/>
        <v>0</v>
      </c>
      <c r="T43" t="e">
        <f t="shared" si="2"/>
        <v>#N/A</v>
      </c>
      <c r="U43" t="b">
        <f t="shared" si="18"/>
        <v>0</v>
      </c>
      <c r="V43" t="b">
        <f t="shared" si="17"/>
        <v>0</v>
      </c>
      <c r="W43" t="b">
        <f t="shared" si="13"/>
        <v>1</v>
      </c>
      <c r="Y43" t="b">
        <f t="shared" si="14"/>
        <v>0</v>
      </c>
      <c r="Z43" t="b">
        <f t="shared" si="15"/>
        <v>0</v>
      </c>
      <c r="AB43">
        <f t="shared" si="9"/>
        <v>0</v>
      </c>
      <c r="AC43">
        <f t="shared" si="10"/>
        <v>0</v>
      </c>
      <c r="AD43">
        <f t="shared" si="11"/>
        <v>660.03690192226748</v>
      </c>
      <c r="AE43">
        <f t="shared" si="16"/>
        <v>0</v>
      </c>
      <c r="AF43" t="b">
        <f t="shared" si="3"/>
        <v>1</v>
      </c>
    </row>
    <row r="44" spans="2:32" x14ac:dyDescent="0.4">
      <c r="B44">
        <v>28</v>
      </c>
      <c r="C44" s="5"/>
      <c r="H44" s="6"/>
      <c r="J44" s="22" t="b">
        <f t="shared" si="4"/>
        <v>0</v>
      </c>
      <c r="L44">
        <f t="shared" si="0"/>
        <v>0</v>
      </c>
      <c r="M44">
        <f t="shared" si="5"/>
        <v>59924.159265542359</v>
      </c>
      <c r="N44">
        <f t="shared" si="6"/>
        <v>61570.159265542359</v>
      </c>
      <c r="O44">
        <f>SUM(Q16:Q43)</f>
        <v>59924.159265542359</v>
      </c>
      <c r="P44">
        <f t="shared" si="12"/>
        <v>0</v>
      </c>
      <c r="Q44">
        <f t="shared" si="7"/>
        <v>0</v>
      </c>
      <c r="R44">
        <f t="shared" si="8"/>
        <v>870</v>
      </c>
      <c r="S44">
        <f t="shared" si="1"/>
        <v>0</v>
      </c>
      <c r="T44" t="e">
        <f t="shared" si="2"/>
        <v>#N/A</v>
      </c>
      <c r="U44" t="b">
        <f t="shared" si="18"/>
        <v>0</v>
      </c>
      <c r="V44" t="b">
        <f t="shared" si="17"/>
        <v>0</v>
      </c>
      <c r="W44" t="b">
        <f t="shared" si="13"/>
        <v>1</v>
      </c>
      <c r="Y44" t="b">
        <f t="shared" si="14"/>
        <v>0</v>
      </c>
      <c r="Z44" t="b">
        <f t="shared" si="15"/>
        <v>0</v>
      </c>
      <c r="AB44">
        <f t="shared" si="9"/>
        <v>0</v>
      </c>
      <c r="AC44">
        <f t="shared" si="10"/>
        <v>0</v>
      </c>
      <c r="AD44">
        <f t="shared" si="11"/>
        <v>660.03690192226748</v>
      </c>
      <c r="AE44">
        <f t="shared" si="16"/>
        <v>0</v>
      </c>
      <c r="AF44" t="b">
        <f t="shared" si="3"/>
        <v>1</v>
      </c>
    </row>
    <row r="45" spans="2:32" x14ac:dyDescent="0.4">
      <c r="B45">
        <v>29</v>
      </c>
      <c r="C45" s="5"/>
      <c r="H45" s="6"/>
      <c r="J45" s="22" t="b">
        <f t="shared" si="4"/>
        <v>0</v>
      </c>
      <c r="L45">
        <f t="shared" si="0"/>
        <v>0</v>
      </c>
      <c r="M45">
        <f t="shared" si="5"/>
        <v>59924.159265542359</v>
      </c>
      <c r="N45">
        <f t="shared" si="6"/>
        <v>61570.159265542359</v>
      </c>
      <c r="O45">
        <f>SUM(Q16:Q44)</f>
        <v>59924.159265542359</v>
      </c>
      <c r="P45">
        <f t="shared" si="12"/>
        <v>0</v>
      </c>
      <c r="Q45">
        <f t="shared" si="7"/>
        <v>0</v>
      </c>
      <c r="R45">
        <f t="shared" si="8"/>
        <v>870</v>
      </c>
      <c r="S45">
        <f t="shared" si="1"/>
        <v>0</v>
      </c>
      <c r="T45" t="e">
        <f t="shared" si="2"/>
        <v>#N/A</v>
      </c>
      <c r="U45" t="b">
        <f t="shared" si="18"/>
        <v>0</v>
      </c>
      <c r="V45" t="b">
        <f t="shared" si="17"/>
        <v>0</v>
      </c>
      <c r="W45" t="b">
        <f t="shared" si="13"/>
        <v>1</v>
      </c>
      <c r="Y45" t="b">
        <f t="shared" si="14"/>
        <v>0</v>
      </c>
      <c r="Z45" t="b">
        <f t="shared" si="15"/>
        <v>0</v>
      </c>
      <c r="AB45">
        <f t="shared" si="9"/>
        <v>0</v>
      </c>
      <c r="AC45">
        <f t="shared" si="10"/>
        <v>0</v>
      </c>
      <c r="AD45">
        <f t="shared" si="11"/>
        <v>660.03690192226748</v>
      </c>
      <c r="AE45">
        <f t="shared" si="16"/>
        <v>0</v>
      </c>
      <c r="AF45" t="b">
        <f t="shared" si="3"/>
        <v>1</v>
      </c>
    </row>
    <row r="46" spans="2:32" x14ac:dyDescent="0.4">
      <c r="B46">
        <v>30</v>
      </c>
      <c r="C46" s="5"/>
      <c r="H46" s="6"/>
      <c r="J46" s="22" t="b">
        <f t="shared" si="4"/>
        <v>0</v>
      </c>
      <c r="L46">
        <f t="shared" si="0"/>
        <v>0</v>
      </c>
      <c r="M46">
        <f t="shared" si="5"/>
        <v>59924.159265542359</v>
      </c>
      <c r="N46">
        <f t="shared" si="6"/>
        <v>61570.159265542359</v>
      </c>
      <c r="O46">
        <f>SUM(Q16:Q45)</f>
        <v>59924.159265542359</v>
      </c>
      <c r="P46">
        <f t="shared" si="12"/>
        <v>0</v>
      </c>
      <c r="Q46">
        <f t="shared" si="7"/>
        <v>0</v>
      </c>
      <c r="R46">
        <f t="shared" si="8"/>
        <v>870</v>
      </c>
      <c r="S46">
        <f t="shared" si="1"/>
        <v>0</v>
      </c>
      <c r="T46" t="e">
        <f t="shared" si="2"/>
        <v>#N/A</v>
      </c>
      <c r="U46" t="b">
        <f t="shared" si="18"/>
        <v>0</v>
      </c>
      <c r="V46" t="b">
        <f t="shared" si="17"/>
        <v>0</v>
      </c>
      <c r="W46" t="b">
        <f t="shared" si="13"/>
        <v>1</v>
      </c>
      <c r="Y46" t="b">
        <f t="shared" si="14"/>
        <v>0</v>
      </c>
      <c r="Z46" t="b">
        <f t="shared" si="15"/>
        <v>0</v>
      </c>
      <c r="AB46">
        <f t="shared" si="9"/>
        <v>0</v>
      </c>
      <c r="AC46">
        <f t="shared" si="10"/>
        <v>0</v>
      </c>
      <c r="AD46">
        <f t="shared" si="11"/>
        <v>660.03690192226748</v>
      </c>
      <c r="AE46">
        <f t="shared" si="16"/>
        <v>0</v>
      </c>
      <c r="AF46" t="b">
        <f t="shared" si="3"/>
        <v>1</v>
      </c>
    </row>
    <row r="47" spans="2:32" x14ac:dyDescent="0.4">
      <c r="B47">
        <v>31</v>
      </c>
      <c r="C47" s="7"/>
      <c r="D47" s="8"/>
      <c r="E47" s="8"/>
      <c r="F47" s="8"/>
      <c r="G47" s="8"/>
      <c r="H47" s="9"/>
      <c r="J47" s="22" t="b">
        <f t="shared" si="4"/>
        <v>0</v>
      </c>
      <c r="L47">
        <f t="shared" si="0"/>
        <v>0</v>
      </c>
      <c r="M47">
        <f t="shared" si="5"/>
        <v>59924.159265542359</v>
      </c>
      <c r="N47">
        <f t="shared" si="6"/>
        <v>61570.159265542359</v>
      </c>
      <c r="O47">
        <f>SUM(Q16:Q46)</f>
        <v>59924.159265542359</v>
      </c>
      <c r="P47">
        <f t="shared" si="12"/>
        <v>0</v>
      </c>
      <c r="Q47">
        <f t="shared" si="7"/>
        <v>0</v>
      </c>
      <c r="R47">
        <f t="shared" si="8"/>
        <v>870</v>
      </c>
      <c r="S47">
        <f t="shared" si="1"/>
        <v>0</v>
      </c>
      <c r="T47" t="e">
        <f t="shared" si="2"/>
        <v>#N/A</v>
      </c>
      <c r="U47" t="b">
        <f t="shared" si="18"/>
        <v>0</v>
      </c>
      <c r="V47" t="b">
        <f t="shared" si="17"/>
        <v>0</v>
      </c>
      <c r="W47" t="b">
        <f t="shared" si="13"/>
        <v>1</v>
      </c>
      <c r="Y47" t="b">
        <f t="shared" si="14"/>
        <v>0</v>
      </c>
      <c r="Z47" t="b">
        <f>V47</f>
        <v>0</v>
      </c>
      <c r="AB47">
        <f t="shared" si="9"/>
        <v>0</v>
      </c>
      <c r="AC47">
        <f t="shared" si="10"/>
        <v>0</v>
      </c>
      <c r="AD47">
        <f t="shared" si="11"/>
        <v>660.03690192226748</v>
      </c>
      <c r="AE47">
        <f t="shared" si="16"/>
        <v>0</v>
      </c>
      <c r="AF47" t="b">
        <f t="shared" si="3"/>
        <v>1</v>
      </c>
    </row>
    <row r="49" spans="2:31" x14ac:dyDescent="0.4">
      <c r="B49">
        <v>32</v>
      </c>
      <c r="C49">
        <f t="shared" ref="C49:H49" si="19">IF($D$10="あり", C16, 0)</f>
        <v>10.021000000000001</v>
      </c>
      <c r="D49">
        <f t="shared" si="19"/>
        <v>300</v>
      </c>
      <c r="E49">
        <f t="shared" si="19"/>
        <v>167</v>
      </c>
      <c r="F49">
        <f t="shared" si="19"/>
        <v>0</v>
      </c>
      <c r="G49">
        <f t="shared" si="19"/>
        <v>29937.132022752219</v>
      </c>
      <c r="H49">
        <f t="shared" si="19"/>
        <v>0</v>
      </c>
      <c r="L49">
        <f>G49*IF($D$8="はい", H49, 1)</f>
        <v>29937.132022752219</v>
      </c>
      <c r="M49">
        <f ca="1">O49+E49</f>
        <v>60091.159265542359</v>
      </c>
      <c r="N49">
        <f ca="1">M49+L49+SUM($U$7:$U$9)</f>
        <v>91674.291288294582</v>
      </c>
      <c r="O49">
        <f ca="1">SUM(Q16:OFFSET(Q16, U6 - 1, 0))</f>
        <v>59924.159265542359</v>
      </c>
      <c r="P49">
        <f>IF(C49&lt;=0, 0, 1000 *D49 / C49)</f>
        <v>29937.132022752219</v>
      </c>
      <c r="Q49">
        <f>P49+F49</f>
        <v>29937.132022752219</v>
      </c>
      <c r="R49">
        <f ca="1">MAX(0, OFFSET(E16, $U$6 - 1, 0) + OFFSET(G16, $U$6 - 1, 0)  + $U$8 - (OFFSET(Q16, $U$6 - 1, 0) + E49))</f>
        <v>870</v>
      </c>
      <c r="S49">
        <f>$U$12*(G49/1000000000)</f>
        <v>0.41201157569104874</v>
      </c>
      <c r="T49">
        <f ca="1">IF((G49-R49) &gt; 0, S49/((G49-R49)/1000000000), NA())</f>
        <v>14174.483239988995</v>
      </c>
      <c r="U49" t="b">
        <f ca="1">IF(ISNA(T49), "FALSE", IF($U$10&gt;T49,TRUE, FALSE))</f>
        <v>1</v>
      </c>
      <c r="V49" t="b">
        <f ca="1">IF($U$6=1, TRUE, IF(M49&gt;= OFFSET(N16, $U$6-2, 0), TRUE, FALSE))</f>
        <v>1</v>
      </c>
      <c r="AB49">
        <f t="shared" si="9"/>
        <v>103002.89392276219</v>
      </c>
      <c r="AC49">
        <f t="shared" si="10"/>
        <v>101</v>
      </c>
      <c r="AD49">
        <f t="shared" si="11"/>
        <v>15112.526578190289</v>
      </c>
      <c r="AE49">
        <f>AB49*1000/$U$4</f>
        <v>79050.570930746107</v>
      </c>
    </row>
    <row r="50" spans="2:31" x14ac:dyDescent="0.4">
      <c r="B50">
        <v>33</v>
      </c>
      <c r="C50">
        <f>IF($D$10="あり",IF($U$6=1, C16, C17), 0)</f>
        <v>20.042000000000002</v>
      </c>
      <c r="D50">
        <f t="shared" ref="D50:H50" si="20">IF($D$10="あり",IF($U$6=1, D16, D17), 0)</f>
        <v>601</v>
      </c>
      <c r="E50">
        <f t="shared" si="20"/>
        <v>167</v>
      </c>
      <c r="F50">
        <f t="shared" si="20"/>
        <v>0</v>
      </c>
      <c r="G50">
        <f t="shared" si="20"/>
        <v>29987.02724279014</v>
      </c>
      <c r="H50">
        <f t="shared" si="20"/>
        <v>0</v>
      </c>
      <c r="L50">
        <f>G50*IF($D$8="はい", H50, 1)</f>
        <v>29987.02724279014</v>
      </c>
      <c r="M50">
        <f ca="1">O50+E50</f>
        <v>90028.291288294582</v>
      </c>
      <c r="N50">
        <f ca="1">M50+L50+SUM($U$7:$U$9)</f>
        <v>121661.31853108472</v>
      </c>
      <c r="O50">
        <f ca="1">SUM(Q16:OFFSET(Q16, U6 - 1, 0))+SUM(Q49:Q49)</f>
        <v>89861.291288294582</v>
      </c>
      <c r="P50">
        <f>IF(C50&lt;=0, 0, 1000 *D50 / C50)</f>
        <v>29987.02724279014</v>
      </c>
      <c r="Q50">
        <f>P50+F50</f>
        <v>29987.02724279014</v>
      </c>
      <c r="R50">
        <f>MAX(0, E49+G49+$U$8 - (Q49+E50))</f>
        <v>870</v>
      </c>
      <c r="S50">
        <f>$U$12*(G50/1000000000)</f>
        <v>0.41269826165053386</v>
      </c>
      <c r="T50">
        <f>IF((G50-R50) &gt; 0, S50/((G50-R50)/1000000000), NA())</f>
        <v>14173.777364333264</v>
      </c>
      <c r="U50" t="b">
        <f>IF(ISNA(T50), FALSE, IF($U$10&gt;T50,TRUE, FALSE))</f>
        <v>1</v>
      </c>
      <c r="V50" t="b">
        <f ca="1">IF(M50 &gt;= OFFSET(N16, $U$6-1, 0), TRUE, FALSE)</f>
        <v>1</v>
      </c>
      <c r="AB50">
        <f t="shared" si="9"/>
        <v>103174.56541263347</v>
      </c>
      <c r="AC50">
        <f t="shared" si="10"/>
        <v>101</v>
      </c>
      <c r="AD50">
        <f t="shared" si="11"/>
        <v>15136.614060984071</v>
      </c>
      <c r="AE50">
        <f>AB50*1000/$U$4</f>
        <v>79182.321882297358</v>
      </c>
    </row>
  </sheetData>
  <mergeCells count="1">
    <mergeCell ref="B9:C9"/>
  </mergeCells>
  <phoneticPr fontId="1"/>
  <dataValidations count="2">
    <dataValidation type="list" allowBlank="1" showInputMessage="1" showErrorMessage="1" sqref="D10" xr:uid="{A60F84E0-AD28-4080-BE65-3652980A2DDA}">
      <formula1>"あり,なし"</formula1>
    </dataValidation>
    <dataValidation type="list" allowBlank="1" showInputMessage="1" showErrorMessage="1" sqref="D8 D11:D12" xr:uid="{FC32AC8E-6E90-430C-A425-7E7E868D0272}">
      <formula1>"はい,いいえ"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Non-MTS版 BRAM キャプチャ</vt:lpstr>
      <vt:lpstr>MTS版 BRAM キャプチャ</vt:lpstr>
      <vt:lpstr>Non-MTS版 DRAM キャプチャ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2021-01-05T05:57:19Z</dcterms:created>
  <dcterms:modified xsi:type="dcterms:W3CDTF">2023-03-01T08:48:01Z</dcterms:modified>
</cp:coreProperties>
</file>