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/>
  <mc:AlternateContent xmlns:mc="http://schemas.openxmlformats.org/markup-compatibility/2006">
    <mc:Choice Requires="x15">
      <x15ac:absPath xmlns:x15ac="http://schemas.microsoft.com/office/spreadsheetml/2010/11/ac" url="https://kenanflaglerunc.sharepoint.com/sites/STAR-INTREPIDBUILD/Shared Documents/General/Blue Team Review/"/>
    </mc:Choice>
  </mc:AlternateContent>
  <xr:revisionPtr revIDLastSave="799" documentId="11_A36CE116FCC97A29FB2DA2032AF8957DB87223AC" xr6:coauthVersionLast="47" xr6:coauthVersionMax="47" xr10:uidLastSave="{719A2F0B-E491-4844-BA48-1486A4633863}"/>
  <bookViews>
    <workbookView xWindow="0" yWindow="500" windowWidth="28800" windowHeight="17500" xr2:uid="{00000000-000D-0000-FFFF-FFFF00000000}"/>
  </bookViews>
  <sheets>
    <sheet name="Siler City P&amp;L" sheetId="3" r:id="rId1"/>
    <sheet name="revenue without factory" sheetId="6" r:id="rId2"/>
    <sheet name="payment model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3" l="1"/>
  <c r="E27" i="3"/>
  <c r="F27" i="3"/>
  <c r="G27" i="3"/>
  <c r="C27" i="3"/>
  <c r="C19" i="2"/>
  <c r="D19" i="2"/>
  <c r="E19" i="2"/>
  <c r="B19" i="2"/>
  <c r="C18" i="2"/>
  <c r="D18" i="2"/>
  <c r="E18" i="2"/>
  <c r="B18" i="2"/>
  <c r="K16" i="2"/>
  <c r="K17" i="2" s="1"/>
  <c r="K18" i="2" s="1"/>
  <c r="N16" i="2"/>
  <c r="N17" i="2" s="1"/>
  <c r="N18" i="2" s="1"/>
  <c r="M16" i="2"/>
  <c r="M17" i="2" s="1"/>
  <c r="M18" i="2" s="1"/>
  <c r="L16" i="2"/>
  <c r="L17" i="2" s="1"/>
  <c r="L18" i="2" s="1"/>
  <c r="E13" i="2"/>
  <c r="E16" i="2" s="1"/>
  <c r="E17" i="2" s="1"/>
  <c r="D13" i="2"/>
  <c r="D16" i="2" s="1"/>
  <c r="D17" i="2" s="1"/>
  <c r="C13" i="2"/>
  <c r="C16" i="2" s="1"/>
  <c r="C17" i="2" s="1"/>
  <c r="G3" i="2"/>
  <c r="G6" i="2" s="1"/>
  <c r="B13" i="2"/>
  <c r="B16" i="2" s="1"/>
  <c r="B17" i="2" s="1"/>
  <c r="G10" i="2"/>
  <c r="G8" i="2"/>
  <c r="C18" i="6"/>
  <c r="C6" i="6"/>
  <c r="C8" i="6" s="1"/>
  <c r="F7" i="6"/>
  <c r="B8" i="6"/>
  <c r="B9" i="6"/>
  <c r="B18" i="6" s="1"/>
  <c r="C9" i="6"/>
  <c r="D9" i="6"/>
  <c r="D6" i="6" s="1"/>
  <c r="D8" i="6" s="1"/>
  <c r="E9" i="6"/>
  <c r="E6" i="6" s="1"/>
  <c r="E8" i="6" s="1"/>
  <c r="D18" i="6"/>
  <c r="C33" i="6"/>
  <c r="D33" i="6"/>
  <c r="E33" i="6"/>
  <c r="C13" i="3"/>
  <c r="C6" i="3" s="1"/>
  <c r="B13" i="3"/>
  <c r="B6" i="3"/>
  <c r="D10" i="2"/>
  <c r="D8" i="2"/>
  <c r="D3" i="2"/>
  <c r="D6" i="2" s="1"/>
  <c r="D11" i="2" s="1"/>
  <c r="C10" i="2"/>
  <c r="C8" i="2"/>
  <c r="C3" i="2"/>
  <c r="C6" i="2" s="1"/>
  <c r="B8" i="2"/>
  <c r="B10" i="2"/>
  <c r="B3" i="2"/>
  <c r="B6" i="2" s="1"/>
  <c r="B11" i="2" s="1"/>
  <c r="B22" i="3"/>
  <c r="G13" i="3"/>
  <c r="G6" i="3" s="1"/>
  <c r="F13" i="3"/>
  <c r="F6" i="3" s="1"/>
  <c r="E13" i="3"/>
  <c r="E6" i="3" s="1"/>
  <c r="D13" i="3"/>
  <c r="D6" i="3" s="1"/>
  <c r="B11" i="3"/>
  <c r="E12" i="3" l="1"/>
  <c r="H5" i="3"/>
  <c r="G11" i="2"/>
  <c r="C11" i="2"/>
  <c r="D38" i="3"/>
  <c r="C38" i="3"/>
  <c r="E38" i="3"/>
  <c r="E35" i="6"/>
  <c r="D19" i="6"/>
  <c r="D34" i="6" s="1"/>
  <c r="D35" i="6"/>
  <c r="F33" i="6"/>
  <c r="B19" i="6"/>
  <c r="C35" i="6"/>
  <c r="F8" i="6"/>
  <c r="C19" i="6"/>
  <c r="E18" i="6"/>
  <c r="E19" i="6" s="1"/>
  <c r="E34" i="6" s="1"/>
  <c r="E36" i="6" s="1"/>
  <c r="F5" i="6"/>
  <c r="B8" i="3"/>
  <c r="B23" i="3" s="1"/>
  <c r="F12" i="3"/>
  <c r="C12" i="3"/>
  <c r="G12" i="3"/>
  <c r="D12" i="3"/>
  <c r="G38" i="3" l="1"/>
  <c r="F38" i="3"/>
  <c r="C34" i="6"/>
  <c r="F19" i="6"/>
  <c r="C5" i="6"/>
  <c r="D5" i="6"/>
  <c r="E5" i="6"/>
  <c r="F18" i="6"/>
  <c r="F35" i="6"/>
  <c r="D36" i="6"/>
  <c r="E5" i="3"/>
  <c r="D5" i="3"/>
  <c r="F5" i="3"/>
  <c r="C5" i="3"/>
  <c r="G5" i="3"/>
  <c r="F34" i="6" l="1"/>
  <c r="C36" i="6"/>
  <c r="G22" i="3"/>
  <c r="G8" i="3"/>
  <c r="C22" i="3"/>
  <c r="C8" i="3"/>
  <c r="F22" i="3"/>
  <c r="F8" i="3"/>
  <c r="D8" i="3"/>
  <c r="D22" i="3"/>
  <c r="E22" i="3"/>
  <c r="E8" i="3"/>
  <c r="H8" i="3" l="1"/>
  <c r="F36" i="6"/>
  <c r="D40" i="3"/>
  <c r="D23" i="3"/>
  <c r="D39" i="3" s="1"/>
  <c r="D41" i="3" s="1"/>
  <c r="F23" i="3"/>
  <c r="F39" i="3" s="1"/>
  <c r="F40" i="3"/>
  <c r="C23" i="3"/>
  <c r="C40" i="3"/>
  <c r="E23" i="3"/>
  <c r="E39" i="3" s="1"/>
  <c r="E40" i="3"/>
  <c r="G23" i="3"/>
  <c r="G39" i="3" s="1"/>
  <c r="G40" i="3"/>
  <c r="C39" i="3" l="1"/>
  <c r="H23" i="3"/>
  <c r="E41" i="3"/>
  <c r="C41" i="3"/>
  <c r="F41" i="3"/>
  <c r="G41" i="3"/>
  <c r="H41" i="3" l="1"/>
</calcChain>
</file>

<file path=xl/sharedStrings.xml><?xml version="1.0" encoding="utf-8"?>
<sst xmlns="http://schemas.openxmlformats.org/spreadsheetml/2006/main" count="111" uniqueCount="64">
  <si>
    <t>Intrepid Housing Project Without Factory</t>
  </si>
  <si>
    <r>
      <rPr>
        <sz val="12"/>
        <rFont val="Arial"/>
        <family val="2"/>
      </rPr>
      <t>Profit and Loss</t>
    </r>
  </si>
  <si>
    <t>2025 - 2029</t>
  </si>
  <si>
    <t>Total</t>
  </si>
  <si>
    <t>break-even point</t>
  </si>
  <si>
    <t>price / unit</t>
  </si>
  <si>
    <t>units sold</t>
  </si>
  <si>
    <t>Total Income</t>
  </si>
  <si>
    <t>Factory Acquisition</t>
  </si>
  <si>
    <t>Market Price of the Factory</t>
  </si>
  <si>
    <t>Total Factory Building Cost</t>
  </si>
  <si>
    <t>Depreciation  and Amortization</t>
  </si>
  <si>
    <t>Construction Cost pre Unit</t>
  </si>
  <si>
    <t>Site Preparation</t>
  </si>
  <si>
    <t>Foundation and Structural</t>
  </si>
  <si>
    <t>Framing and Exterior</t>
  </si>
  <si>
    <t>Systems Installation</t>
  </si>
  <si>
    <t>Interior and Finishing</t>
  </si>
  <si>
    <t>Additional Considerations</t>
  </si>
  <si>
    <t>Others</t>
  </si>
  <si>
    <t>Transportation cost</t>
  </si>
  <si>
    <t>Cost of Goods Sold</t>
  </si>
  <si>
    <t>Gross Profit</t>
  </si>
  <si>
    <t>Expenses</t>
  </si>
  <si>
    <t>Research and Development (R&amp;D)</t>
  </si>
  <si>
    <t>Prototyping and Design</t>
  </si>
  <si>
    <t>R&amp;D Equipment Depreciation</t>
  </si>
  <si>
    <t>Sales and Marketing</t>
  </si>
  <si>
    <t>Advertising and Marketing</t>
  </si>
  <si>
    <t>Sales Commissions</t>
  </si>
  <si>
    <t>General and Administrative</t>
  </si>
  <si>
    <t>Office Expenses</t>
  </si>
  <si>
    <t>Insurance</t>
  </si>
  <si>
    <t>Manufacturing Overhead</t>
  </si>
  <si>
    <t>equipment maintenance</t>
  </si>
  <si>
    <t>utilities</t>
  </si>
  <si>
    <t>Interest Expense</t>
  </si>
  <si>
    <t>Total Expenses</t>
  </si>
  <si>
    <t>Earnings Before Taxes (EBT)</t>
  </si>
  <si>
    <t>Taxes Paid</t>
  </si>
  <si>
    <t>Net Income</t>
  </si>
  <si>
    <t>Intrepid Afforable Housing Project Without Facotry</t>
  </si>
  <si>
    <t>1520 sqft 3 BR</t>
  </si>
  <si>
    <t>1200 sqft 2 BR</t>
  </si>
  <si>
    <t>Commercial Mortgage</t>
  </si>
  <si>
    <t>price</t>
  </si>
  <si>
    <t>328000</t>
  </si>
  <si>
    <t>down payment</t>
  </si>
  <si>
    <t>30 year fixed</t>
  </si>
  <si>
    <t>interested rate</t>
  </si>
  <si>
    <t>P&amp;L</t>
  </si>
  <si>
    <t>Property tax</t>
  </si>
  <si>
    <t>property tax/monthly</t>
  </si>
  <si>
    <t>Home insurance/year</t>
  </si>
  <si>
    <t>monthly payment</t>
  </si>
  <si>
    <t>loan amount</t>
  </si>
  <si>
    <t>PV</t>
  </si>
  <si>
    <t>Int Rate</t>
  </si>
  <si>
    <t>Ys</t>
  </si>
  <si>
    <t>Monthly PMT</t>
  </si>
  <si>
    <t>annual payment</t>
  </si>
  <si>
    <t>Yearly PMT</t>
  </si>
  <si>
    <t>total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</si>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</sst>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_@"/>
    <numFmt numFmtId="165" formatCode="____@"/>
    <numFmt numFmtId="166" formatCode="__________@"/>
    <numFmt numFmtId="167" formatCode="________@"/>
    <numFmt numFmtId="168" formatCode="&quot;$&quot;#,##0.00;\-&quot;$&quot;#,##0.00"/>
    <numFmt numFmtId="169" formatCode="&quot;$&quot;#,##0.00"/>
    <numFmt numFmtId="170" formatCode="&quot;$&quot;#,##0"/>
  </numFmts>
  <fonts count="25">
    <font>
      <sz val="11"/>
      <color rgb="FF000000"/>
      <name val="Arial"/>
      <charset val="204"/>
    </font>
    <font>
      <sz val="16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color rgb="FF000000"/>
      <name val="Arial"/>
      <family val="2"/>
    </font>
    <font>
      <sz val="12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  <charset val="204"/>
    </font>
    <font>
      <sz val="14"/>
      <color rgb="FF000000"/>
      <name val="Arial"/>
      <family val="2"/>
    </font>
    <font>
      <sz val="14"/>
      <color rgb="FF000000"/>
      <name val="Arial"/>
      <family val="2"/>
      <charset val="204"/>
    </font>
    <font>
      <sz val="8"/>
      <name val="Arial"/>
      <family val="2"/>
    </font>
    <font>
      <b/>
      <sz val="14"/>
      <color rgb="FF000000"/>
      <name val="Arial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  <font>
      <sz val="1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68" fontId="7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7" fontId="8" fillId="0" borderId="0" xfId="0" applyNumberFormat="1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8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168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169" fontId="10" fillId="0" borderId="1" xfId="0" applyNumberFormat="1" applyFont="1" applyBorder="1" applyAlignment="1">
      <alignment horizontal="left" vertical="top" wrapText="1"/>
    </xf>
    <xf numFmtId="169" fontId="0" fillId="0" borderId="0" xfId="0" applyNumberFormat="1" applyAlignment="1">
      <alignment horizontal="right" vertical="top" wrapText="1"/>
    </xf>
    <xf numFmtId="169" fontId="8" fillId="0" borderId="0" xfId="0" applyNumberFormat="1" applyFont="1" applyAlignment="1">
      <alignment horizontal="left" vertical="top" wrapText="1"/>
    </xf>
    <xf numFmtId="169" fontId="0" fillId="0" borderId="1" xfId="0" applyNumberFormat="1" applyBorder="1" applyAlignment="1">
      <alignment horizontal="right" vertical="top" wrapText="1"/>
    </xf>
    <xf numFmtId="169" fontId="8" fillId="0" borderId="1" xfId="0" applyNumberFormat="1" applyFont="1" applyBorder="1" applyAlignment="1">
      <alignment horizontal="left" vertical="top" wrapText="1"/>
    </xf>
    <xf numFmtId="169" fontId="12" fillId="0" borderId="0" xfId="0" applyNumberFormat="1" applyFont="1" applyAlignment="1">
      <alignment horizontal="left" vertical="top" wrapText="1"/>
    </xf>
    <xf numFmtId="169" fontId="7" fillId="0" borderId="1" xfId="0" applyNumberFormat="1" applyFont="1" applyBorder="1" applyAlignment="1">
      <alignment horizontal="left" vertical="top" wrapText="1"/>
    </xf>
    <xf numFmtId="168" fontId="14" fillId="0" borderId="0" xfId="0" applyNumberFormat="1" applyFont="1" applyAlignment="1">
      <alignment horizontal="left" vertical="top" wrapText="1"/>
    </xf>
    <xf numFmtId="168" fontId="13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top" wrapText="1"/>
    </xf>
    <xf numFmtId="2" fontId="1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9" fontId="3" fillId="0" borderId="0" xfId="0" applyNumberFormat="1" applyFont="1" applyAlignment="1">
      <alignment horizontal="left" vertical="top" wrapText="1"/>
    </xf>
    <xf numFmtId="168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169" fontId="3" fillId="0" borderId="0" xfId="0" applyNumberFormat="1" applyFont="1" applyAlignment="1">
      <alignment horizontal="right" vertical="top" wrapText="1"/>
    </xf>
    <xf numFmtId="168" fontId="3" fillId="0" borderId="0" xfId="0" applyNumberFormat="1" applyFont="1" applyAlignment="1">
      <alignment horizontal="right" vertical="top" wrapText="1"/>
    </xf>
    <xf numFmtId="169" fontId="0" fillId="0" borderId="0" xfId="0" applyNumberForma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69" fontId="0" fillId="2" borderId="0" xfId="0" applyNumberFormat="1" applyFill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8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66" fontId="21" fillId="0" borderId="0" xfId="0" applyNumberFormat="1" applyFont="1" applyAlignment="1">
      <alignment horizontal="center" vertical="center" wrapText="1"/>
    </xf>
    <xf numFmtId="0" fontId="22" fillId="0" borderId="1" xfId="0" applyFont="1" applyBorder="1" applyAlignment="1">
      <alignment horizontal="left" vertical="top" wrapText="1"/>
    </xf>
    <xf numFmtId="169" fontId="22" fillId="0" borderId="1" xfId="0" applyNumberFormat="1" applyFont="1" applyBorder="1" applyAlignment="1">
      <alignment horizontal="left" vertical="top" wrapText="1"/>
    </xf>
    <xf numFmtId="169" fontId="16" fillId="0" borderId="1" xfId="0" applyNumberFormat="1" applyFont="1" applyBorder="1" applyAlignment="1">
      <alignment horizontal="left" vertical="top" wrapText="1"/>
    </xf>
    <xf numFmtId="168" fontId="16" fillId="0" borderId="1" xfId="0" applyNumberFormat="1" applyFont="1" applyBorder="1" applyAlignment="1">
      <alignment horizontal="left" vertical="top" wrapText="1"/>
    </xf>
    <xf numFmtId="169" fontId="23" fillId="0" borderId="0" xfId="0" applyNumberFormat="1" applyFont="1" applyAlignment="1">
      <alignment horizontal="left" vertical="top" wrapText="1"/>
    </xf>
    <xf numFmtId="168" fontId="12" fillId="0" borderId="0" xfId="0" applyNumberFormat="1" applyFont="1" applyAlignment="1">
      <alignment horizontal="left" vertical="top" wrapText="1"/>
    </xf>
    <xf numFmtId="168" fontId="16" fillId="0" borderId="0" xfId="0" applyNumberFormat="1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2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9" fontId="0" fillId="0" borderId="1" xfId="0" applyNumberFormat="1" applyBorder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1" fontId="11" fillId="0" borderId="0" xfId="0" applyNumberFormat="1" applyFont="1" applyAlignment="1">
      <alignment horizontal="left" vertical="top" wrapText="1"/>
    </xf>
    <xf numFmtId="170" fontId="0" fillId="0" borderId="0" xfId="0" applyNumberFormat="1" applyAlignment="1">
      <alignment horizontal="left" vertical="top" wrapText="1"/>
    </xf>
    <xf numFmtId="170" fontId="24" fillId="0" borderId="0" xfId="0" applyNumberFormat="1" applyFont="1" applyAlignment="1">
      <alignment horizontal="left" vertical="top" wrapText="1"/>
    </xf>
    <xf numFmtId="164" fontId="1" fillId="3" borderId="0" xfId="0" applyNumberFormat="1" applyFont="1" applyFill="1" applyAlignment="1">
      <alignment horizontal="center" vertical="top" wrapText="1"/>
    </xf>
    <xf numFmtId="164" fontId="2" fillId="3" borderId="0" xfId="0" applyNumberFormat="1" applyFont="1" applyFill="1" applyAlignment="1">
      <alignment horizontal="center" vertical="top" wrapText="1"/>
    </xf>
    <xf numFmtId="165" fontId="3" fillId="3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64" fontId="18" fillId="3" borderId="0" xfId="0" applyNumberFormat="1" applyFont="1" applyFill="1" applyAlignment="1">
      <alignment horizontal="center" vertical="top" wrapText="1"/>
    </xf>
    <xf numFmtId="164" fontId="19" fillId="3" borderId="0" xfId="0" applyNumberFormat="1" applyFont="1" applyFill="1" applyAlignment="1">
      <alignment horizontal="center" vertical="top" wrapText="1"/>
    </xf>
    <xf numFmtId="165" fontId="12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164" fontId="20" fillId="3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978C-4C87-FA4A-9F0B-7DD079EFCED2}">
  <dimension ref="A1:J41"/>
  <sheetViews>
    <sheetView tabSelected="1" zoomScale="125" zoomScaleNormal="115" workbookViewId="0">
      <selection activeCell="D10" sqref="D10"/>
    </sheetView>
  </sheetViews>
  <sheetFormatPr defaultColWidth="10.125" defaultRowHeight="14.1"/>
  <cols>
    <col min="1" max="1" width="38.875" customWidth="1"/>
    <col min="2" max="2" width="18.125" customWidth="1"/>
    <col min="3" max="3" width="19.5" customWidth="1"/>
    <col min="4" max="4" width="18.125" customWidth="1"/>
    <col min="5" max="7" width="18" bestFit="1" customWidth="1"/>
    <col min="8" max="8" width="20.625" customWidth="1"/>
  </cols>
  <sheetData>
    <row r="1" spans="1:10" ht="24.75" customHeight="1">
      <c r="A1" s="66" t="s">
        <v>0</v>
      </c>
      <c r="B1" s="66"/>
      <c r="C1" s="67"/>
      <c r="D1" s="67"/>
      <c r="E1" s="67"/>
      <c r="F1" s="67"/>
      <c r="G1" s="67"/>
      <c r="H1" s="67"/>
    </row>
    <row r="2" spans="1:10" ht="18.75" customHeight="1">
      <c r="A2" s="68" t="s">
        <v>1</v>
      </c>
      <c r="B2" s="68"/>
      <c r="C2" s="68"/>
      <c r="D2" s="68"/>
      <c r="E2" s="68"/>
      <c r="F2" s="68"/>
      <c r="G2" s="68"/>
      <c r="H2" s="68"/>
    </row>
    <row r="3" spans="1:10" ht="17.25" customHeight="1">
      <c r="A3" s="69" t="s">
        <v>2</v>
      </c>
      <c r="B3" s="69"/>
      <c r="C3" s="70"/>
      <c r="D3" s="70"/>
      <c r="E3" s="70"/>
      <c r="F3" s="70"/>
      <c r="G3" s="70"/>
      <c r="H3" s="70"/>
    </row>
    <row r="4" spans="1:10" ht="15.6" customHeight="1">
      <c r="A4" s="1"/>
      <c r="B4" s="2">
        <v>2024</v>
      </c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4" t="s">
        <v>3</v>
      </c>
    </row>
    <row r="5" spans="1:10" ht="15.6" customHeight="1">
      <c r="A5" s="26" t="s">
        <v>4</v>
      </c>
      <c r="B5" s="27"/>
      <c r="C5" s="28">
        <f>$H$5/5</f>
        <v>14.009661835748792</v>
      </c>
      <c r="D5" s="28">
        <f>$H$5/5</f>
        <v>14.009661835748792</v>
      </c>
      <c r="E5" s="28">
        <f>$H$5/5</f>
        <v>14.009661835748792</v>
      </c>
      <c r="F5" s="28">
        <f>$H$5/5</f>
        <v>14.009661835748792</v>
      </c>
      <c r="G5" s="28">
        <f>$H$5/5</f>
        <v>14.009661835748792</v>
      </c>
      <c r="H5" s="29">
        <f>(B11+B26)/(B6-B13)</f>
        <v>70.048309178743963</v>
      </c>
      <c r="I5" s="42"/>
      <c r="J5" s="42"/>
    </row>
    <row r="6" spans="1:10" ht="15.6" customHeight="1">
      <c r="A6" s="32" t="s">
        <v>5</v>
      </c>
      <c r="B6" s="33">
        <f t="shared" ref="B6:G6" si="0">B13/(1-24%)</f>
        <v>345000</v>
      </c>
      <c r="C6" s="33">
        <f>C13/(1-24%)</f>
        <v>345000</v>
      </c>
      <c r="D6" s="33">
        <f t="shared" si="0"/>
        <v>345000</v>
      </c>
      <c r="E6" s="33">
        <f t="shared" si="0"/>
        <v>345000</v>
      </c>
      <c r="F6" s="33">
        <f t="shared" si="0"/>
        <v>345000</v>
      </c>
      <c r="G6" s="33">
        <f t="shared" si="0"/>
        <v>345000</v>
      </c>
      <c r="H6" s="22"/>
      <c r="J6" s="31"/>
    </row>
    <row r="7" spans="1:10" ht="15.6" customHeight="1">
      <c r="A7" s="32" t="s">
        <v>6</v>
      </c>
      <c r="B7" s="32">
        <v>0</v>
      </c>
      <c r="C7" s="5">
        <v>65</v>
      </c>
      <c r="D7" s="5">
        <v>65</v>
      </c>
      <c r="E7" s="5">
        <v>65</v>
      </c>
      <c r="F7" s="5">
        <v>70</v>
      </c>
      <c r="G7" s="5">
        <v>70</v>
      </c>
      <c r="H7" s="5"/>
      <c r="J7" s="31"/>
    </row>
    <row r="8" spans="1:10" ht="16.7" customHeight="1">
      <c r="A8" s="6" t="s">
        <v>7</v>
      </c>
      <c r="B8" s="6">
        <f t="shared" ref="B8:G8" si="1">B6*B7</f>
        <v>0</v>
      </c>
      <c r="C8" s="23">
        <f t="shared" si="1"/>
        <v>22425000</v>
      </c>
      <c r="D8" s="23">
        <f t="shared" si="1"/>
        <v>22425000</v>
      </c>
      <c r="E8" s="23">
        <f t="shared" si="1"/>
        <v>22425000</v>
      </c>
      <c r="F8" s="23">
        <f t="shared" si="1"/>
        <v>24150000</v>
      </c>
      <c r="G8" s="23">
        <f t="shared" si="1"/>
        <v>24150000</v>
      </c>
      <c r="H8" s="23">
        <f>SUM(C8:G8)</f>
        <v>115575000</v>
      </c>
    </row>
    <row r="9" spans="1:10" ht="16.7" customHeight="1">
      <c r="A9" s="7" t="s">
        <v>8</v>
      </c>
      <c r="B9" s="8"/>
      <c r="C9" s="9"/>
      <c r="D9" s="9"/>
      <c r="E9" s="9"/>
      <c r="F9" s="9"/>
      <c r="G9" s="10"/>
      <c r="H9" s="10"/>
    </row>
    <row r="10" spans="1:10" ht="16.7" customHeight="1">
      <c r="A10" s="30" t="s">
        <v>9</v>
      </c>
      <c r="B10" s="34">
        <v>5400000</v>
      </c>
      <c r="C10" s="18"/>
      <c r="D10" s="18"/>
      <c r="E10" s="18"/>
      <c r="F10" s="18"/>
      <c r="G10" s="19"/>
      <c r="H10" s="19"/>
    </row>
    <row r="11" spans="1:10" ht="16.7" customHeight="1">
      <c r="A11" s="11" t="s">
        <v>10</v>
      </c>
      <c r="B11" s="12">
        <f>SUM(B10:B10)</f>
        <v>5400000</v>
      </c>
      <c r="C11" s="20"/>
      <c r="D11" s="20"/>
      <c r="E11" s="20"/>
      <c r="F11" s="20"/>
      <c r="G11" s="21"/>
      <c r="H11" s="21"/>
    </row>
    <row r="12" spans="1:10" ht="16.7" customHeight="1">
      <c r="A12" s="11" t="s">
        <v>11</v>
      </c>
      <c r="B12" s="25">
        <v>0</v>
      </c>
      <c r="C12" s="12">
        <f t="shared" ref="C12:G12" si="2">$B$11/5</f>
        <v>1080000</v>
      </c>
      <c r="D12" s="12">
        <f t="shared" si="2"/>
        <v>1080000</v>
      </c>
      <c r="E12" s="12">
        <f t="shared" si="2"/>
        <v>1080000</v>
      </c>
      <c r="F12" s="12">
        <f t="shared" si="2"/>
        <v>1080000</v>
      </c>
      <c r="G12" s="12">
        <f t="shared" si="2"/>
        <v>1080000</v>
      </c>
      <c r="H12" s="12"/>
    </row>
    <row r="13" spans="1:10" ht="16.7" customHeight="1">
      <c r="A13" s="16" t="s">
        <v>12</v>
      </c>
      <c r="B13" s="24">
        <f t="shared" ref="B13:C13" si="3">SUM(B14:B21)</f>
        <v>262200</v>
      </c>
      <c r="C13" s="24">
        <f t="shared" si="3"/>
        <v>262200</v>
      </c>
      <c r="D13" s="24">
        <f>SUM(D14:D21)</f>
        <v>262200</v>
      </c>
      <c r="E13" s="24">
        <f>SUM(E14:E21)</f>
        <v>262200</v>
      </c>
      <c r="F13" s="24">
        <f>SUM(F14:F21)</f>
        <v>262200</v>
      </c>
      <c r="G13" s="24">
        <f>SUM(G14:G21)</f>
        <v>262200</v>
      </c>
      <c r="H13" s="24"/>
    </row>
    <row r="14" spans="1:10" ht="16.7" customHeight="1">
      <c r="A14" s="35" t="s">
        <v>13</v>
      </c>
      <c r="B14" s="36">
        <v>5000</v>
      </c>
      <c r="C14" s="36">
        <v>5000</v>
      </c>
      <c r="D14" s="36">
        <v>5000</v>
      </c>
      <c r="E14" s="36">
        <v>5000</v>
      </c>
      <c r="F14" s="36">
        <v>5000</v>
      </c>
      <c r="G14" s="36">
        <v>5000</v>
      </c>
      <c r="H14" s="36"/>
    </row>
    <row r="15" spans="1:10" ht="16.7" customHeight="1">
      <c r="A15" s="35" t="s">
        <v>14</v>
      </c>
      <c r="B15" s="36">
        <v>28000</v>
      </c>
      <c r="C15" s="36">
        <v>28000</v>
      </c>
      <c r="D15" s="36">
        <v>28000</v>
      </c>
      <c r="E15" s="36">
        <v>28000</v>
      </c>
      <c r="F15" s="36">
        <v>28000</v>
      </c>
      <c r="G15" s="36">
        <v>28000</v>
      </c>
      <c r="H15" s="36"/>
    </row>
    <row r="16" spans="1:10" ht="16.7" customHeight="1">
      <c r="A16" s="35" t="s">
        <v>15</v>
      </c>
      <c r="B16" s="36">
        <v>46480</v>
      </c>
      <c r="C16" s="36">
        <v>46480</v>
      </c>
      <c r="D16" s="36">
        <v>46480</v>
      </c>
      <c r="E16" s="36">
        <v>46480</v>
      </c>
      <c r="F16" s="36">
        <v>46480</v>
      </c>
      <c r="G16" s="36">
        <v>46480</v>
      </c>
      <c r="H16" s="36"/>
    </row>
    <row r="17" spans="1:8" ht="16.7" customHeight="1">
      <c r="A17" s="35" t="s">
        <v>16</v>
      </c>
      <c r="B17" s="36">
        <v>51000</v>
      </c>
      <c r="C17" s="36">
        <v>51000</v>
      </c>
      <c r="D17" s="36">
        <v>51000</v>
      </c>
      <c r="E17" s="36">
        <v>51000</v>
      </c>
      <c r="F17" s="36">
        <v>51000</v>
      </c>
      <c r="G17" s="36">
        <v>51000</v>
      </c>
      <c r="H17" s="36"/>
    </row>
    <row r="18" spans="1:8" ht="16.7" customHeight="1">
      <c r="A18" s="35" t="s">
        <v>17</v>
      </c>
      <c r="B18" s="36">
        <v>57500</v>
      </c>
      <c r="C18" s="36">
        <v>57500</v>
      </c>
      <c r="D18" s="36">
        <v>57500</v>
      </c>
      <c r="E18" s="36">
        <v>57500</v>
      </c>
      <c r="F18" s="36">
        <v>57500</v>
      </c>
      <c r="G18" s="36">
        <v>57500</v>
      </c>
      <c r="H18" s="36"/>
    </row>
    <row r="19" spans="1:8" ht="16.7" customHeight="1">
      <c r="A19" s="35" t="s">
        <v>18</v>
      </c>
      <c r="B19" s="36">
        <v>2500</v>
      </c>
      <c r="C19" s="36">
        <v>2500</v>
      </c>
      <c r="D19" s="36">
        <v>2500</v>
      </c>
      <c r="E19" s="36">
        <v>2500</v>
      </c>
      <c r="F19" s="36">
        <v>2500</v>
      </c>
      <c r="G19" s="36">
        <v>2500</v>
      </c>
      <c r="H19" s="36"/>
    </row>
    <row r="20" spans="1:8" ht="16.7" customHeight="1">
      <c r="A20" s="35" t="s">
        <v>19</v>
      </c>
      <c r="B20" s="36">
        <v>71520</v>
      </c>
      <c r="C20" s="36">
        <v>71520</v>
      </c>
      <c r="D20" s="36">
        <v>71520</v>
      </c>
      <c r="E20" s="36">
        <v>71520</v>
      </c>
      <c r="F20" s="36">
        <v>71520</v>
      </c>
      <c r="G20" s="36">
        <v>71520</v>
      </c>
      <c r="H20" s="36"/>
    </row>
    <row r="21" spans="1:8" ht="16.7" customHeight="1">
      <c r="A21" s="35" t="s">
        <v>20</v>
      </c>
      <c r="B21" s="36">
        <v>200</v>
      </c>
      <c r="C21" s="36">
        <v>200</v>
      </c>
      <c r="D21" s="36">
        <v>200</v>
      </c>
      <c r="E21" s="36">
        <v>200</v>
      </c>
      <c r="F21" s="36">
        <v>200</v>
      </c>
      <c r="G21" s="36">
        <v>200</v>
      </c>
      <c r="H21" s="36"/>
    </row>
    <row r="22" spans="1:8" ht="16.7" customHeight="1">
      <c r="A22" s="13" t="s">
        <v>21</v>
      </c>
      <c r="B22" s="17">
        <f t="shared" ref="B22:G22" si="4">$B$13*B7</f>
        <v>0</v>
      </c>
      <c r="C22" s="17">
        <f t="shared" si="4"/>
        <v>17043000</v>
      </c>
      <c r="D22" s="17">
        <f t="shared" si="4"/>
        <v>17043000</v>
      </c>
      <c r="E22" s="17">
        <f t="shared" si="4"/>
        <v>17043000</v>
      </c>
      <c r="F22" s="17">
        <f t="shared" si="4"/>
        <v>18354000</v>
      </c>
      <c r="G22" s="17">
        <f t="shared" si="4"/>
        <v>18354000</v>
      </c>
      <c r="H22" s="17"/>
    </row>
    <row r="23" spans="1:8" ht="16.7" customHeight="1">
      <c r="A23" s="11" t="s">
        <v>22</v>
      </c>
      <c r="B23" s="12">
        <f t="shared" ref="B23:G23" si="5">B8-B22-B12</f>
        <v>0</v>
      </c>
      <c r="C23" s="12">
        <f t="shared" si="5"/>
        <v>4302000</v>
      </c>
      <c r="D23" s="12">
        <f t="shared" si="5"/>
        <v>4302000</v>
      </c>
      <c r="E23" s="12">
        <f t="shared" si="5"/>
        <v>4302000</v>
      </c>
      <c r="F23" s="12">
        <f t="shared" si="5"/>
        <v>4716000</v>
      </c>
      <c r="G23" s="12">
        <f t="shared" si="5"/>
        <v>4716000</v>
      </c>
      <c r="H23" s="12">
        <f>SUM(C23:G23)</f>
        <v>22338000</v>
      </c>
    </row>
    <row r="24" spans="1:8" ht="16.7" customHeight="1">
      <c r="A24" s="14" t="s">
        <v>23</v>
      </c>
      <c r="B24" s="15"/>
      <c r="C24" s="18"/>
      <c r="D24" s="18"/>
      <c r="E24" s="18"/>
      <c r="F24" s="18"/>
      <c r="G24" s="19"/>
      <c r="H24" s="19"/>
    </row>
    <row r="25" spans="1:8" ht="16.7" customHeight="1">
      <c r="A25" s="32" t="s">
        <v>24</v>
      </c>
      <c r="B25" s="34"/>
      <c r="C25" s="18"/>
      <c r="D25" s="18"/>
      <c r="E25" s="18"/>
      <c r="F25" s="18"/>
      <c r="G25" s="19"/>
      <c r="H25" s="19"/>
    </row>
    <row r="26" spans="1:8" ht="16.7" customHeight="1">
      <c r="A26" s="35" t="s">
        <v>25</v>
      </c>
      <c r="B26" s="37">
        <v>400000</v>
      </c>
      <c r="C26" s="18"/>
      <c r="D26" s="18"/>
      <c r="E26" s="18"/>
      <c r="F26" s="18"/>
      <c r="G26" s="18"/>
      <c r="H26" s="18"/>
    </row>
    <row r="27" spans="1:8" ht="16.7" customHeight="1">
      <c r="A27" s="35" t="s">
        <v>26</v>
      </c>
      <c r="B27" s="37"/>
      <c r="C27" s="18">
        <f>$B$26/5</f>
        <v>80000</v>
      </c>
      <c r="D27" s="18">
        <f t="shared" ref="D27:G27" si="6">$B$26/5</f>
        <v>80000</v>
      </c>
      <c r="E27" s="18">
        <f t="shared" si="6"/>
        <v>80000</v>
      </c>
      <c r="F27" s="18">
        <f t="shared" si="6"/>
        <v>80000</v>
      </c>
      <c r="G27" s="18">
        <f t="shared" si="6"/>
        <v>80000</v>
      </c>
      <c r="H27" s="18"/>
    </row>
    <row r="28" spans="1:8" ht="16.7" customHeight="1">
      <c r="A28" s="32" t="s">
        <v>27</v>
      </c>
      <c r="B28" s="34"/>
      <c r="C28" s="18"/>
      <c r="D28" s="18"/>
      <c r="E28" s="18"/>
      <c r="F28" s="18"/>
      <c r="G28" s="19"/>
      <c r="H28" s="19"/>
    </row>
    <row r="29" spans="1:8" ht="16.7" customHeight="1">
      <c r="A29" s="35" t="s">
        <v>28</v>
      </c>
      <c r="B29" s="37"/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/>
    </row>
    <row r="30" spans="1:8" ht="16.7" customHeight="1">
      <c r="A30" s="35" t="s">
        <v>29</v>
      </c>
      <c r="B30" s="37"/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/>
    </row>
    <row r="31" spans="1:8" ht="16.7" customHeight="1">
      <c r="A31" s="32" t="s">
        <v>30</v>
      </c>
      <c r="B31" s="34"/>
      <c r="C31" s="18"/>
      <c r="D31" s="18"/>
      <c r="E31" s="18"/>
      <c r="F31" s="18"/>
      <c r="G31" s="19"/>
      <c r="H31" s="19"/>
    </row>
    <row r="32" spans="1:8" ht="16.7" customHeight="1">
      <c r="A32" s="35" t="s">
        <v>31</v>
      </c>
      <c r="B32" s="37"/>
      <c r="C32" s="18">
        <v>0</v>
      </c>
      <c r="D32" s="18">
        <v>0</v>
      </c>
      <c r="E32" s="18">
        <v>0</v>
      </c>
      <c r="F32" s="18">
        <v>0</v>
      </c>
      <c r="G32" s="19">
        <v>0</v>
      </c>
      <c r="H32" s="19"/>
    </row>
    <row r="33" spans="1:8" ht="16.7" customHeight="1">
      <c r="A33" s="35" t="s">
        <v>32</v>
      </c>
      <c r="B33" s="37"/>
      <c r="C33" s="18">
        <v>0</v>
      </c>
      <c r="D33" s="18">
        <v>0</v>
      </c>
      <c r="E33" s="18">
        <v>0</v>
      </c>
      <c r="F33" s="18">
        <v>0</v>
      </c>
      <c r="G33" s="19">
        <v>0</v>
      </c>
      <c r="H33" s="19"/>
    </row>
    <row r="34" spans="1:8" ht="16.7" customHeight="1">
      <c r="A34" s="32" t="s">
        <v>33</v>
      </c>
      <c r="B34" s="34"/>
      <c r="C34" s="18"/>
      <c r="D34" s="18"/>
      <c r="E34" s="18"/>
      <c r="F34" s="18"/>
      <c r="G34" s="19"/>
      <c r="H34" s="19"/>
    </row>
    <row r="35" spans="1:8" ht="16.7" customHeight="1">
      <c r="A35" s="35" t="s">
        <v>34</v>
      </c>
      <c r="B35" s="37"/>
      <c r="C35" s="18">
        <v>500</v>
      </c>
      <c r="D35" s="18">
        <v>500</v>
      </c>
      <c r="E35" s="18">
        <v>500</v>
      </c>
      <c r="F35" s="18">
        <v>500</v>
      </c>
      <c r="G35" s="19">
        <v>500</v>
      </c>
      <c r="H35" s="19"/>
    </row>
    <row r="36" spans="1:8" ht="16.7" customHeight="1">
      <c r="A36" s="35" t="s">
        <v>35</v>
      </c>
      <c r="B36" s="37"/>
      <c r="C36" s="18">
        <v>1000</v>
      </c>
      <c r="D36" s="18">
        <v>1000</v>
      </c>
      <c r="E36" s="18">
        <v>1000</v>
      </c>
      <c r="F36" s="18">
        <v>1000</v>
      </c>
      <c r="G36" s="18">
        <v>1000</v>
      </c>
      <c r="H36" s="19"/>
    </row>
    <row r="37" spans="1:8" ht="16.7" customHeight="1">
      <c r="A37" s="32" t="s">
        <v>36</v>
      </c>
      <c r="B37" s="34"/>
      <c r="C37" s="18">
        <v>0</v>
      </c>
      <c r="D37" s="18">
        <v>0</v>
      </c>
      <c r="E37" s="18">
        <v>0</v>
      </c>
      <c r="F37" s="18">
        <v>0</v>
      </c>
      <c r="G37" s="19">
        <v>0</v>
      </c>
      <c r="H37" s="19"/>
    </row>
    <row r="38" spans="1:8" ht="16.7" customHeight="1">
      <c r="A38" s="11" t="s">
        <v>37</v>
      </c>
      <c r="B38" s="12"/>
      <c r="C38" s="20">
        <f>SUM(C24:C37)</f>
        <v>81500</v>
      </c>
      <c r="D38" s="20">
        <f>SUM(D24:D37)</f>
        <v>81500</v>
      </c>
      <c r="E38" s="20">
        <f>SUM(E24:E37)</f>
        <v>81500</v>
      </c>
      <c r="F38" s="20">
        <f>SUM(F24:F37)</f>
        <v>81500</v>
      </c>
      <c r="G38" s="20">
        <f>SUM(G24:G37)</f>
        <v>81500</v>
      </c>
      <c r="H38" s="20"/>
    </row>
    <row r="39" spans="1:8" ht="16.7" customHeight="1">
      <c r="A39" s="11" t="s">
        <v>38</v>
      </c>
      <c r="B39" s="12"/>
      <c r="C39" s="20">
        <f>C23-C38</f>
        <v>4220500</v>
      </c>
      <c r="D39" s="20">
        <f>D23-D38</f>
        <v>4220500</v>
      </c>
      <c r="E39" s="20">
        <f>E23-E38</f>
        <v>4220500</v>
      </c>
      <c r="F39" s="20">
        <f>F23-F38</f>
        <v>4634500</v>
      </c>
      <c r="G39" s="20">
        <f>G23-G38</f>
        <v>4634500</v>
      </c>
      <c r="H39" s="20"/>
    </row>
    <row r="40" spans="1:8" ht="16.7" customHeight="1">
      <c r="A40" s="11" t="s">
        <v>39</v>
      </c>
      <c r="B40" s="12"/>
      <c r="C40" s="20">
        <f>C8*0.17</f>
        <v>3812250.0000000005</v>
      </c>
      <c r="D40" s="20">
        <f>D8*0.17</f>
        <v>3812250.0000000005</v>
      </c>
      <c r="E40" s="20">
        <f>E8*0.17</f>
        <v>3812250.0000000005</v>
      </c>
      <c r="F40" s="20">
        <f>F8*0.17</f>
        <v>4105500.0000000005</v>
      </c>
      <c r="G40" s="20">
        <f>G8*0.17</f>
        <v>4105500.0000000005</v>
      </c>
      <c r="H40" s="21"/>
    </row>
    <row r="41" spans="1:8" ht="16.7" customHeight="1">
      <c r="A41" s="16" t="s">
        <v>40</v>
      </c>
      <c r="B41" s="43"/>
      <c r="C41" s="18">
        <f>C39-C40</f>
        <v>408249.99999999953</v>
      </c>
      <c r="D41" s="18">
        <f>D39-D40</f>
        <v>408249.99999999953</v>
      </c>
      <c r="E41" s="18">
        <f>E39-E40</f>
        <v>408249.99999999953</v>
      </c>
      <c r="F41" s="18">
        <f>F39-F40</f>
        <v>528999.99999999953</v>
      </c>
      <c r="G41" s="18">
        <f>G39-G40</f>
        <v>528999.99999999953</v>
      </c>
      <c r="H41" s="12">
        <f>SUM(C41:G41)</f>
        <v>2282749.9999999977</v>
      </c>
    </row>
  </sheetData>
  <mergeCells count="3">
    <mergeCell ref="A1:H1"/>
    <mergeCell ref="A2:H2"/>
    <mergeCell ref="A3:H3"/>
  </mergeCells>
  <phoneticPr fontId="15" type="noConversion"/>
  <pageMargins left="0.7" right="0.7" top="0.75" bottom="0.75" header="0.3" footer="0.3"/>
  <pageSetup paperSize="9" scale="5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4FE8-36EF-4AB9-B95E-A4D888EE8E17}">
  <dimension ref="A1:G43"/>
  <sheetViews>
    <sheetView workbookViewId="0">
      <selection activeCell="C5" sqref="C5"/>
    </sheetView>
  </sheetViews>
  <sheetFormatPr defaultColWidth="8.875" defaultRowHeight="14.1"/>
  <cols>
    <col min="1" max="7" width="20.625" customWidth="1"/>
  </cols>
  <sheetData>
    <row r="1" spans="1:7" ht="20.25" customHeight="1">
      <c r="A1" s="71" t="s">
        <v>41</v>
      </c>
      <c r="B1" s="71"/>
      <c r="C1" s="72"/>
      <c r="D1" s="72"/>
      <c r="E1" s="72"/>
      <c r="F1" s="72"/>
    </row>
    <row r="2" spans="1:7" ht="20.25" customHeight="1">
      <c r="A2" s="73" t="s">
        <v>1</v>
      </c>
      <c r="B2" s="73"/>
      <c r="C2" s="73"/>
      <c r="D2" s="73"/>
      <c r="E2" s="73"/>
      <c r="F2" s="73"/>
    </row>
    <row r="3" spans="1:7" ht="20.25" customHeight="1">
      <c r="A3" s="74" t="s">
        <v>2</v>
      </c>
      <c r="B3" s="74"/>
      <c r="C3" s="75"/>
      <c r="D3" s="75"/>
      <c r="E3" s="75"/>
      <c r="F3" s="75"/>
    </row>
    <row r="4" spans="1:7" ht="20.25" customHeight="1">
      <c r="A4" s="1"/>
      <c r="B4" s="2">
        <v>2025</v>
      </c>
      <c r="C4" s="2">
        <v>2026</v>
      </c>
      <c r="D4" s="2">
        <v>2027</v>
      </c>
      <c r="E4" s="2">
        <v>2028</v>
      </c>
      <c r="F4" s="50" t="s">
        <v>3</v>
      </c>
    </row>
    <row r="5" spans="1:7" ht="20.25" customHeight="1">
      <c r="A5" s="26" t="s">
        <v>4</v>
      </c>
      <c r="B5" s="26"/>
      <c r="C5" s="58">
        <f>$F$5/5</f>
        <v>2.2102212051868806</v>
      </c>
      <c r="D5" s="58">
        <f>$F$5/5</f>
        <v>2.2102212051868806</v>
      </c>
      <c r="E5" s="58">
        <f>$F$5/5</f>
        <v>2.2102212051868806</v>
      </c>
      <c r="F5" s="59">
        <f>(B22+(B9*2))/(B6-B9)</f>
        <v>11.051106025934402</v>
      </c>
      <c r="G5" s="38"/>
    </row>
    <row r="6" spans="1:7" ht="20.25" customHeight="1">
      <c r="A6" s="49" t="s">
        <v>5</v>
      </c>
      <c r="B6" s="22">
        <v>327750</v>
      </c>
      <c r="C6" s="22">
        <f>C9/(1-20%)</f>
        <v>327750</v>
      </c>
      <c r="D6" s="22">
        <f>D9/(1-20%)</f>
        <v>327750</v>
      </c>
      <c r="E6" s="22">
        <f>E9/(1-20%)</f>
        <v>327750</v>
      </c>
      <c r="F6" s="22"/>
    </row>
    <row r="7" spans="1:7" ht="20.25" customHeight="1">
      <c r="A7" s="49" t="s">
        <v>6</v>
      </c>
      <c r="B7" s="49">
        <v>0</v>
      </c>
      <c r="C7" s="60">
        <v>5</v>
      </c>
      <c r="D7" s="60">
        <v>5</v>
      </c>
      <c r="E7" s="60">
        <v>5</v>
      </c>
      <c r="F7" s="60">
        <f>SUM(C7:E7)</f>
        <v>15</v>
      </c>
    </row>
    <row r="8" spans="1:7" ht="20.25" customHeight="1">
      <c r="A8" s="51" t="s">
        <v>7</v>
      </c>
      <c r="B8" s="51">
        <f>B6*B7</f>
        <v>0</v>
      </c>
      <c r="C8" s="52">
        <f>C7*C6</f>
        <v>1638750</v>
      </c>
      <c r="D8" s="52">
        <f>D7*D6</f>
        <v>1638750</v>
      </c>
      <c r="E8" s="52">
        <f>E7*E6</f>
        <v>1638750</v>
      </c>
      <c r="F8" s="52">
        <f>SUM(C8:E8)</f>
        <v>4916250</v>
      </c>
      <c r="G8" s="38"/>
    </row>
    <row r="9" spans="1:7" ht="20.25" customHeight="1">
      <c r="A9" s="48" t="s">
        <v>12</v>
      </c>
      <c r="B9" s="24">
        <f>SUM(B10:B17)</f>
        <v>262200</v>
      </c>
      <c r="C9" s="24">
        <f>SUM(C10:C17)</f>
        <v>262200</v>
      </c>
      <c r="D9" s="24">
        <f>SUM(D10:D17)</f>
        <v>262200</v>
      </c>
      <c r="E9" s="24">
        <f>SUM(E10:E17)</f>
        <v>262200</v>
      </c>
      <c r="F9" s="24"/>
      <c r="G9" s="38"/>
    </row>
    <row r="10" spans="1:7" ht="20.25" customHeight="1">
      <c r="A10" s="47" t="s">
        <v>13</v>
      </c>
      <c r="B10" s="22">
        <v>5000</v>
      </c>
      <c r="C10" s="22">
        <v>5000</v>
      </c>
      <c r="D10" s="22">
        <v>5000</v>
      </c>
      <c r="E10" s="22">
        <v>5000</v>
      </c>
      <c r="F10" s="22"/>
    </row>
    <row r="11" spans="1:7" ht="20.25" customHeight="1">
      <c r="A11" s="47" t="s">
        <v>14</v>
      </c>
      <c r="B11" s="22">
        <v>28000</v>
      </c>
      <c r="C11" s="22">
        <v>28000</v>
      </c>
      <c r="D11" s="22">
        <v>28000</v>
      </c>
      <c r="E11" s="22">
        <v>28000</v>
      </c>
      <c r="F11" s="22"/>
    </row>
    <row r="12" spans="1:7" ht="20.25" customHeight="1">
      <c r="A12" s="47" t="s">
        <v>15</v>
      </c>
      <c r="B12" s="22">
        <v>46480</v>
      </c>
      <c r="C12" s="22">
        <v>46480</v>
      </c>
      <c r="D12" s="22">
        <v>46480</v>
      </c>
      <c r="E12" s="22">
        <v>46480</v>
      </c>
      <c r="F12" s="22"/>
    </row>
    <row r="13" spans="1:7" ht="20.25" customHeight="1">
      <c r="A13" s="47" t="s">
        <v>16</v>
      </c>
      <c r="B13" s="22">
        <v>51000</v>
      </c>
      <c r="C13" s="22">
        <v>51000</v>
      </c>
      <c r="D13" s="22">
        <v>51000</v>
      </c>
      <c r="E13" s="22">
        <v>51000</v>
      </c>
      <c r="F13" s="22"/>
    </row>
    <row r="14" spans="1:7" ht="20.25" customHeight="1">
      <c r="A14" s="47" t="s">
        <v>17</v>
      </c>
      <c r="B14" s="22">
        <v>57500</v>
      </c>
      <c r="C14" s="22">
        <v>57500</v>
      </c>
      <c r="D14" s="22">
        <v>57500</v>
      </c>
      <c r="E14" s="22">
        <v>57500</v>
      </c>
      <c r="F14" s="22"/>
    </row>
    <row r="15" spans="1:7" ht="20.25" customHeight="1">
      <c r="A15" s="47" t="s">
        <v>18</v>
      </c>
      <c r="B15" s="22">
        <v>2500</v>
      </c>
      <c r="C15" s="22">
        <v>2500</v>
      </c>
      <c r="D15" s="22">
        <v>2500</v>
      </c>
      <c r="E15" s="22">
        <v>2500</v>
      </c>
      <c r="F15" s="22"/>
    </row>
    <row r="16" spans="1:7" ht="20.25" customHeight="1">
      <c r="A16" s="47" t="s">
        <v>19</v>
      </c>
      <c r="B16" s="22">
        <v>71520</v>
      </c>
      <c r="C16" s="22">
        <v>71520</v>
      </c>
      <c r="D16" s="22">
        <v>71520</v>
      </c>
      <c r="E16" s="22">
        <v>71520</v>
      </c>
      <c r="F16" s="22"/>
    </row>
    <row r="17" spans="1:6" ht="20.25" customHeight="1">
      <c r="A17" s="47" t="s">
        <v>20</v>
      </c>
      <c r="B17" s="22">
        <v>200</v>
      </c>
      <c r="C17" s="22">
        <v>200</v>
      </c>
      <c r="D17" s="22">
        <v>200</v>
      </c>
      <c r="E17" s="22">
        <v>200</v>
      </c>
      <c r="F17" s="22"/>
    </row>
    <row r="18" spans="1:6" ht="20.25" customHeight="1">
      <c r="A18" s="46" t="s">
        <v>21</v>
      </c>
      <c r="B18" s="53">
        <f>$B$9*B7</f>
        <v>0</v>
      </c>
      <c r="C18" s="53">
        <f>$B$9*(C7-1)</f>
        <v>1048800</v>
      </c>
      <c r="D18" s="53">
        <f>$B$9*D7</f>
        <v>1311000</v>
      </c>
      <c r="E18" s="53">
        <f>$B$9*E7</f>
        <v>1311000</v>
      </c>
      <c r="F18" s="53">
        <f>SUM(C18:E18)</f>
        <v>3670800</v>
      </c>
    </row>
    <row r="19" spans="1:6" ht="20.25" customHeight="1">
      <c r="A19" s="45" t="s">
        <v>22</v>
      </c>
      <c r="B19" s="54">
        <f>B8-B18</f>
        <v>0</v>
      </c>
      <c r="C19" s="54">
        <f>C8-C18</f>
        <v>589950</v>
      </c>
      <c r="D19" s="54">
        <f>D8-D18</f>
        <v>327750</v>
      </c>
      <c r="E19" s="54">
        <f>E8-E18</f>
        <v>327750</v>
      </c>
      <c r="F19" s="54">
        <f>SUM(C19:E19)</f>
        <v>1245450</v>
      </c>
    </row>
    <row r="20" spans="1:6" ht="20.25" customHeight="1">
      <c r="A20" s="44" t="s">
        <v>23</v>
      </c>
      <c r="B20" s="57"/>
      <c r="C20" s="38"/>
      <c r="D20" s="38"/>
      <c r="E20" s="38"/>
      <c r="F20" s="55"/>
    </row>
    <row r="21" spans="1:6" ht="20.25" customHeight="1">
      <c r="A21" s="49" t="s">
        <v>24</v>
      </c>
      <c r="B21" s="56"/>
      <c r="C21" s="38"/>
      <c r="D21" s="38"/>
      <c r="E21" s="38"/>
      <c r="F21" s="55"/>
    </row>
    <row r="22" spans="1:6" ht="20.25" customHeight="1">
      <c r="A22" s="47" t="s">
        <v>25</v>
      </c>
      <c r="B22" s="56">
        <v>200000</v>
      </c>
      <c r="C22" s="38"/>
      <c r="D22" s="38"/>
      <c r="E22" s="38"/>
      <c r="F22" s="38"/>
    </row>
    <row r="23" spans="1:6" ht="20.25" customHeight="1">
      <c r="A23" s="49" t="s">
        <v>27</v>
      </c>
      <c r="B23" s="56"/>
      <c r="C23" s="38"/>
      <c r="D23" s="38"/>
      <c r="E23" s="38"/>
      <c r="F23" s="55"/>
    </row>
    <row r="24" spans="1:6" ht="20.25" customHeight="1">
      <c r="A24" s="47" t="s">
        <v>28</v>
      </c>
      <c r="B24" s="56"/>
      <c r="C24" s="38">
        <v>0</v>
      </c>
      <c r="D24" s="38">
        <v>0</v>
      </c>
      <c r="E24" s="38">
        <v>0</v>
      </c>
      <c r="F24" s="38"/>
    </row>
    <row r="25" spans="1:6" ht="20.25" customHeight="1">
      <c r="A25" s="47" t="s">
        <v>29</v>
      </c>
      <c r="B25" s="56"/>
      <c r="C25" s="38">
        <v>0</v>
      </c>
      <c r="D25" s="38">
        <v>0</v>
      </c>
      <c r="E25" s="38">
        <v>0</v>
      </c>
      <c r="F25" s="38"/>
    </row>
    <row r="26" spans="1:6" ht="20.25" customHeight="1">
      <c r="A26" s="49" t="s">
        <v>30</v>
      </c>
      <c r="B26" s="56"/>
      <c r="C26" s="38"/>
      <c r="D26" s="38"/>
      <c r="E26" s="38"/>
      <c r="F26" s="55"/>
    </row>
    <row r="27" spans="1:6" ht="20.25" customHeight="1">
      <c r="A27" s="47" t="s">
        <v>31</v>
      </c>
      <c r="B27" s="56"/>
      <c r="C27" s="38">
        <v>0</v>
      </c>
      <c r="D27" s="38">
        <v>0</v>
      </c>
      <c r="E27" s="38">
        <v>0</v>
      </c>
      <c r="F27" s="55"/>
    </row>
    <row r="28" spans="1:6" ht="20.25" customHeight="1">
      <c r="A28" s="47" t="s">
        <v>32</v>
      </c>
      <c r="B28" s="56"/>
      <c r="C28" s="38">
        <v>0</v>
      </c>
      <c r="D28" s="38">
        <v>0</v>
      </c>
      <c r="E28" s="38">
        <v>0</v>
      </c>
      <c r="F28" s="55"/>
    </row>
    <row r="29" spans="1:6" ht="20.25" customHeight="1">
      <c r="A29" s="49" t="s">
        <v>33</v>
      </c>
      <c r="B29" s="56"/>
      <c r="C29" s="38"/>
      <c r="D29" s="38"/>
      <c r="E29" s="38"/>
      <c r="F29" s="55"/>
    </row>
    <row r="30" spans="1:6" ht="20.25" customHeight="1">
      <c r="A30" s="47" t="s">
        <v>34</v>
      </c>
      <c r="B30" s="56"/>
      <c r="C30" s="38">
        <v>0</v>
      </c>
      <c r="D30" s="38">
        <v>0</v>
      </c>
      <c r="E30" s="38">
        <v>0</v>
      </c>
      <c r="F30" s="55"/>
    </row>
    <row r="31" spans="1:6" ht="20.25" customHeight="1">
      <c r="A31" s="47" t="s">
        <v>35</v>
      </c>
      <c r="B31" s="56"/>
      <c r="C31" s="38">
        <v>0</v>
      </c>
      <c r="D31" s="38">
        <v>0</v>
      </c>
      <c r="E31" s="38">
        <v>0</v>
      </c>
      <c r="F31" s="55"/>
    </row>
    <row r="32" spans="1:6" ht="20.25" customHeight="1">
      <c r="A32" s="49" t="s">
        <v>36</v>
      </c>
      <c r="B32" s="56"/>
      <c r="C32" s="38">
        <v>0</v>
      </c>
      <c r="D32" s="38">
        <v>0</v>
      </c>
      <c r="E32" s="38">
        <v>0</v>
      </c>
      <c r="F32" s="55"/>
    </row>
    <row r="33" spans="1:6" ht="20.25" customHeight="1">
      <c r="A33" s="45" t="s">
        <v>37</v>
      </c>
      <c r="B33" s="54"/>
      <c r="C33" s="61">
        <f>SUM(C20:C32)</f>
        <v>0</v>
      </c>
      <c r="D33" s="61">
        <f>SUM(D20:D32)</f>
        <v>0</v>
      </c>
      <c r="E33" s="61">
        <f>SUM(E20:E32)</f>
        <v>0</v>
      </c>
      <c r="F33" s="61">
        <f>SUM(C33:E33)</f>
        <v>0</v>
      </c>
    </row>
    <row r="34" spans="1:6" ht="20.25" customHeight="1">
      <c r="A34" s="45" t="s">
        <v>38</v>
      </c>
      <c r="B34" s="54"/>
      <c r="C34" s="61">
        <f>C19-C33</f>
        <v>589950</v>
      </c>
      <c r="D34" s="61">
        <f>D19-D33</f>
        <v>327750</v>
      </c>
      <c r="E34" s="61">
        <f>E19-E33</f>
        <v>327750</v>
      </c>
      <c r="F34" s="61">
        <f>SUM(C34:E34)</f>
        <v>1245450</v>
      </c>
    </row>
    <row r="35" spans="1:6" ht="20.25" customHeight="1">
      <c r="A35" s="45" t="s">
        <v>39</v>
      </c>
      <c r="B35" s="54"/>
      <c r="C35" s="61">
        <f>C8*0.17</f>
        <v>278587.5</v>
      </c>
      <c r="D35" s="61">
        <f>D8*0.17</f>
        <v>278587.5</v>
      </c>
      <c r="E35" s="61">
        <f>E8*0.17</f>
        <v>278587.5</v>
      </c>
      <c r="F35" s="61">
        <f>SUM(C35:E35)</f>
        <v>835762.5</v>
      </c>
    </row>
    <row r="36" spans="1:6" ht="20.25" customHeight="1">
      <c r="A36" s="48" t="s">
        <v>40</v>
      </c>
      <c r="B36" s="57"/>
      <c r="C36" s="38">
        <f>C34-C35</f>
        <v>311362.5</v>
      </c>
      <c r="D36" s="38">
        <f>D34-D35</f>
        <v>49162.5</v>
      </c>
      <c r="E36" s="38">
        <f>E34-E35</f>
        <v>49162.5</v>
      </c>
      <c r="F36" s="38">
        <f>SUM(C36:E36)</f>
        <v>409687.5</v>
      </c>
    </row>
    <row r="37" spans="1:6" ht="20.25" customHeight="1">
      <c r="E37" s="38"/>
    </row>
    <row r="38" spans="1:6" ht="20.25" customHeight="1"/>
    <row r="39" spans="1:6" ht="20.25" customHeight="1"/>
    <row r="40" spans="1:6" ht="20.25" customHeight="1"/>
    <row r="41" spans="1:6" ht="20.25" customHeight="1"/>
    <row r="42" spans="1:6" ht="20.25" customHeight="1"/>
    <row r="43" spans="1:6" ht="20.25" customHeight="1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7EF9-0777-CD4E-A1CA-FBFF222CCFEC}">
  <dimension ref="A1:O35"/>
  <sheetViews>
    <sheetView workbookViewId="0">
      <selection activeCell="B17" sqref="B17"/>
    </sheetView>
  </sheetViews>
  <sheetFormatPr defaultColWidth="11" defaultRowHeight="14.1"/>
  <cols>
    <col min="1" max="1" width="22.625" customWidth="1"/>
    <col min="2" max="2" width="16" customWidth="1"/>
    <col min="3" max="3" width="17.375" customWidth="1"/>
    <col min="4" max="4" width="14.375" customWidth="1"/>
    <col min="5" max="6" width="17.875" customWidth="1"/>
    <col min="7" max="7" width="19" customWidth="1"/>
    <col min="8" max="10" width="12.625" bestFit="1" customWidth="1"/>
    <col min="11" max="11" width="17.125" customWidth="1"/>
    <col min="12" max="14" width="14.375" bestFit="1" customWidth="1"/>
  </cols>
  <sheetData>
    <row r="1" spans="1:14" ht="19.5" customHeight="1">
      <c r="C1" t="s">
        <v>42</v>
      </c>
      <c r="D1" s="33" t="s">
        <v>43</v>
      </c>
      <c r="G1" s="30" t="s">
        <v>44</v>
      </c>
    </row>
    <row r="2" spans="1:14" ht="15.95">
      <c r="A2" t="s">
        <v>45</v>
      </c>
      <c r="B2" s="41" t="s">
        <v>46</v>
      </c>
      <c r="C2" s="38">
        <v>345000</v>
      </c>
      <c r="D2" s="33">
        <v>265250</v>
      </c>
      <c r="G2" s="41">
        <v>5400000</v>
      </c>
    </row>
    <row r="3" spans="1:14" ht="15">
      <c r="A3" t="s">
        <v>47</v>
      </c>
      <c r="B3" s="38">
        <f>B2*0.2</f>
        <v>65600</v>
      </c>
      <c r="C3" s="38">
        <f>C2*0.2</f>
        <v>69000</v>
      </c>
      <c r="D3" s="38">
        <f>D2*0.2</f>
        <v>53050</v>
      </c>
      <c r="G3" s="38">
        <f>G2*0.25</f>
        <v>1350000</v>
      </c>
    </row>
    <row r="4" spans="1:14" ht="15">
      <c r="A4" t="s">
        <v>48</v>
      </c>
      <c r="B4" s="40">
        <v>30</v>
      </c>
      <c r="C4" s="40">
        <v>30</v>
      </c>
      <c r="D4" s="40">
        <v>30</v>
      </c>
      <c r="G4" s="40">
        <v>30</v>
      </c>
    </row>
    <row r="5" spans="1:14" ht="15">
      <c r="A5" t="s">
        <v>49</v>
      </c>
      <c r="B5" s="39">
        <v>6.8479999999999999E-2</v>
      </c>
      <c r="C5" s="39">
        <v>7.4999999999999997E-2</v>
      </c>
      <c r="D5" s="39">
        <v>7.4999999999999997E-2</v>
      </c>
      <c r="G5" s="39">
        <v>6.8699999999999997E-2</v>
      </c>
    </row>
    <row r="6" spans="1:14" ht="15">
      <c r="A6" t="s">
        <v>50</v>
      </c>
      <c r="B6" s="38">
        <f>PMT(B5/12,B4*12,B2-B3)</f>
        <v>-1719.049888505434</v>
      </c>
      <c r="C6" s="38">
        <f>PMT(C5/12,C4*12,C2-C3)</f>
        <v>-1929.8320436056706</v>
      </c>
      <c r="D6" s="38">
        <f>PMT(D5/12,D4*12,D2-D3)</f>
        <v>-1483.7331871489976</v>
      </c>
      <c r="G6" s="38">
        <f>PMT(G5/12,G4*12,G2-G3)</f>
        <v>-26592.087616554443</v>
      </c>
    </row>
    <row r="7" spans="1:14" ht="15">
      <c r="A7" t="s">
        <v>51</v>
      </c>
      <c r="B7" s="39">
        <v>1.7299999999999999E-2</v>
      </c>
      <c r="C7" s="39">
        <v>1.7299999999999999E-2</v>
      </c>
      <c r="D7" s="39">
        <v>1.7299999999999999E-2</v>
      </c>
      <c r="G7" s="39">
        <v>1.7299999999999999E-2</v>
      </c>
    </row>
    <row r="8" spans="1:14" ht="15">
      <c r="A8" t="s">
        <v>52</v>
      </c>
      <c r="B8" s="38">
        <f>-(B7*B2)/12</f>
        <v>-472.86666666666662</v>
      </c>
      <c r="C8" s="38">
        <f>-(C7*C2)/12</f>
        <v>-497.375</v>
      </c>
      <c r="D8" s="38">
        <f>-(D7*D2)/12</f>
        <v>-382.40208333333334</v>
      </c>
      <c r="G8" s="38">
        <f>-(G7*G2)/12</f>
        <v>-7785</v>
      </c>
    </row>
    <row r="9" spans="1:14" ht="15">
      <c r="A9" t="s">
        <v>53</v>
      </c>
      <c r="B9" s="38">
        <v>-1260</v>
      </c>
      <c r="C9" s="38">
        <v>-1260</v>
      </c>
      <c r="D9" s="38">
        <v>-1260</v>
      </c>
      <c r="G9" s="38">
        <v>-1260</v>
      </c>
    </row>
    <row r="10" spans="1:14" ht="15">
      <c r="A10" t="s">
        <v>53</v>
      </c>
      <c r="B10" s="38">
        <f>B9/12</f>
        <v>-105</v>
      </c>
      <c r="C10" s="38">
        <f>C9/12</f>
        <v>-105</v>
      </c>
      <c r="D10" s="38">
        <f>D9/12</f>
        <v>-105</v>
      </c>
      <c r="G10" s="38">
        <f>G9/12</f>
        <v>-105</v>
      </c>
    </row>
    <row r="11" spans="1:14" ht="15">
      <c r="A11" t="s">
        <v>54</v>
      </c>
      <c r="B11" s="38">
        <f>B6+B8+B10</f>
        <v>-2296.9165551721007</v>
      </c>
      <c r="C11" s="38">
        <f>-(C6+C8+C10)</f>
        <v>2532.2070436056706</v>
      </c>
      <c r="D11" s="38">
        <f>-(D6+D8+D10)</f>
        <v>1971.135270482331</v>
      </c>
      <c r="G11" s="38">
        <f>G6+G8+G10</f>
        <v>-34482.087616554447</v>
      </c>
    </row>
    <row r="12" spans="1:14">
      <c r="B12" s="38"/>
      <c r="G12" s="38"/>
    </row>
    <row r="13" spans="1:14" ht="15">
      <c r="A13" t="s">
        <v>55</v>
      </c>
      <c r="B13" s="38">
        <f>5800000*0.75</f>
        <v>4350000</v>
      </c>
      <c r="C13" s="38">
        <f>5800000*0.75</f>
        <v>4350000</v>
      </c>
      <c r="D13" s="38">
        <f>5800000*0.75</f>
        <v>4350000</v>
      </c>
      <c r="E13" s="38">
        <f>5800000*0.75</f>
        <v>4350000</v>
      </c>
      <c r="F13" s="38"/>
      <c r="J13" s="30" t="s">
        <v>56</v>
      </c>
      <c r="K13" s="64">
        <v>5400000</v>
      </c>
      <c r="L13" s="64">
        <v>5400000</v>
      </c>
      <c r="M13" s="64">
        <v>5400000</v>
      </c>
      <c r="N13" s="64">
        <v>5400000</v>
      </c>
    </row>
    <row r="14" spans="1:14" s="39" customFormat="1" ht="15">
      <c r="A14" s="39" t="s">
        <v>49</v>
      </c>
      <c r="B14" s="39">
        <v>6.8699999999999997E-2</v>
      </c>
      <c r="C14" s="39">
        <v>0.105</v>
      </c>
      <c r="D14" s="39">
        <v>6.8699999999999997E-2</v>
      </c>
      <c r="E14" s="39">
        <v>0.105</v>
      </c>
      <c r="J14" s="62" t="s">
        <v>57</v>
      </c>
      <c r="K14" s="39">
        <v>6.8699999999999997E-2</v>
      </c>
      <c r="L14" s="39">
        <v>0.105</v>
      </c>
      <c r="M14" s="39">
        <v>6.8699999999999997E-2</v>
      </c>
      <c r="N14" s="39">
        <v>0.105</v>
      </c>
    </row>
    <row r="15" spans="1:14" s="40" customFormat="1" ht="15">
      <c r="A15" s="40" t="s">
        <v>48</v>
      </c>
      <c r="B15" s="40">
        <v>30</v>
      </c>
      <c r="C15" s="40">
        <v>30</v>
      </c>
      <c r="D15" s="40">
        <v>15</v>
      </c>
      <c r="E15" s="40">
        <v>15</v>
      </c>
      <c r="J15" s="63" t="s">
        <v>58</v>
      </c>
      <c r="K15" s="40">
        <v>15</v>
      </c>
      <c r="L15" s="40">
        <v>15</v>
      </c>
      <c r="M15" s="40">
        <v>30</v>
      </c>
      <c r="N15" s="40">
        <v>30</v>
      </c>
    </row>
    <row r="16" spans="1:14" ht="15">
      <c r="A16" t="s">
        <v>54</v>
      </c>
      <c r="B16" s="38">
        <f>PMT(B14/12,B15*12,B13)</f>
        <v>-28561.871884447366</v>
      </c>
      <c r="C16" s="38">
        <f>PMT(C14/12,C15*12,C13)</f>
        <v>-39791.159310448595</v>
      </c>
      <c r="D16" s="38">
        <f>PMT(D14/12,D15*12,D13)</f>
        <v>-38783.555141195182</v>
      </c>
      <c r="E16" s="38">
        <f>PMT(E14/12,E15*12,E13)</f>
        <v>-48084.853180826904</v>
      </c>
      <c r="F16" s="38"/>
      <c r="J16" s="30" t="s">
        <v>59</v>
      </c>
      <c r="K16" s="64">
        <f>PMT(K14/12,K15*12,K13)</f>
        <v>-48145.102933897477</v>
      </c>
      <c r="L16" s="64">
        <f>PMT(L14/12,L15*12,L13)</f>
        <v>-59691.541879647179</v>
      </c>
      <c r="M16" s="64">
        <f>PMT(M14/12,M15*12,M13)</f>
        <v>-35456.116822072589</v>
      </c>
      <c r="N16" s="64">
        <f>PMT(N14/12,N15*12,N13)</f>
        <v>-49395.921902625843</v>
      </c>
    </row>
    <row r="17" spans="1:15" ht="15">
      <c r="A17" t="s">
        <v>60</v>
      </c>
      <c r="B17" s="38">
        <f>B16*12</f>
        <v>-342742.46261336841</v>
      </c>
      <c r="C17" s="38">
        <f>C16*12</f>
        <v>-477493.91172538314</v>
      </c>
      <c r="D17" s="38">
        <f>D16*12</f>
        <v>-465402.66169434215</v>
      </c>
      <c r="E17" s="38">
        <f>E16*12</f>
        <v>-577018.23816992284</v>
      </c>
      <c r="F17" s="38"/>
      <c r="J17" s="30" t="s">
        <v>61</v>
      </c>
      <c r="K17" s="64">
        <f>K16*12</f>
        <v>-577741.23520676978</v>
      </c>
      <c r="L17" s="64">
        <f>L16*12</f>
        <v>-716298.50255576614</v>
      </c>
      <c r="M17" s="64">
        <f>M16*12</f>
        <v>-425473.40186487103</v>
      </c>
      <c r="N17" s="64">
        <f>N16*12</f>
        <v>-592751.06283151009</v>
      </c>
    </row>
    <row r="18" spans="1:15" ht="22.5" customHeight="1">
      <c r="A18" t="s">
        <v>62</v>
      </c>
      <c r="B18" s="38">
        <f>B17*B15</f>
        <v>-10282273.878401052</v>
      </c>
      <c r="C18" s="38">
        <f>C17*C15</f>
        <v>-14324817.351761494</v>
      </c>
      <c r="D18" s="38">
        <f>D17*D15</f>
        <v>-6981039.9254151322</v>
      </c>
      <c r="E18" s="38">
        <f>E17*E15</f>
        <v>-8655273.5725488421</v>
      </c>
      <c r="J18" s="30" t="s">
        <v>3</v>
      </c>
      <c r="K18" s="65">
        <f>K17*K15</f>
        <v>-8666118.5281015467</v>
      </c>
      <c r="L18" s="65">
        <f t="shared" ref="L18:M18" si="0">L17*L15</f>
        <v>-10744477.538336493</v>
      </c>
      <c r="M18" s="65">
        <f t="shared" si="0"/>
        <v>-12764202.05594613</v>
      </c>
      <c r="N18" s="65">
        <f>N17*N15</f>
        <v>-17782531.884945303</v>
      </c>
      <c r="O18" s="1"/>
    </row>
    <row r="19" spans="1:15" ht="15">
      <c r="A19" t="s">
        <v>63</v>
      </c>
      <c r="B19" s="38">
        <f>B18-B13</f>
        <v>-14632273.878401052</v>
      </c>
      <c r="C19" s="38">
        <f>C18-C13</f>
        <v>-18674817.351761494</v>
      </c>
      <c r="D19" s="38">
        <f>D18-D13</f>
        <v>-11331039.925415132</v>
      </c>
      <c r="E19" s="38">
        <f>E18-E13</f>
        <v>-13005273.572548842</v>
      </c>
    </row>
    <row r="20" spans="1:15">
      <c r="B20" s="38"/>
      <c r="C20" s="38"/>
      <c r="D20" s="38"/>
      <c r="E20" s="38"/>
    </row>
    <row r="29" spans="1:15" ht="15">
      <c r="A29" t="s">
        <v>55</v>
      </c>
      <c r="B29" s="38">
        <v>4350000</v>
      </c>
      <c r="C29" s="38">
        <v>4350000</v>
      </c>
      <c r="D29" s="38">
        <v>4350000</v>
      </c>
      <c r="E29" s="38">
        <v>4350000</v>
      </c>
    </row>
    <row r="30" spans="1:15" ht="15">
      <c r="A30" s="39" t="s">
        <v>49</v>
      </c>
      <c r="B30" s="39">
        <v>6.8699999999999997E-2</v>
      </c>
      <c r="C30" s="39">
        <v>0.105</v>
      </c>
      <c r="D30" s="39">
        <v>6.8699999999999997E-2</v>
      </c>
      <c r="E30" s="39">
        <v>0.105</v>
      </c>
    </row>
    <row r="31" spans="1:15" ht="15">
      <c r="A31" s="40" t="s">
        <v>48</v>
      </c>
      <c r="B31" s="40">
        <v>30</v>
      </c>
      <c r="C31" s="40">
        <v>30</v>
      </c>
      <c r="D31" s="40">
        <v>15</v>
      </c>
      <c r="E31" s="40">
        <v>15</v>
      </c>
    </row>
    <row r="32" spans="1:15" ht="15">
      <c r="A32" t="s">
        <v>54</v>
      </c>
      <c r="B32" s="38">
        <v>-28561.871884447366</v>
      </c>
      <c r="C32" s="38">
        <v>-39791.159310448595</v>
      </c>
      <c r="D32" s="38">
        <v>-38783.555141195182</v>
      </c>
      <c r="E32" s="38">
        <v>-48084.853180826904</v>
      </c>
    </row>
    <row r="33" spans="1:5" ht="15">
      <c r="A33" t="s">
        <v>60</v>
      </c>
      <c r="B33" s="38">
        <v>-342742.46261336841</v>
      </c>
      <c r="C33" s="38">
        <v>-477493.91172538314</v>
      </c>
      <c r="D33" s="38">
        <v>-465402.66169434215</v>
      </c>
      <c r="E33" s="38">
        <v>-577018.23816992284</v>
      </c>
    </row>
    <row r="34" spans="1:5" ht="15">
      <c r="A34" t="s">
        <v>62</v>
      </c>
      <c r="B34" s="38">
        <v>-10282273.878401052</v>
      </c>
      <c r="C34" s="38">
        <v>-14324817.351761494</v>
      </c>
      <c r="D34" s="38">
        <v>-6981039.9254151322</v>
      </c>
      <c r="E34" s="38">
        <v>-8655273.5725488421</v>
      </c>
    </row>
    <row r="35" spans="1:5" ht="15">
      <c r="A35" t="s">
        <v>63</v>
      </c>
      <c r="B35" s="38">
        <v>-14632273.878401052</v>
      </c>
      <c r="C35" s="38">
        <v>-18674817.351761494</v>
      </c>
      <c r="D35" s="38">
        <v>-11331039.925415132</v>
      </c>
      <c r="E35" s="38">
        <v>-13005273.572548842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02338FD45F8479F330B3D7D7D1276" ma:contentTypeVersion="14" ma:contentTypeDescription="Create a new document." ma:contentTypeScope="" ma:versionID="ecd6f4f8c8f9781f6e794018c575e318">
  <xsd:schema xmlns:xsd="http://www.w3.org/2001/XMLSchema" xmlns:xs="http://www.w3.org/2001/XMLSchema" xmlns:p="http://schemas.microsoft.com/office/2006/metadata/properties" xmlns:ns2="699d3ab5-ef7f-45f0-bef9-d0dd3e603ec1" xmlns:ns3="ed03069a-4abf-4ddd-9144-b61b50d5acfa" targetNamespace="http://schemas.microsoft.com/office/2006/metadata/properties" ma:root="true" ma:fieldsID="d25a471fc3292b547030b3baef5c6d11" ns2:_="" ns3:_="">
    <xsd:import namespace="699d3ab5-ef7f-45f0-bef9-d0dd3e603ec1"/>
    <xsd:import namespace="ed03069a-4abf-4ddd-9144-b61b50d5a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d3ab5-ef7f-45f0-bef9-d0dd3e60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27fb18e-1dbe-4bc1-a9dd-56a3c023a3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3069a-4abf-4ddd-9144-b61b50d5ac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284c64-568f-4a32-8a2c-69659137d7dc}" ma:internalName="TaxCatchAll" ma:showField="CatchAllData" ma:web="ed03069a-4abf-4ddd-9144-b61b50d5ac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03069a-4abf-4ddd-9144-b61b50d5acfa" xsi:nil="true"/>
    <lcf76f155ced4ddcb4097134ff3c332f xmlns="699d3ab5-ef7f-45f0-bef9-d0dd3e603e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9D143E-5253-430A-91C9-E963CF454111}"/>
</file>

<file path=customXml/itemProps2.xml><?xml version="1.0" encoding="utf-8"?>
<ds:datastoreItem xmlns:ds="http://schemas.openxmlformats.org/officeDocument/2006/customXml" ds:itemID="{7171DAA8-80B7-47BB-AF0C-63B5AC7435C5}"/>
</file>

<file path=customXml/itemProps3.xml><?xml version="1.0" encoding="utf-8"?>
<ds:datastoreItem xmlns:ds="http://schemas.openxmlformats.org/officeDocument/2006/customXml" ds:itemID="{3F92F235-0401-41E6-B5C7-B43C7F3EA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Intuit Quickbooks</dc:creator>
  <cp:keywords/>
  <dc:description/>
  <cp:lastModifiedBy>Chen, Lichao</cp:lastModifiedBy>
  <cp:revision/>
  <dcterms:created xsi:type="dcterms:W3CDTF">2024-04-03T13:31:00Z</dcterms:created>
  <dcterms:modified xsi:type="dcterms:W3CDTF">2024-04-30T21:58:09Z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2024-04-03T17:31:47Z</vt:filetime>
  </property>
  <property fmtid="{D5CDD505-2E9C-101B-9397-08002B2CF9AE}" pid="4" name="ICV">
    <vt:lpwstr>7958C17E0EEA4387BECC642059764D88_12</vt:lpwstr>
  </property>
  <property fmtid="{D5CDD505-2E9C-101B-9397-08002B2CF9AE}" pid="5" name="KSOProductBuildVer">
    <vt:lpwstr>2052-12.1.0.16417</vt:lpwstr>
  </property>
  <property fmtid="{D5CDD505-2E9C-101B-9397-08002B2CF9AE}" pid="6" name="ContentTypeId">
    <vt:lpwstr>0x010100E6702338FD45F8479F330B3D7D7D1276</vt:lpwstr>
  </property>
  <property fmtid="{D5CDD505-2E9C-101B-9397-08002B2CF9AE}" pid="7" name="MediaServiceImageTags">
    <vt:lpwstr/>
  </property>
</Properties>
</file>