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Ex_to_Ex\src\"/>
    </mc:Choice>
  </mc:AlternateContent>
  <bookViews>
    <workbookView xWindow="-108" yWindow="-108" windowWidth="30936" windowHeight="16896"/>
  </bookViews>
  <sheets>
    <sheet name="name (2)" sheetId="3" r:id="rId1"/>
    <sheet name="Лист1" sheetId="2" r:id="rId2"/>
  </sheets>
  <definedNames>
    <definedName name="_xlnm._FilterDatabase" localSheetId="0" hidden="1">'name (2)'!$A$4:$BC$51</definedName>
  </definedNames>
  <calcPr calcId="152511"/>
  <customWorkbookViews>
    <customWorkbookView name="Докторов Виталий Сергеевич - Личное представление" guid="{99DEA8A7-F3C3-4BBA-BC7C-D4D7055CDA08}" mergeInterval="0" personalView="1" maximized="1" xWindow="1912" yWindow="-8" windowWidth="1936" windowHeight="1056" activeSheetId="1"/>
    <customWorkbookView name="Велесь Игорь Олегович - Личное представление" guid="{309CEB8D-4F6B-4A92-88B6-58C64EFF5309}" mergeInterval="0" personalView="1" maximized="1" xWindow="1912" yWindow="-8" windowWidth="1936" windowHeight="1056" activeSheetId="1"/>
    <customWorkbookView name="Павленко Николай Сергеевич - Личное представление" guid="{772BD9B2-76EA-4EEA-890F-5B26FEE4BECA}" mergeInterval="0" personalView="1" maximized="1" xWindow="2551" yWindow="-9" windowWidth="2499" windowHeight="1458" activeSheetId="1"/>
    <customWorkbookView name="Шмагин Артём Евгеньевич - Личное представление" guid="{3B649163-9E80-4493-B92D-C82C4BFCAC3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2" i="3"/>
  <c r="A1" i="3"/>
  <c r="E23" i="2" l="1"/>
  <c r="F23" i="2" l="1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2" i="2" l="1"/>
  <c r="E10" i="2"/>
  <c r="E15" i="2"/>
  <c r="E14" i="2"/>
  <c r="E13" i="2"/>
  <c r="E12" i="2"/>
  <c r="E11" i="2"/>
  <c r="C51" i="2"/>
  <c r="B6" i="2"/>
  <c r="B5" i="2"/>
  <c r="B4" i="2"/>
  <c r="B3" i="2"/>
  <c r="B2" i="2"/>
  <c r="F27" i="2" l="1"/>
  <c r="F24" i="2"/>
  <c r="F32" i="2"/>
  <c r="F50" i="2"/>
  <c r="F26" i="2"/>
  <c r="F35" i="2"/>
  <c r="F20" i="2"/>
  <c r="F28" i="2"/>
  <c r="F37" i="2"/>
  <c r="F21" i="2"/>
  <c r="F29" i="2"/>
  <c r="F18" i="2"/>
  <c r="F14" i="2"/>
  <c r="F22" i="2"/>
  <c r="F30" i="2"/>
  <c r="F19" i="2"/>
  <c r="F15" i="2"/>
  <c r="F31" i="2"/>
  <c r="E51" i="2"/>
  <c r="F16" i="2"/>
  <c r="F13" i="2"/>
  <c r="F12" i="2"/>
  <c r="F48" i="2"/>
  <c r="F46" i="2"/>
  <c r="F45" i="2"/>
  <c r="F44" i="2"/>
  <c r="F43" i="2"/>
  <c r="F42" i="2"/>
  <c r="F39" i="2"/>
  <c r="F38" i="2"/>
  <c r="F36" i="2"/>
  <c r="D51" i="2"/>
  <c r="F25" i="2"/>
  <c r="F33" i="2"/>
  <c r="F41" i="2"/>
  <c r="F49" i="2"/>
  <c r="F17" i="2"/>
  <c r="F10" i="2"/>
  <c r="F51" i="2" l="1"/>
</calcChain>
</file>

<file path=xl/sharedStrings.xml><?xml version="1.0" encoding="utf-8"?>
<sst xmlns="http://schemas.openxmlformats.org/spreadsheetml/2006/main" count="634" uniqueCount="223">
  <si>
    <t>Дополнительные расценки</t>
  </si>
  <si>
    <t>Атрибуты</t>
  </si>
  <si>
    <t>Название_параметра</t>
  </si>
  <si>
    <t>Шифр главы</t>
  </si>
  <si>
    <t>Шифр сборника</t>
  </si>
  <si>
    <t>Шифр отдела</t>
  </si>
  <si>
    <t>Шифр раздела</t>
  </si>
  <si>
    <t>Шифр таблицы</t>
  </si>
  <si>
    <t>Шифр расценки</t>
  </si>
  <si>
    <t>Наименование главы, сборника, отдела, раздела, таблицы, расценки</t>
  </si>
  <si>
    <t>Измеритель</t>
  </si>
  <si>
    <t>Статистика применения по объектам жилищного строительства</t>
  </si>
  <si>
    <t>Связанные расценки</t>
  </si>
  <si>
    <t>Шифры родительских расценок</t>
  </si>
  <si>
    <t>Тип алгоритма</t>
  </si>
  <si>
    <t>от</t>
  </si>
  <si>
    <t>до (включительно)</t>
  </si>
  <si>
    <t>Ед. изм.</t>
  </si>
  <si>
    <t>Шаг</t>
  </si>
  <si>
    <t>3</t>
  </si>
  <si>
    <t>3.0</t>
  </si>
  <si>
    <t>Сборник  0. Общие положения</t>
  </si>
  <si>
    <t>3.0-0-0-0-1</t>
  </si>
  <si>
    <t>3.0-0-0</t>
  </si>
  <si>
    <t>3.0-0</t>
  </si>
  <si>
    <t>Таблица 3.0-1. Затраты на превышение стоимости электроэнергии, получаемой от передвижных электростанций</t>
  </si>
  <si>
    <t>3.1</t>
  </si>
  <si>
    <t>Сборник  1. Земляные работы</t>
  </si>
  <si>
    <t>Отдел  1. Механизированная разработка грунтов</t>
  </si>
  <si>
    <t>3.1-1</t>
  </si>
  <si>
    <t>3.1-1-1</t>
  </si>
  <si>
    <t>Раздел  1. Разработка грунта экскаваторами в отвал</t>
  </si>
  <si>
    <t>3.1-1-1-0-1</t>
  </si>
  <si>
    <t>Таблица 3.1-1. Разработка грунта в отвал экскаваторами с ковшом вместимостью 1,25-1,8 м3</t>
  </si>
  <si>
    <t>Разработка грунта в отвал экскаваторами с ковшом вместимостью 1,8 м3 группа грунтов 1-3</t>
  </si>
  <si>
    <t>100 м3 грунта</t>
  </si>
  <si>
    <t>+</t>
  </si>
  <si>
    <t>3.1-1-2</t>
  </si>
  <si>
    <t>Разработка грунта в отвал экскаваторами с ковшом вместимостью 1,8 м3 группа грунтов 4</t>
  </si>
  <si>
    <t>3.1-1-3</t>
  </si>
  <si>
    <t>Разработка грунта в отвал экскаваторами с ковшом вместимостью 1,8 м3 группа грунтов 5</t>
  </si>
  <si>
    <t>3.1-1-4</t>
  </si>
  <si>
    <t>Разработка грунта в отвал экскаваторами с ковшом вместимостью 1,6 м3 группа грунтов 1-3</t>
  </si>
  <si>
    <t>3.1-1-5</t>
  </si>
  <si>
    <t>Разработка грунта в отвал экскаваторами с ковшом вместимостью 1,6 м3 группа грунтов 4</t>
  </si>
  <si>
    <t>3.1-1-6</t>
  </si>
  <si>
    <t>Разработка грунта в отвал экскаваторами с ковшом вместимостью 1,6 м3 группа грунтов 5</t>
  </si>
  <si>
    <t>3.1-1-7</t>
  </si>
  <si>
    <t>Разработка грунта в отвал экскаваторами с ковшом вместимостью 1,25 м3 группа грунтов 1-3</t>
  </si>
  <si>
    <t>3.1-1-8</t>
  </si>
  <si>
    <t>Разработка грунта в отвал экскаваторами с ковшом вместимостью 1,25 м3 группа грунтов 4</t>
  </si>
  <si>
    <t>3.1-1-9</t>
  </si>
  <si>
    <t>Разработка грунта в отвал экскаваторами с ковшом вместимостью 1,25 м3 группа грунтов 5</t>
  </si>
  <si>
    <t>3.1-1-1-0-2</t>
  </si>
  <si>
    <t>Таблица 3.1-2. Разработка грунта в отвал экскаваторами с ковшом вместимостью 0,5-1 м3</t>
  </si>
  <si>
    <t>3.1-2-1</t>
  </si>
  <si>
    <t>Разработка грунта в отвал экскаваторами с ковшом вместимостью 1 м3 группа грунтов 1-3</t>
  </si>
  <si>
    <t>3.1-2-2</t>
  </si>
  <si>
    <t>Разработка грунта в отвал экскаваторами с ковшом вместимостью 1 м3 группа грунтов 4</t>
  </si>
  <si>
    <t>3.1-2-3</t>
  </si>
  <si>
    <t>Разработка грунта в отвал экскаваторами с ковшом вместимостью 1 м3 группа грунтов 5</t>
  </si>
  <si>
    <t>3.1-2-4</t>
  </si>
  <si>
    <t>Разработка грунта в отвал экскаваторами с ковшом вместимостью 0,8 м3 группа грунтов 1-3</t>
  </si>
  <si>
    <t>3.1-2-5</t>
  </si>
  <si>
    <t>Разработка грунта в отвал экскаваторами с ковшом вместимостью 0,8 м3 группа грунтов 4</t>
  </si>
  <si>
    <t>3.1-2-6</t>
  </si>
  <si>
    <t>Разработка грунта в отвал экскаваторами с ковшом вместимостью 0,8 м3 группа грунтов 5</t>
  </si>
  <si>
    <t>3.1-2-7</t>
  </si>
  <si>
    <t>Разработка грунта в отвал экскаваторами с ковшом вместимостью 0,65 м3 группа грунтов 1-3</t>
  </si>
  <si>
    <t>3.1-2-8</t>
  </si>
  <si>
    <t>Разработка грунта в отвал экскаваторами с ковшом вместимостью 0,65 м3 группа грунтов 4</t>
  </si>
  <si>
    <t>3.1-2-9</t>
  </si>
  <si>
    <t>Разработка грунта в отвал экскаваторами с ковшом вместимостью 0,65 м3 группа грунтов 5</t>
  </si>
  <si>
    <t>3.1-2-10</t>
  </si>
  <si>
    <t>Разработка грунта в отвал экскаваторами с ковшом вместимостью 0,5 м3 группа грунтов 1-3</t>
  </si>
  <si>
    <t>3.1-2-11</t>
  </si>
  <si>
    <t>Разработка грунта в отвал экскаваторами с ковшом вместимостью 0,5 м3 группа грунтов 4</t>
  </si>
  <si>
    <t>3.1-2-12</t>
  </si>
  <si>
    <t>Разработка грунта в отвал экскаваторами с ковшом вместимостью 0,5 м3 группа грунтов 5</t>
  </si>
  <si>
    <t>3.1-1-1-0-3</t>
  </si>
  <si>
    <t>Таблица 3.1-3. Разработка грунта в отвал экскаваторами с ковшом вместимостью 0,25-0,4 м3</t>
  </si>
  <si>
    <t>3.1-3-1</t>
  </si>
  <si>
    <t>Разработка грунта в отвал экскаваторами с ковшом вместимостью 0,4 м3 группа грунтов 1-3</t>
  </si>
  <si>
    <t>3.1-3-2</t>
  </si>
  <si>
    <t>Разработка грунта в отвал экскаваторами с ковшом вместимостью 0,25 м3 группа грунтов 1-3</t>
  </si>
  <si>
    <t>3.1-1-1-0-4</t>
  </si>
  <si>
    <t>Таблица 3.1-4. Разработка грунта траншейными роторными экскаваторами</t>
  </si>
  <si>
    <t>3.1-4-1</t>
  </si>
  <si>
    <t>Разработка грунта траншейными роторными экскаваторами при ширине траншеи 1,2 м глубиной до 1,4 м группа грунтов 1-2</t>
  </si>
  <si>
    <t>3.1-4-2</t>
  </si>
  <si>
    <t>Разработка грунта траншейными роторными экскаваторами при ширине траншеи 1,2 м глубиной до 1,4 м группа грунтов 3</t>
  </si>
  <si>
    <t>3.1-4-3</t>
  </si>
  <si>
    <t>Разработка грунта траншейными роторными экскаваторами при ширине траншеи 1,2 м глубиной до 1,4 м группа грунтов 4</t>
  </si>
  <si>
    <t>3.1-4-4</t>
  </si>
  <si>
    <t>Разработка грунта траншейными роторными экскаваторами при ширине траншеи 1,5 м глубиной до 1,3 м группа грунтов 1-2</t>
  </si>
  <si>
    <t>3.1-4-5</t>
  </si>
  <si>
    <t>Разработка грунта траншейными роторными экскаваторами при ширине траншеи 1,5 м глубиной до 1,3 м группа грунтов 3</t>
  </si>
  <si>
    <t>3.1-4-6</t>
  </si>
  <si>
    <t>Разработка грунта траншейными роторными экскаваторами при ширине траншеи 1,5 м глубиной до 1,3 м группа грунтов 4</t>
  </si>
  <si>
    <t>3.1-4-7</t>
  </si>
  <si>
    <t>Разработка грунта траншейными роторными экскаваторами при ширине траншеи 1,8 м глубиной до 1,4 м группа грунтов 1-2</t>
  </si>
  <si>
    <t>3.1-4-8</t>
  </si>
  <si>
    <t>Разработка грунта траншейными роторными экскаваторами при ширине траншеи 1,8 м глубиной до 1,4 м группа грунтов 3</t>
  </si>
  <si>
    <t>3.1-4-9</t>
  </si>
  <si>
    <t>Разработка грунта траншейными роторными экскаваторами при ширине траншеи 1,8 м глубиной до 1,4 м группа грунтов 4</t>
  </si>
  <si>
    <t>Раздел  2. Разработка грунта экскаваторами с погрузкой на автомобили-самосвалы</t>
  </si>
  <si>
    <t>3.3</t>
  </si>
  <si>
    <t>Сборник  3. Буровзрывные работы</t>
  </si>
  <si>
    <t>3.4</t>
  </si>
  <si>
    <t>Сборник  4. Скважины</t>
  </si>
  <si>
    <t>3.5</t>
  </si>
  <si>
    <t>Сборник  5. Свайные работы, закрепление грунтов</t>
  </si>
  <si>
    <t>3.6</t>
  </si>
  <si>
    <t>3.7</t>
  </si>
  <si>
    <t>Сборник  7. Бетонные, железобетонные конструкции сборные</t>
  </si>
  <si>
    <t>3.8</t>
  </si>
  <si>
    <t>Сборник  8. Конструкции из кирпича и блоков</t>
  </si>
  <si>
    <t>3.9</t>
  </si>
  <si>
    <t>Сборник  9. Металлические конструкции</t>
  </si>
  <si>
    <t>3.10</t>
  </si>
  <si>
    <t>Сборник 10. Деревянные конструкции</t>
  </si>
  <si>
    <t>3.11</t>
  </si>
  <si>
    <t>Сборник 11. Полы</t>
  </si>
  <si>
    <t>3.12</t>
  </si>
  <si>
    <t>Сборник 12. Кровли</t>
  </si>
  <si>
    <t>3.13</t>
  </si>
  <si>
    <t>Сборник 13. Защита строительных конструкций и оборудования от коррозии</t>
  </si>
  <si>
    <t>3.14</t>
  </si>
  <si>
    <t>Сборник 14. Конструкции в сельском строительстве</t>
  </si>
  <si>
    <t>3.15</t>
  </si>
  <si>
    <t>Сборник 15. Отделочные работы</t>
  </si>
  <si>
    <t>3.16</t>
  </si>
  <si>
    <t>Сборник 16. Трубопроводы внутренние</t>
  </si>
  <si>
    <t>3.17</t>
  </si>
  <si>
    <t>Сборник 17. Водопровод и канализация - внутренние устройства</t>
  </si>
  <si>
    <t>3.18</t>
  </si>
  <si>
    <t>Сборник 18. Отопление - внутренние устройства</t>
  </si>
  <si>
    <t>3.19</t>
  </si>
  <si>
    <t>Сборник 19. Газоснабжение - внутренние устройства</t>
  </si>
  <si>
    <t>3.20</t>
  </si>
  <si>
    <t>Сборник 20. Вентиляция и кондиционирование воздуха</t>
  </si>
  <si>
    <t>3.22</t>
  </si>
  <si>
    <t>Сборник 22. Водопровод - наружные сети</t>
  </si>
  <si>
    <t>3.23</t>
  </si>
  <si>
    <t>Сборник 23. Канализация - наружные сети</t>
  </si>
  <si>
    <t>3.24</t>
  </si>
  <si>
    <t>Сборник 24. Теплоснабжение и газопроводы - наружные сети</t>
  </si>
  <si>
    <t>3.26</t>
  </si>
  <si>
    <t>Сборник 26. Теплоизоляционные работы</t>
  </si>
  <si>
    <t>3.27</t>
  </si>
  <si>
    <t>Сборник 27. Автомобильные дороги</t>
  </si>
  <si>
    <t>3.28</t>
  </si>
  <si>
    <t>Сборник 28. Железные дороги</t>
  </si>
  <si>
    <t>3.29</t>
  </si>
  <si>
    <t>Сборник 29. Тоннели и метрополитены</t>
  </si>
  <si>
    <t>3.30</t>
  </si>
  <si>
    <t>Сборник 30. Мосты и трубы</t>
  </si>
  <si>
    <t>3.32</t>
  </si>
  <si>
    <t>Сборник 32. Трамвайные пути</t>
  </si>
  <si>
    <t>3.33</t>
  </si>
  <si>
    <t>Сборник 33. Линии электропередачи</t>
  </si>
  <si>
    <t>3.34</t>
  </si>
  <si>
    <t>Сборник 34. Сооружения связи, радиовещания и телевидения</t>
  </si>
  <si>
    <t>3.36</t>
  </si>
  <si>
    <t>Сборник 36. Земляные конструкции гидротехнических сооружений</t>
  </si>
  <si>
    <t>3.37</t>
  </si>
  <si>
    <t>Сборник 37. Бетонные и железобетонные конструкции гидротехнических сооружений</t>
  </si>
  <si>
    <t>3.38</t>
  </si>
  <si>
    <t>Сборник 38. Каменные конструкции гидротехнических сооружений</t>
  </si>
  <si>
    <t>3.39</t>
  </si>
  <si>
    <t>Сборник 39. Металлические конструкции гидротехнических сооружений</t>
  </si>
  <si>
    <t>3.40</t>
  </si>
  <si>
    <t>Сборник 40. Деревянные конструкции гидротехнических сооружений</t>
  </si>
  <si>
    <t>3.41</t>
  </si>
  <si>
    <t>Сборник 41. Гидроизоляционные работы в гидротехнических сооружениях</t>
  </si>
  <si>
    <t>3.42</t>
  </si>
  <si>
    <t>Сборник 42. Берегоукрепительные работы</t>
  </si>
  <si>
    <t>3.44</t>
  </si>
  <si>
    <t>Сборник 44. Подводно-строительные (водолазные) работы</t>
  </si>
  <si>
    <t>3.45</t>
  </si>
  <si>
    <t>Сборник 45. Промышленные печи и трубы</t>
  </si>
  <si>
    <t>3.47</t>
  </si>
  <si>
    <t>Сборник 47. Озеленение, благоустройство, малые формы</t>
  </si>
  <si>
    <t>3.51</t>
  </si>
  <si>
    <t>Сборник 51. Прочие строительные работы</t>
  </si>
  <si>
    <t>Тип значения</t>
  </si>
  <si>
    <t>Объем</t>
  </si>
  <si>
    <t>Материал</t>
  </si>
  <si>
    <t>Способ производства работ</t>
  </si>
  <si>
    <t>м3</t>
  </si>
  <si>
    <t>-</t>
  </si>
  <si>
    <t>м</t>
  </si>
  <si>
    <t>Ширина</t>
  </si>
  <si>
    <t>Элемент</t>
  </si>
  <si>
    <t>Группа</t>
  </si>
  <si>
    <t>Разработка грунта в отвал экскаваторами</t>
  </si>
  <si>
    <t>1-3</t>
  </si>
  <si>
    <t>4</t>
  </si>
  <si>
    <t>5</t>
  </si>
  <si>
    <t>От</t>
  </si>
  <si>
    <t>До</t>
  </si>
  <si>
    <t xml:space="preserve">От </t>
  </si>
  <si>
    <t xml:space="preserve">До </t>
  </si>
  <si>
    <t>Разработка грунта траншейными роторными экскаваторам</t>
  </si>
  <si>
    <t>1-2</t>
  </si>
  <si>
    <t>Глубина</t>
  </si>
  <si>
    <t>Исполнитель</t>
  </si>
  <si>
    <t>Велесь</t>
  </si>
  <si>
    <t>Шмагин</t>
  </si>
  <si>
    <t>Докторов</t>
  </si>
  <si>
    <t>Кол-во</t>
  </si>
  <si>
    <t>Задеренко</t>
  </si>
  <si>
    <t xml:space="preserve">Павленко </t>
  </si>
  <si>
    <t>Наименование сборника</t>
  </si>
  <si>
    <t>Шифр</t>
  </si>
  <si>
    <t>Всего в ТСН</t>
  </si>
  <si>
    <t>Кол-во к параметризации</t>
  </si>
  <si>
    <t>Готов</t>
  </si>
  <si>
    <t>шт</t>
  </si>
  <si>
    <t>%</t>
  </si>
  <si>
    <t>Всего</t>
  </si>
  <si>
    <t>Сборник  6. Бетонные, железобетонные конструкции монолитные</t>
  </si>
  <si>
    <t>Параметризован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</si>
</sst>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right" vertical="center"/>
    </xf>
    <xf numFmtId="0" fontId="6" fillId="0" borderId="1" xfId="0" applyFont="1" applyBorder="1"/>
    <xf numFmtId="9" fontId="0" fillId="0" borderId="0" xfId="0" applyNumberFormat="1"/>
    <xf numFmtId="9" fontId="2" fillId="3" borderId="3" xfId="0" applyNumberFormat="1" applyFont="1" applyFill="1" applyBorder="1" applyAlignment="1">
      <alignment horizontal="center" vertical="center" wrapText="1"/>
    </xf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9" fontId="6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2F2E07B-8C01-4E67-86D0-E9D4285B8F4B}">
  <we:reference id="wa200005271" version="1.0.0.0" store="ru-RU" storeType="OMEX"/>
  <we:alternateReferences>
    <we:reference id="wa200005271" version="1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  <a:ext xmlns:a="http://schemas.openxmlformats.org/drawingml/2006/main" uri="{7C84B067-C214-45C3-A712-C9D94CD141B2}">
      <we:customFunctionIdList xmlns="">
        <we:customFunctionIds>_xldudf_AI_FILL</we:customFunctionIds>
        <we:customFunctionIds>_xldudf_AI_LIST</we:customFunctionIds>
        <we:customFunctionIds>_xldudf_AI_GET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51"/>
  <sheetViews>
    <sheetView showGridLines="0" tabSelected="1" topLeftCell="B43" zoomScale="60" zoomScaleNormal="60" workbookViewId="0">
      <selection activeCell="O7" sqref="O7"/>
    </sheetView>
  </sheetViews>
  <sheetFormatPr defaultRowHeight="14.4" outlineLevelRow="5" x14ac:dyDescent="0.3"/>
  <cols>
    <col min="1" max="1" width="8.6640625" customWidth="1"/>
    <col min="2" max="2" width="10.6640625" customWidth="1"/>
    <col min="3" max="4" width="12.6640625" customWidth="1"/>
    <col min="5" max="5" width="15.6640625" customWidth="1"/>
    <col min="6" max="6" width="10.6640625" customWidth="1"/>
    <col min="7" max="7" width="80.6640625" customWidth="1"/>
    <col min="8" max="8" width="15.6640625" customWidth="1"/>
    <col min="9" max="9" width="16.6640625" customWidth="1"/>
    <col min="10" max="10" width="10.6640625" style="4" customWidth="1"/>
    <col min="11" max="11" width="17.109375" style="3" customWidth="1"/>
    <col min="12" max="13" width="15.6640625" style="3" customWidth="1"/>
    <col min="14" max="14" width="43" style="3" customWidth="1"/>
    <col min="15" max="15" width="26" style="3" customWidth="1"/>
    <col min="16" max="16" width="38.33203125" style="1" customWidth="1"/>
    <col min="17" max="17" width="39.33203125" style="1" customWidth="1"/>
    <col min="18" max="18" width="51.33203125" style="1" customWidth="1"/>
    <col min="19" max="19" width="30.33203125" style="1" customWidth="1"/>
    <col min="20" max="22" width="14.109375" style="4" customWidth="1"/>
    <col min="23" max="24" width="8.88671875" style="4"/>
    <col min="25" max="25" width="10.33203125" style="4" customWidth="1"/>
    <col min="26" max="26" width="11.5546875" style="4" customWidth="1"/>
    <col min="27" max="27" width="18" style="4" customWidth="1"/>
    <col min="28" max="30" width="8.88671875" style="4"/>
    <col min="31" max="31" width="11" style="4" customWidth="1"/>
    <col min="32" max="39" width="8.88671875" style="4"/>
  </cols>
  <sheetData>
    <row r="1" spans="1:21" x14ac:dyDescent="0.3">
      <c r="A1" t="e">
        <f>COUNTIF(#REF!,#REF!)</f>
        <v>#REF!</v>
      </c>
    </row>
    <row r="2" spans="1:21" x14ac:dyDescent="0.3">
      <c r="A2" t="e">
        <f>COUNTIF(#REF!,#REF!)</f>
        <v>#REF!</v>
      </c>
    </row>
    <row r="3" spans="1:21" x14ac:dyDescent="0.3">
      <c r="A3" t="e">
        <f>COUNTIF(#REF!,#REF!)</f>
        <v>#REF!</v>
      </c>
      <c r="K3" s="40" t="s">
        <v>0</v>
      </c>
      <c r="L3" s="40"/>
      <c r="M3" s="40"/>
      <c r="N3" s="41" t="s">
        <v>1</v>
      </c>
      <c r="O3" s="41"/>
      <c r="P3" s="26" t="s">
        <v>2</v>
      </c>
      <c r="Q3" s="26"/>
      <c r="R3" s="26"/>
      <c r="S3" s="26"/>
    </row>
    <row r="4" spans="1:21" ht="72" x14ac:dyDescent="0.3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222</v>
      </c>
      <c r="K4" s="24" t="s">
        <v>12</v>
      </c>
      <c r="L4" s="24" t="s">
        <v>13</v>
      </c>
      <c r="M4" s="24" t="s">
        <v>14</v>
      </c>
      <c r="N4" s="25" t="s">
        <v>193</v>
      </c>
      <c r="O4" s="25" t="s">
        <v>187</v>
      </c>
      <c r="P4" s="22" t="s">
        <v>15</v>
      </c>
      <c r="Q4" s="22" t="s">
        <v>16</v>
      </c>
      <c r="R4" s="22" t="s">
        <v>17</v>
      </c>
      <c r="S4" s="22" t="s">
        <v>18</v>
      </c>
    </row>
    <row r="5" spans="1:21" outlineLevel="1" x14ac:dyDescent="0.3">
      <c r="A5" s="1" t="s">
        <v>19</v>
      </c>
      <c r="B5" s="1" t="s">
        <v>20</v>
      </c>
      <c r="G5" s="2" t="s">
        <v>21</v>
      </c>
    </row>
    <row r="6" spans="1:21" x14ac:dyDescent="0.3">
      <c r="K6" s="26" t="s">
        <v>0</v>
      </c>
      <c r="L6" s="26"/>
      <c r="M6" s="26"/>
      <c r="N6" s="26" t="s">
        <v>1</v>
      </c>
      <c r="O6" s="26"/>
    </row>
    <row r="7" spans="1:21" ht="43.2" outlineLevel="4" x14ac:dyDescent="0.3">
      <c r="A7" s="1" t="s">
        <v>19</v>
      </c>
      <c r="B7" s="1" t="s">
        <v>20</v>
      </c>
      <c r="C7" s="1" t="s">
        <v>24</v>
      </c>
      <c r="D7" s="1" t="s">
        <v>23</v>
      </c>
      <c r="E7" s="1" t="s">
        <v>22</v>
      </c>
      <c r="G7" s="2" t="s">
        <v>25</v>
      </c>
      <c r="K7" s="22" t="s">
        <v>12</v>
      </c>
      <c r="L7" s="22" t="s">
        <v>13</v>
      </c>
      <c r="M7" s="22" t="s">
        <v>14</v>
      </c>
      <c r="N7" s="22" t="s">
        <v>193</v>
      </c>
      <c r="O7" s="22" t="s">
        <v>187</v>
      </c>
    </row>
    <row r="8" spans="1:21" outlineLevel="1" x14ac:dyDescent="0.3">
      <c r="A8" s="1" t="s">
        <v>19</v>
      </c>
      <c r="B8" s="1" t="s">
        <v>26</v>
      </c>
      <c r="G8" s="2" t="s">
        <v>27</v>
      </c>
    </row>
    <row r="9" spans="1:21" outlineLevel="2" x14ac:dyDescent="0.3">
      <c r="A9" s="1" t="s">
        <v>19</v>
      </c>
      <c r="B9" s="1" t="s">
        <v>26</v>
      </c>
      <c r="C9" s="1" t="s">
        <v>26</v>
      </c>
      <c r="G9" s="2" t="s">
        <v>28</v>
      </c>
    </row>
    <row r="10" spans="1:21" outlineLevel="3" x14ac:dyDescent="0.3">
      <c r="A10" s="1" t="s">
        <v>19</v>
      </c>
      <c r="B10" s="1" t="s">
        <v>26</v>
      </c>
      <c r="C10" s="1" t="s">
        <v>29</v>
      </c>
      <c r="D10" s="1" t="s">
        <v>30</v>
      </c>
      <c r="G10" s="2" t="s">
        <v>31</v>
      </c>
    </row>
    <row r="11" spans="1:21" x14ac:dyDescent="0.3">
      <c r="K11" s="41" t="s">
        <v>0</v>
      </c>
      <c r="L11" s="41"/>
      <c r="M11" s="41"/>
      <c r="N11" s="37" t="s">
        <v>1</v>
      </c>
      <c r="O11" s="37"/>
      <c r="P11" s="37"/>
      <c r="Q11" s="39" t="s">
        <v>186</v>
      </c>
      <c r="R11" s="39"/>
      <c r="S11" s="39"/>
      <c r="T11" s="39"/>
      <c r="U11" s="39"/>
    </row>
    <row r="12" spans="1:21" ht="43.2" outlineLevel="4" x14ac:dyDescent="0.3">
      <c r="A12" s="1" t="s">
        <v>19</v>
      </c>
      <c r="B12" s="1" t="s">
        <v>26</v>
      </c>
      <c r="C12" s="1" t="s">
        <v>29</v>
      </c>
      <c r="D12" s="1" t="s">
        <v>30</v>
      </c>
      <c r="E12" s="1" t="s">
        <v>32</v>
      </c>
      <c r="G12" s="36" t="s">
        <v>33</v>
      </c>
      <c r="K12" s="25" t="s">
        <v>12</v>
      </c>
      <c r="L12" s="25" t="s">
        <v>13</v>
      </c>
      <c r="M12" s="25" t="s">
        <v>14</v>
      </c>
      <c r="N12" s="38" t="s">
        <v>188</v>
      </c>
      <c r="O12" s="38" t="s">
        <v>187</v>
      </c>
      <c r="P12" s="38" t="s">
        <v>194</v>
      </c>
      <c r="Q12" s="24" t="s">
        <v>199</v>
      </c>
      <c r="R12" s="24" t="s">
        <v>200</v>
      </c>
      <c r="S12" s="24" t="s">
        <v>17</v>
      </c>
      <c r="T12" s="24" t="s">
        <v>18</v>
      </c>
      <c r="U12" s="24" t="s">
        <v>185</v>
      </c>
    </row>
    <row r="13" spans="1:21" ht="28.8" outlineLevel="5" x14ac:dyDescent="0.3">
      <c r="A13" s="1" t="s">
        <v>19</v>
      </c>
      <c r="B13" s="1" t="s">
        <v>26</v>
      </c>
      <c r="C13" s="1" t="s">
        <v>29</v>
      </c>
      <c r="D13" s="1" t="s">
        <v>30</v>
      </c>
      <c r="E13" s="1" t="s">
        <v>32</v>
      </c>
      <c r="F13" s="1" t="s">
        <v>30</v>
      </c>
      <c r="G13" s="2" t="s">
        <v>34</v>
      </c>
      <c r="H13" s="2" t="s">
        <v>35</v>
      </c>
      <c r="I13" s="2">
        <v>11</v>
      </c>
      <c r="J13" s="1" t="s">
        <v>36</v>
      </c>
      <c r="N13" s="3" t="s">
        <v>195</v>
      </c>
      <c r="P13" s="5" t="s">
        <v>196</v>
      </c>
      <c r="Q13" s="1">
        <v>1.8</v>
      </c>
      <c r="R13" s="1">
        <v>1.8</v>
      </c>
      <c r="S13" s="1" t="s">
        <v>189</v>
      </c>
      <c r="U13" s="4">
        <v>1</v>
      </c>
    </row>
    <row r="14" spans="1:21" outlineLevel="5" x14ac:dyDescent="0.3">
      <c r="A14" s="1" t="s">
        <v>19</v>
      </c>
      <c r="B14" s="1" t="s">
        <v>26</v>
      </c>
      <c r="C14" s="1" t="s">
        <v>29</v>
      </c>
      <c r="D14" s="1" t="s">
        <v>30</v>
      </c>
      <c r="E14" s="1" t="s">
        <v>32</v>
      </c>
      <c r="F14" s="1" t="s">
        <v>37</v>
      </c>
      <c r="G14" s="2" t="s">
        <v>38</v>
      </c>
      <c r="H14" s="2" t="s">
        <v>35</v>
      </c>
      <c r="J14" s="1" t="s">
        <v>36</v>
      </c>
      <c r="N14" s="3" t="s">
        <v>195</v>
      </c>
      <c r="P14" s="5" t="s">
        <v>197</v>
      </c>
      <c r="Q14" s="1">
        <v>1.8</v>
      </c>
      <c r="R14" s="1">
        <v>1.8</v>
      </c>
      <c r="S14" s="1" t="s">
        <v>189</v>
      </c>
      <c r="U14" s="4">
        <v>1</v>
      </c>
    </row>
    <row r="15" spans="1:21" outlineLevel="5" x14ac:dyDescent="0.3">
      <c r="A15" s="1" t="s">
        <v>19</v>
      </c>
      <c r="B15" s="1" t="s">
        <v>26</v>
      </c>
      <c r="C15" s="1" t="s">
        <v>29</v>
      </c>
      <c r="D15" s="1" t="s">
        <v>30</v>
      </c>
      <c r="E15" s="1" t="s">
        <v>32</v>
      </c>
      <c r="F15" s="1" t="s">
        <v>39</v>
      </c>
      <c r="G15" s="2" t="s">
        <v>40</v>
      </c>
      <c r="H15" s="2" t="s">
        <v>35</v>
      </c>
      <c r="J15" s="1" t="s">
        <v>36</v>
      </c>
      <c r="N15" s="3" t="s">
        <v>195</v>
      </c>
      <c r="P15" s="5" t="s">
        <v>198</v>
      </c>
      <c r="Q15" s="1">
        <v>1.8</v>
      </c>
      <c r="R15" s="1">
        <v>1.8</v>
      </c>
      <c r="S15" s="1" t="s">
        <v>189</v>
      </c>
      <c r="U15" s="4">
        <v>1</v>
      </c>
    </row>
    <row r="16" spans="1:21" ht="28.8" outlineLevel="5" x14ac:dyDescent="0.3">
      <c r="A16" s="1" t="s">
        <v>19</v>
      </c>
      <c r="B16" s="1" t="s">
        <v>26</v>
      </c>
      <c r="C16" s="1" t="s">
        <v>29</v>
      </c>
      <c r="D16" s="1" t="s">
        <v>30</v>
      </c>
      <c r="E16" s="1" t="s">
        <v>32</v>
      </c>
      <c r="F16" s="1" t="s">
        <v>41</v>
      </c>
      <c r="G16" s="2" t="s">
        <v>42</v>
      </c>
      <c r="H16" s="2" t="s">
        <v>35</v>
      </c>
      <c r="I16" s="2">
        <v>10</v>
      </c>
      <c r="J16" s="1" t="s">
        <v>36</v>
      </c>
      <c r="N16" s="3" t="s">
        <v>195</v>
      </c>
      <c r="P16" s="5" t="s">
        <v>196</v>
      </c>
      <c r="Q16" s="1">
        <v>1.6</v>
      </c>
      <c r="R16" s="1">
        <v>1.6</v>
      </c>
      <c r="S16" s="1" t="s">
        <v>189</v>
      </c>
      <c r="U16" s="4">
        <v>1</v>
      </c>
    </row>
    <row r="17" spans="1:21" outlineLevel="5" x14ac:dyDescent="0.3">
      <c r="A17" s="1" t="s">
        <v>19</v>
      </c>
      <c r="B17" s="1" t="s">
        <v>26</v>
      </c>
      <c r="C17" s="1" t="s">
        <v>29</v>
      </c>
      <c r="D17" s="1" t="s">
        <v>30</v>
      </c>
      <c r="E17" s="1" t="s">
        <v>32</v>
      </c>
      <c r="F17" s="1" t="s">
        <v>43</v>
      </c>
      <c r="G17" s="2" t="s">
        <v>44</v>
      </c>
      <c r="H17" s="2" t="s">
        <v>35</v>
      </c>
      <c r="J17" s="1" t="s">
        <v>36</v>
      </c>
      <c r="N17" s="3" t="s">
        <v>195</v>
      </c>
      <c r="P17" s="5" t="s">
        <v>197</v>
      </c>
      <c r="Q17" s="1">
        <v>1.6</v>
      </c>
      <c r="R17" s="1">
        <v>1.6</v>
      </c>
      <c r="S17" s="1" t="s">
        <v>189</v>
      </c>
      <c r="U17" s="4">
        <v>1</v>
      </c>
    </row>
    <row r="18" spans="1:21" outlineLevel="5" x14ac:dyDescent="0.3">
      <c r="A18" s="1" t="s">
        <v>19</v>
      </c>
      <c r="B18" s="1" t="s">
        <v>26</v>
      </c>
      <c r="C18" s="1" t="s">
        <v>29</v>
      </c>
      <c r="D18" s="1" t="s">
        <v>30</v>
      </c>
      <c r="E18" s="1" t="s">
        <v>32</v>
      </c>
      <c r="F18" s="1" t="s">
        <v>45</v>
      </c>
      <c r="G18" s="2" t="s">
        <v>46</v>
      </c>
      <c r="H18" s="2" t="s">
        <v>35</v>
      </c>
      <c r="J18" s="1" t="s">
        <v>36</v>
      </c>
      <c r="N18" s="3" t="s">
        <v>195</v>
      </c>
      <c r="P18" s="5" t="s">
        <v>198</v>
      </c>
      <c r="Q18" s="1">
        <v>1.6</v>
      </c>
      <c r="R18" s="1">
        <v>1.6</v>
      </c>
      <c r="S18" s="1" t="s">
        <v>189</v>
      </c>
      <c r="U18" s="4">
        <v>1</v>
      </c>
    </row>
    <row r="19" spans="1:21" ht="28.8" outlineLevel="5" x14ac:dyDescent="0.3">
      <c r="A19" s="1" t="s">
        <v>19</v>
      </c>
      <c r="B19" s="1" t="s">
        <v>26</v>
      </c>
      <c r="C19" s="1" t="s">
        <v>29</v>
      </c>
      <c r="D19" s="1" t="s">
        <v>30</v>
      </c>
      <c r="E19" s="1" t="s">
        <v>32</v>
      </c>
      <c r="F19" s="1" t="s">
        <v>47</v>
      </c>
      <c r="G19" s="2" t="s">
        <v>48</v>
      </c>
      <c r="H19" s="2" t="s">
        <v>35</v>
      </c>
      <c r="I19" s="2">
        <v>1</v>
      </c>
      <c r="J19" s="1" t="s">
        <v>36</v>
      </c>
      <c r="N19" s="3" t="s">
        <v>195</v>
      </c>
      <c r="P19" s="5" t="s">
        <v>196</v>
      </c>
      <c r="Q19" s="1">
        <v>1.25</v>
      </c>
      <c r="R19" s="1">
        <v>1.25</v>
      </c>
      <c r="S19" s="1" t="s">
        <v>189</v>
      </c>
      <c r="U19" s="4">
        <v>1</v>
      </c>
    </row>
    <row r="20" spans="1:21" ht="28.8" outlineLevel="5" x14ac:dyDescent="0.3">
      <c r="A20" s="1" t="s">
        <v>19</v>
      </c>
      <c r="B20" s="1" t="s">
        <v>26</v>
      </c>
      <c r="C20" s="1" t="s">
        <v>29</v>
      </c>
      <c r="D20" s="1" t="s">
        <v>30</v>
      </c>
      <c r="E20" s="1" t="s">
        <v>32</v>
      </c>
      <c r="F20" s="1" t="s">
        <v>49</v>
      </c>
      <c r="G20" s="2" t="s">
        <v>50</v>
      </c>
      <c r="H20" s="2" t="s">
        <v>35</v>
      </c>
      <c r="J20" s="1" t="s">
        <v>36</v>
      </c>
      <c r="N20" s="3" t="s">
        <v>195</v>
      </c>
      <c r="P20" s="5" t="s">
        <v>197</v>
      </c>
      <c r="Q20" s="1">
        <v>1.25</v>
      </c>
      <c r="R20" s="1">
        <v>1.25</v>
      </c>
      <c r="S20" s="1" t="s">
        <v>189</v>
      </c>
      <c r="U20" s="4">
        <v>1</v>
      </c>
    </row>
    <row r="21" spans="1:21" ht="28.8" outlineLevel="5" x14ac:dyDescent="0.3">
      <c r="A21" s="1" t="s">
        <v>19</v>
      </c>
      <c r="B21" s="1" t="s">
        <v>26</v>
      </c>
      <c r="C21" s="1" t="s">
        <v>29</v>
      </c>
      <c r="D21" s="1" t="s">
        <v>30</v>
      </c>
      <c r="E21" s="1" t="s">
        <v>32</v>
      </c>
      <c r="F21" s="1" t="s">
        <v>51</v>
      </c>
      <c r="G21" s="2" t="s">
        <v>52</v>
      </c>
      <c r="H21" s="2" t="s">
        <v>35</v>
      </c>
      <c r="J21" s="1" t="s">
        <v>36</v>
      </c>
      <c r="N21" s="3" t="s">
        <v>195</v>
      </c>
      <c r="P21" s="5" t="s">
        <v>198</v>
      </c>
      <c r="Q21" s="1">
        <v>1.25</v>
      </c>
      <c r="R21" s="1">
        <v>1.25</v>
      </c>
      <c r="S21" s="1" t="s">
        <v>189</v>
      </c>
      <c r="U21" s="4">
        <v>1</v>
      </c>
    </row>
    <row r="22" spans="1:21" x14ac:dyDescent="0.3">
      <c r="K22" s="26" t="s">
        <v>0</v>
      </c>
      <c r="L22" s="26"/>
      <c r="M22" s="26"/>
      <c r="N22" s="26" t="s">
        <v>1</v>
      </c>
      <c r="O22" s="26"/>
      <c r="P22" s="27"/>
      <c r="Q22" s="29" t="s">
        <v>186</v>
      </c>
      <c r="R22" s="29"/>
      <c r="S22" s="29"/>
      <c r="T22" s="29"/>
      <c r="U22" s="29"/>
    </row>
    <row r="23" spans="1:21" ht="43.2" outlineLevel="4" x14ac:dyDescent="0.3">
      <c r="A23" s="1" t="s">
        <v>19</v>
      </c>
      <c r="B23" s="1" t="s">
        <v>26</v>
      </c>
      <c r="C23" s="1" t="s">
        <v>29</v>
      </c>
      <c r="D23" s="1" t="s">
        <v>30</v>
      </c>
      <c r="E23" s="1" t="s">
        <v>53</v>
      </c>
      <c r="G23" s="36" t="s">
        <v>54</v>
      </c>
      <c r="K23" s="22" t="s">
        <v>12</v>
      </c>
      <c r="L23" s="22" t="s">
        <v>13</v>
      </c>
      <c r="M23" s="22" t="s">
        <v>14</v>
      </c>
      <c r="N23" s="22" t="s">
        <v>188</v>
      </c>
      <c r="O23" s="22" t="s">
        <v>187</v>
      </c>
      <c r="P23" s="23" t="s">
        <v>194</v>
      </c>
      <c r="Q23" s="23" t="s">
        <v>201</v>
      </c>
      <c r="R23" s="22" t="s">
        <v>202</v>
      </c>
      <c r="S23" s="22" t="s">
        <v>17</v>
      </c>
      <c r="T23" s="23" t="s">
        <v>18</v>
      </c>
      <c r="U23" s="23" t="s">
        <v>185</v>
      </c>
    </row>
    <row r="24" spans="1:21" outlineLevel="5" x14ac:dyDescent="0.3">
      <c r="A24" s="1" t="s">
        <v>19</v>
      </c>
      <c r="B24" s="1" t="s">
        <v>26</v>
      </c>
      <c r="C24" s="1" t="s">
        <v>29</v>
      </c>
      <c r="D24" s="1" t="s">
        <v>30</v>
      </c>
      <c r="E24" s="1" t="s">
        <v>53</v>
      </c>
      <c r="F24" s="1" t="s">
        <v>55</v>
      </c>
      <c r="G24" s="2" t="s">
        <v>56</v>
      </c>
      <c r="H24" s="2" t="s">
        <v>35</v>
      </c>
      <c r="I24" s="2">
        <v>57</v>
      </c>
      <c r="J24" s="1" t="s">
        <v>36</v>
      </c>
      <c r="N24" s="3" t="s">
        <v>195</v>
      </c>
      <c r="P24" s="5" t="s">
        <v>196</v>
      </c>
      <c r="Q24" s="1">
        <v>1</v>
      </c>
      <c r="R24" s="1">
        <v>1</v>
      </c>
      <c r="S24" s="1" t="s">
        <v>189</v>
      </c>
      <c r="U24" s="4">
        <v>1</v>
      </c>
    </row>
    <row r="25" spans="1:21" outlineLevel="5" x14ac:dyDescent="0.3">
      <c r="A25" s="1" t="s">
        <v>19</v>
      </c>
      <c r="B25" s="1" t="s">
        <v>26</v>
      </c>
      <c r="C25" s="1" t="s">
        <v>29</v>
      </c>
      <c r="D25" s="1" t="s">
        <v>30</v>
      </c>
      <c r="E25" s="1" t="s">
        <v>53</v>
      </c>
      <c r="F25" s="1" t="s">
        <v>57</v>
      </c>
      <c r="G25" s="2" t="s">
        <v>58</v>
      </c>
      <c r="H25" s="2" t="s">
        <v>35</v>
      </c>
      <c r="J25" s="1" t="s">
        <v>36</v>
      </c>
      <c r="N25" s="3" t="s">
        <v>195</v>
      </c>
      <c r="P25" s="5" t="s">
        <v>197</v>
      </c>
      <c r="Q25" s="1">
        <v>1</v>
      </c>
      <c r="R25" s="1">
        <v>1</v>
      </c>
      <c r="S25" s="1" t="s">
        <v>189</v>
      </c>
      <c r="U25" s="4">
        <v>1</v>
      </c>
    </row>
    <row r="26" spans="1:21" outlineLevel="5" x14ac:dyDescent="0.3">
      <c r="A26" s="1" t="s">
        <v>19</v>
      </c>
      <c r="B26" s="1" t="s">
        <v>26</v>
      </c>
      <c r="C26" s="1" t="s">
        <v>29</v>
      </c>
      <c r="D26" s="1" t="s">
        <v>30</v>
      </c>
      <c r="E26" s="1" t="s">
        <v>53</v>
      </c>
      <c r="F26" s="1" t="s">
        <v>59</v>
      </c>
      <c r="G26" s="2" t="s">
        <v>60</v>
      </c>
      <c r="H26" s="2" t="s">
        <v>35</v>
      </c>
      <c r="J26" s="1" t="s">
        <v>36</v>
      </c>
      <c r="N26" s="3" t="s">
        <v>195</v>
      </c>
      <c r="P26" s="5" t="s">
        <v>198</v>
      </c>
      <c r="Q26" s="1">
        <v>1</v>
      </c>
      <c r="R26" s="1">
        <v>1</v>
      </c>
      <c r="S26" s="1" t="s">
        <v>189</v>
      </c>
      <c r="U26" s="4">
        <v>1</v>
      </c>
    </row>
    <row r="27" spans="1:21" ht="28.8" outlineLevel="5" x14ac:dyDescent="0.3">
      <c r="A27" s="1" t="s">
        <v>19</v>
      </c>
      <c r="B27" s="1" t="s">
        <v>26</v>
      </c>
      <c r="C27" s="1" t="s">
        <v>29</v>
      </c>
      <c r="D27" s="1" t="s">
        <v>30</v>
      </c>
      <c r="E27" s="1" t="s">
        <v>53</v>
      </c>
      <c r="F27" s="1" t="s">
        <v>61</v>
      </c>
      <c r="G27" s="2" t="s">
        <v>62</v>
      </c>
      <c r="H27" s="2" t="s">
        <v>35</v>
      </c>
      <c r="I27" s="2">
        <v>20</v>
      </c>
      <c r="J27" s="1" t="s">
        <v>36</v>
      </c>
      <c r="N27" s="3" t="s">
        <v>195</v>
      </c>
      <c r="P27" s="5" t="s">
        <v>196</v>
      </c>
      <c r="Q27" s="1">
        <v>0.8</v>
      </c>
      <c r="R27" s="1">
        <v>0.8</v>
      </c>
      <c r="S27" s="1" t="s">
        <v>189</v>
      </c>
      <c r="U27" s="4">
        <v>1</v>
      </c>
    </row>
    <row r="28" spans="1:21" outlineLevel="5" x14ac:dyDescent="0.3">
      <c r="A28" s="1" t="s">
        <v>19</v>
      </c>
      <c r="B28" s="1" t="s">
        <v>26</v>
      </c>
      <c r="C28" s="1" t="s">
        <v>29</v>
      </c>
      <c r="D28" s="1" t="s">
        <v>30</v>
      </c>
      <c r="E28" s="1" t="s">
        <v>53</v>
      </c>
      <c r="F28" s="1" t="s">
        <v>63</v>
      </c>
      <c r="G28" s="2" t="s">
        <v>64</v>
      </c>
      <c r="H28" s="2" t="s">
        <v>35</v>
      </c>
      <c r="J28" s="1" t="s">
        <v>36</v>
      </c>
      <c r="N28" s="3" t="s">
        <v>195</v>
      </c>
      <c r="P28" s="5" t="s">
        <v>197</v>
      </c>
      <c r="Q28" s="1">
        <v>0.8</v>
      </c>
      <c r="R28" s="1">
        <v>0.8</v>
      </c>
      <c r="S28" s="1" t="s">
        <v>189</v>
      </c>
      <c r="U28" s="4">
        <v>1</v>
      </c>
    </row>
    <row r="29" spans="1:21" outlineLevel="5" x14ac:dyDescent="0.3">
      <c r="A29" s="1" t="s">
        <v>19</v>
      </c>
      <c r="B29" s="1" t="s">
        <v>26</v>
      </c>
      <c r="C29" s="1" t="s">
        <v>29</v>
      </c>
      <c r="D29" s="1" t="s">
        <v>30</v>
      </c>
      <c r="E29" s="1" t="s">
        <v>53</v>
      </c>
      <c r="F29" s="1" t="s">
        <v>65</v>
      </c>
      <c r="G29" s="2" t="s">
        <v>66</v>
      </c>
      <c r="H29" s="2" t="s">
        <v>35</v>
      </c>
      <c r="I29" s="2">
        <v>4</v>
      </c>
      <c r="J29" s="1" t="s">
        <v>36</v>
      </c>
      <c r="N29" s="3" t="s">
        <v>195</v>
      </c>
      <c r="P29" s="5" t="s">
        <v>198</v>
      </c>
      <c r="Q29" s="1">
        <v>0.8</v>
      </c>
      <c r="R29" s="1">
        <v>0.8</v>
      </c>
      <c r="S29" s="1" t="s">
        <v>189</v>
      </c>
      <c r="U29" s="4">
        <v>1</v>
      </c>
    </row>
    <row r="30" spans="1:21" ht="28.8" outlineLevel="5" x14ac:dyDescent="0.3">
      <c r="A30" s="1" t="s">
        <v>19</v>
      </c>
      <c r="B30" s="1" t="s">
        <v>26</v>
      </c>
      <c r="C30" s="1" t="s">
        <v>29</v>
      </c>
      <c r="D30" s="1" t="s">
        <v>30</v>
      </c>
      <c r="E30" s="1" t="s">
        <v>53</v>
      </c>
      <c r="F30" s="1" t="s">
        <v>67</v>
      </c>
      <c r="G30" s="2" t="s">
        <v>68</v>
      </c>
      <c r="H30" s="2" t="s">
        <v>35</v>
      </c>
      <c r="I30" s="2">
        <v>203</v>
      </c>
      <c r="J30" s="1" t="s">
        <v>36</v>
      </c>
      <c r="N30" s="3" t="s">
        <v>195</v>
      </c>
      <c r="P30" s="5" t="s">
        <v>196</v>
      </c>
      <c r="Q30" s="1">
        <v>0.65</v>
      </c>
      <c r="R30" s="1">
        <v>0.65</v>
      </c>
      <c r="S30" s="1" t="s">
        <v>189</v>
      </c>
      <c r="U30" s="4">
        <v>1</v>
      </c>
    </row>
    <row r="31" spans="1:21" ht="28.8" outlineLevel="5" x14ac:dyDescent="0.3">
      <c r="A31" s="1" t="s">
        <v>19</v>
      </c>
      <c r="B31" s="1" t="s">
        <v>26</v>
      </c>
      <c r="C31" s="1" t="s">
        <v>29</v>
      </c>
      <c r="D31" s="1" t="s">
        <v>30</v>
      </c>
      <c r="E31" s="1" t="s">
        <v>53</v>
      </c>
      <c r="F31" s="1" t="s">
        <v>69</v>
      </c>
      <c r="G31" s="2" t="s">
        <v>70</v>
      </c>
      <c r="H31" s="2" t="s">
        <v>35</v>
      </c>
      <c r="J31" s="1" t="s">
        <v>36</v>
      </c>
      <c r="N31" s="3" t="s">
        <v>195</v>
      </c>
      <c r="P31" s="5" t="s">
        <v>197</v>
      </c>
      <c r="Q31" s="1">
        <v>0.65</v>
      </c>
      <c r="R31" s="1">
        <v>0.65</v>
      </c>
      <c r="S31" s="1" t="s">
        <v>189</v>
      </c>
      <c r="U31" s="4">
        <v>1</v>
      </c>
    </row>
    <row r="32" spans="1:21" ht="28.8" outlineLevel="5" x14ac:dyDescent="0.3">
      <c r="A32" s="1" t="s">
        <v>19</v>
      </c>
      <c r="B32" s="1" t="s">
        <v>26</v>
      </c>
      <c r="C32" s="1" t="s">
        <v>29</v>
      </c>
      <c r="D32" s="1" t="s">
        <v>30</v>
      </c>
      <c r="E32" s="1" t="s">
        <v>53</v>
      </c>
      <c r="F32" s="1" t="s">
        <v>71</v>
      </c>
      <c r="G32" s="2" t="s">
        <v>72</v>
      </c>
      <c r="H32" s="2" t="s">
        <v>35</v>
      </c>
      <c r="J32" s="1" t="s">
        <v>36</v>
      </c>
      <c r="N32" s="3" t="s">
        <v>195</v>
      </c>
      <c r="P32" s="5" t="s">
        <v>198</v>
      </c>
      <c r="Q32" s="1">
        <v>0.65</v>
      </c>
      <c r="R32" s="1">
        <v>0.65</v>
      </c>
      <c r="S32" s="1" t="s">
        <v>189</v>
      </c>
      <c r="U32" s="4">
        <v>1</v>
      </c>
    </row>
    <row r="33" spans="1:26" ht="28.8" outlineLevel="5" x14ac:dyDescent="0.3">
      <c r="A33" s="1" t="s">
        <v>19</v>
      </c>
      <c r="B33" s="1" t="s">
        <v>26</v>
      </c>
      <c r="C33" s="1" t="s">
        <v>29</v>
      </c>
      <c r="D33" s="1" t="s">
        <v>30</v>
      </c>
      <c r="E33" s="1" t="s">
        <v>53</v>
      </c>
      <c r="F33" s="1" t="s">
        <v>73</v>
      </c>
      <c r="G33" s="2" t="s">
        <v>74</v>
      </c>
      <c r="H33" s="2" t="s">
        <v>35</v>
      </c>
      <c r="I33" s="2">
        <v>382</v>
      </c>
      <c r="J33" s="1" t="s">
        <v>36</v>
      </c>
      <c r="N33" s="3" t="s">
        <v>195</v>
      </c>
      <c r="P33" s="5" t="s">
        <v>196</v>
      </c>
      <c r="Q33" s="1">
        <v>0.5</v>
      </c>
      <c r="R33" s="1">
        <v>0.5</v>
      </c>
      <c r="S33" s="1" t="s">
        <v>189</v>
      </c>
      <c r="U33" s="4">
        <v>1</v>
      </c>
    </row>
    <row r="34" spans="1:26" outlineLevel="5" x14ac:dyDescent="0.3">
      <c r="A34" s="1" t="s">
        <v>19</v>
      </c>
      <c r="B34" s="1" t="s">
        <v>26</v>
      </c>
      <c r="C34" s="1" t="s">
        <v>29</v>
      </c>
      <c r="D34" s="1" t="s">
        <v>30</v>
      </c>
      <c r="E34" s="1" t="s">
        <v>53</v>
      </c>
      <c r="F34" s="1" t="s">
        <v>75</v>
      </c>
      <c r="G34" s="2" t="s">
        <v>76</v>
      </c>
      <c r="H34" s="2" t="s">
        <v>35</v>
      </c>
      <c r="J34" s="1" t="s">
        <v>36</v>
      </c>
      <c r="N34" s="3" t="s">
        <v>195</v>
      </c>
      <c r="P34" s="5" t="s">
        <v>197</v>
      </c>
      <c r="Q34" s="1">
        <v>0.5</v>
      </c>
      <c r="R34" s="1">
        <v>0.5</v>
      </c>
      <c r="S34" s="1" t="s">
        <v>189</v>
      </c>
      <c r="U34" s="4">
        <v>1</v>
      </c>
    </row>
    <row r="35" spans="1:26" outlineLevel="5" x14ac:dyDescent="0.3">
      <c r="A35" s="1" t="s">
        <v>19</v>
      </c>
      <c r="B35" s="1" t="s">
        <v>26</v>
      </c>
      <c r="C35" s="1" t="s">
        <v>29</v>
      </c>
      <c r="D35" s="1" t="s">
        <v>30</v>
      </c>
      <c r="E35" s="1" t="s">
        <v>53</v>
      </c>
      <c r="F35" s="1" t="s">
        <v>77</v>
      </c>
      <c r="G35" s="2" t="s">
        <v>78</v>
      </c>
      <c r="H35" s="2" t="s">
        <v>35</v>
      </c>
      <c r="J35" s="1" t="s">
        <v>36</v>
      </c>
      <c r="N35" s="3" t="s">
        <v>195</v>
      </c>
      <c r="P35" s="5" t="s">
        <v>198</v>
      </c>
      <c r="Q35" s="1">
        <v>0.5</v>
      </c>
      <c r="R35" s="1">
        <v>0.5</v>
      </c>
      <c r="S35" s="1" t="s">
        <v>189</v>
      </c>
      <c r="U35" s="4">
        <v>1</v>
      </c>
    </row>
    <row r="36" spans="1:26" x14ac:dyDescent="0.3">
      <c r="K36" s="26" t="s">
        <v>0</v>
      </c>
      <c r="L36" s="26"/>
      <c r="M36" s="26"/>
      <c r="N36" s="26" t="s">
        <v>1</v>
      </c>
      <c r="O36" s="26"/>
      <c r="P36" s="27"/>
      <c r="Q36" s="29" t="s">
        <v>186</v>
      </c>
      <c r="R36" s="29"/>
      <c r="S36" s="29"/>
      <c r="T36" s="29"/>
      <c r="U36" s="29"/>
    </row>
    <row r="37" spans="1:26" ht="43.2" outlineLevel="4" x14ac:dyDescent="0.3">
      <c r="A37" s="1" t="s">
        <v>19</v>
      </c>
      <c r="B37" s="1" t="s">
        <v>26</v>
      </c>
      <c r="C37" s="1" t="s">
        <v>29</v>
      </c>
      <c r="D37" s="1" t="s">
        <v>30</v>
      </c>
      <c r="E37" s="1" t="s">
        <v>79</v>
      </c>
      <c r="G37" s="36" t="s">
        <v>80</v>
      </c>
      <c r="K37" s="22" t="s">
        <v>12</v>
      </c>
      <c r="L37" s="22" t="s">
        <v>13</v>
      </c>
      <c r="M37" s="22" t="s">
        <v>14</v>
      </c>
      <c r="N37" s="22" t="s">
        <v>188</v>
      </c>
      <c r="O37" s="22" t="s">
        <v>187</v>
      </c>
      <c r="P37" s="23" t="s">
        <v>194</v>
      </c>
      <c r="Q37" s="23" t="s">
        <v>201</v>
      </c>
      <c r="R37" s="22" t="s">
        <v>202</v>
      </c>
      <c r="S37" s="22" t="s">
        <v>17</v>
      </c>
      <c r="T37" s="23" t="s">
        <v>18</v>
      </c>
      <c r="U37" s="23" t="s">
        <v>185</v>
      </c>
    </row>
    <row r="38" spans="1:26" ht="28.8" outlineLevel="5" x14ac:dyDescent="0.3">
      <c r="A38" s="1" t="s">
        <v>19</v>
      </c>
      <c r="B38" s="1" t="s">
        <v>26</v>
      </c>
      <c r="C38" s="1" t="s">
        <v>29</v>
      </c>
      <c r="D38" s="1" t="s">
        <v>30</v>
      </c>
      <c r="E38" s="1" t="s">
        <v>79</v>
      </c>
      <c r="F38" s="1" t="s">
        <v>81</v>
      </c>
      <c r="G38" s="2" t="s">
        <v>82</v>
      </c>
      <c r="H38" s="2" t="s">
        <v>35</v>
      </c>
      <c r="I38" s="2">
        <v>52</v>
      </c>
      <c r="J38" s="1" t="s">
        <v>36</v>
      </c>
      <c r="N38" s="3" t="s">
        <v>195</v>
      </c>
      <c r="P38" s="5" t="s">
        <v>196</v>
      </c>
      <c r="Q38" s="1">
        <v>0.4</v>
      </c>
      <c r="R38" s="1">
        <v>0.4</v>
      </c>
      <c r="S38" s="1" t="s">
        <v>189</v>
      </c>
      <c r="U38" s="4">
        <v>1</v>
      </c>
    </row>
    <row r="39" spans="1:26" ht="28.8" outlineLevel="5" x14ac:dyDescent="0.3">
      <c r="A39" s="1" t="s">
        <v>19</v>
      </c>
      <c r="B39" s="1" t="s">
        <v>26</v>
      </c>
      <c r="C39" s="1" t="s">
        <v>29</v>
      </c>
      <c r="D39" s="1" t="s">
        <v>30</v>
      </c>
      <c r="E39" s="1" t="s">
        <v>79</v>
      </c>
      <c r="F39" s="1" t="s">
        <v>83</v>
      </c>
      <c r="G39" s="2" t="s">
        <v>84</v>
      </c>
      <c r="H39" s="2" t="s">
        <v>35</v>
      </c>
      <c r="I39" s="2">
        <v>198</v>
      </c>
      <c r="J39" s="1" t="s">
        <v>36</v>
      </c>
      <c r="N39" s="3" t="s">
        <v>195</v>
      </c>
      <c r="P39" s="5" t="s">
        <v>196</v>
      </c>
      <c r="Q39" s="1">
        <v>0.25</v>
      </c>
      <c r="R39" s="1">
        <v>0.25</v>
      </c>
      <c r="U39" s="4">
        <v>1</v>
      </c>
    </row>
    <row r="40" spans="1:26" x14ac:dyDescent="0.3">
      <c r="K40" s="26" t="s">
        <v>0</v>
      </c>
      <c r="L40" s="26"/>
      <c r="M40" s="26"/>
      <c r="N40" s="26" t="s">
        <v>1</v>
      </c>
      <c r="O40" s="26"/>
      <c r="P40" s="27"/>
      <c r="Q40" s="29" t="s">
        <v>192</v>
      </c>
      <c r="R40" s="29"/>
      <c r="S40" s="29"/>
      <c r="T40" s="29"/>
      <c r="U40" s="29"/>
      <c r="V40" s="28" t="s">
        <v>205</v>
      </c>
      <c r="W40" s="28"/>
      <c r="X40" s="28"/>
      <c r="Y40" s="28"/>
      <c r="Z40" s="28"/>
    </row>
    <row r="41" spans="1:26" ht="43.2" outlineLevel="4" x14ac:dyDescent="0.3">
      <c r="A41" s="1" t="s">
        <v>19</v>
      </c>
      <c r="B41" s="1" t="s">
        <v>26</v>
      </c>
      <c r="C41" s="1" t="s">
        <v>29</v>
      </c>
      <c r="D41" s="1" t="s">
        <v>30</v>
      </c>
      <c r="E41" s="1" t="s">
        <v>85</v>
      </c>
      <c r="G41" s="36" t="s">
        <v>86</v>
      </c>
      <c r="K41" s="22" t="s">
        <v>12</v>
      </c>
      <c r="L41" s="22" t="s">
        <v>13</v>
      </c>
      <c r="M41" s="22" t="s">
        <v>14</v>
      </c>
      <c r="N41" s="22" t="s">
        <v>188</v>
      </c>
      <c r="O41" s="22" t="s">
        <v>187</v>
      </c>
      <c r="P41" s="23" t="s">
        <v>194</v>
      </c>
      <c r="Q41" s="23" t="s">
        <v>201</v>
      </c>
      <c r="R41" s="22" t="s">
        <v>202</v>
      </c>
      <c r="S41" s="22" t="s">
        <v>17</v>
      </c>
      <c r="T41" s="23" t="s">
        <v>18</v>
      </c>
      <c r="U41" s="23" t="s">
        <v>185</v>
      </c>
      <c r="V41" s="23" t="s">
        <v>201</v>
      </c>
      <c r="W41" s="22" t="s">
        <v>202</v>
      </c>
      <c r="X41" s="22" t="s">
        <v>17</v>
      </c>
      <c r="Y41" s="23" t="s">
        <v>18</v>
      </c>
      <c r="Z41" s="23" t="s">
        <v>185</v>
      </c>
    </row>
    <row r="42" spans="1:26" ht="28.8" outlineLevel="5" x14ac:dyDescent="0.3">
      <c r="A42" s="1" t="s">
        <v>19</v>
      </c>
      <c r="B42" s="1" t="s">
        <v>26</v>
      </c>
      <c r="C42" s="1" t="s">
        <v>29</v>
      </c>
      <c r="D42" s="1" t="s">
        <v>30</v>
      </c>
      <c r="E42" s="1" t="s">
        <v>85</v>
      </c>
      <c r="F42" s="1" t="s">
        <v>87</v>
      </c>
      <c r="G42" s="2" t="s">
        <v>88</v>
      </c>
      <c r="H42" s="2" t="s">
        <v>35</v>
      </c>
      <c r="I42" s="2">
        <v>3</v>
      </c>
      <c r="J42" s="1" t="s">
        <v>36</v>
      </c>
      <c r="N42" s="3" t="s">
        <v>203</v>
      </c>
      <c r="P42" s="5" t="s">
        <v>204</v>
      </c>
      <c r="Q42" s="1">
        <v>1.2</v>
      </c>
      <c r="R42" s="1">
        <v>1.2</v>
      </c>
      <c r="S42" s="1" t="s">
        <v>191</v>
      </c>
      <c r="U42" s="4">
        <v>1</v>
      </c>
      <c r="V42" s="4">
        <v>1.3</v>
      </c>
      <c r="W42" s="1">
        <v>1.4</v>
      </c>
      <c r="X42" s="4" t="s">
        <v>191</v>
      </c>
      <c r="Z42" s="4">
        <v>1</v>
      </c>
    </row>
    <row r="43" spans="1:26" ht="28.8" outlineLevel="5" x14ac:dyDescent="0.3">
      <c r="A43" s="1" t="s">
        <v>19</v>
      </c>
      <c r="B43" s="1" t="s">
        <v>26</v>
      </c>
      <c r="C43" s="1" t="s">
        <v>29</v>
      </c>
      <c r="D43" s="1" t="s">
        <v>30</v>
      </c>
      <c r="E43" s="1" t="s">
        <v>85</v>
      </c>
      <c r="F43" s="1" t="s">
        <v>89</v>
      </c>
      <c r="G43" s="2" t="s">
        <v>90</v>
      </c>
      <c r="H43" s="2" t="s">
        <v>35</v>
      </c>
      <c r="J43" s="1" t="s">
        <v>36</v>
      </c>
      <c r="N43" s="3" t="s">
        <v>203</v>
      </c>
      <c r="P43" s="5" t="s">
        <v>19</v>
      </c>
      <c r="Q43" s="1">
        <v>1.2</v>
      </c>
      <c r="R43" s="1">
        <v>1.2</v>
      </c>
      <c r="S43" s="1" t="s">
        <v>191</v>
      </c>
      <c r="U43" s="4">
        <v>1</v>
      </c>
      <c r="V43" s="4">
        <v>1.3</v>
      </c>
      <c r="W43" s="1">
        <v>1.4</v>
      </c>
      <c r="X43" s="4" t="s">
        <v>191</v>
      </c>
      <c r="Z43" s="4">
        <v>1</v>
      </c>
    </row>
    <row r="44" spans="1:26" ht="28.8" outlineLevel="5" x14ac:dyDescent="0.3">
      <c r="A44" s="1" t="s">
        <v>19</v>
      </c>
      <c r="B44" s="1" t="s">
        <v>26</v>
      </c>
      <c r="C44" s="1" t="s">
        <v>29</v>
      </c>
      <c r="D44" s="1" t="s">
        <v>30</v>
      </c>
      <c r="E44" s="1" t="s">
        <v>85</v>
      </c>
      <c r="F44" s="1" t="s">
        <v>91</v>
      </c>
      <c r="G44" s="2" t="s">
        <v>92</v>
      </c>
      <c r="H44" s="2" t="s">
        <v>35</v>
      </c>
      <c r="J44" s="1" t="s">
        <v>36</v>
      </c>
      <c r="N44" s="3" t="s">
        <v>203</v>
      </c>
      <c r="P44" s="5" t="s">
        <v>197</v>
      </c>
      <c r="Q44" s="1">
        <v>1.2</v>
      </c>
      <c r="R44" s="1">
        <v>1.2</v>
      </c>
      <c r="S44" s="1" t="s">
        <v>191</v>
      </c>
      <c r="U44" s="4">
        <v>1</v>
      </c>
      <c r="V44" s="4">
        <v>1.3</v>
      </c>
      <c r="W44" s="1">
        <v>1.4</v>
      </c>
      <c r="X44" s="4" t="s">
        <v>191</v>
      </c>
      <c r="Z44" s="4">
        <v>1</v>
      </c>
    </row>
    <row r="45" spans="1:26" ht="28.8" outlineLevel="5" x14ac:dyDescent="0.3">
      <c r="A45" s="1" t="s">
        <v>19</v>
      </c>
      <c r="B45" s="1" t="s">
        <v>26</v>
      </c>
      <c r="C45" s="1" t="s">
        <v>29</v>
      </c>
      <c r="D45" s="1" t="s">
        <v>30</v>
      </c>
      <c r="E45" s="1" t="s">
        <v>85</v>
      </c>
      <c r="F45" s="1" t="s">
        <v>93</v>
      </c>
      <c r="G45" s="2" t="s">
        <v>94</v>
      </c>
      <c r="H45" s="2" t="s">
        <v>35</v>
      </c>
      <c r="J45" s="1" t="s">
        <v>36</v>
      </c>
      <c r="N45" s="3" t="s">
        <v>203</v>
      </c>
      <c r="P45" s="5" t="s">
        <v>204</v>
      </c>
      <c r="Q45" s="1">
        <v>1.5</v>
      </c>
      <c r="R45" s="1">
        <v>1.5</v>
      </c>
      <c r="S45" s="1" t="s">
        <v>191</v>
      </c>
      <c r="U45" s="4">
        <v>1</v>
      </c>
      <c r="V45" s="4">
        <v>0</v>
      </c>
      <c r="W45" s="4">
        <v>1.3</v>
      </c>
      <c r="X45" s="4" t="s">
        <v>191</v>
      </c>
      <c r="Z45" s="4">
        <v>1</v>
      </c>
    </row>
    <row r="46" spans="1:26" ht="28.8" outlineLevel="5" x14ac:dyDescent="0.3">
      <c r="A46" s="1" t="s">
        <v>19</v>
      </c>
      <c r="B46" s="1" t="s">
        <v>26</v>
      </c>
      <c r="C46" s="1" t="s">
        <v>29</v>
      </c>
      <c r="D46" s="1" t="s">
        <v>30</v>
      </c>
      <c r="E46" s="1" t="s">
        <v>85</v>
      </c>
      <c r="F46" s="1" t="s">
        <v>95</v>
      </c>
      <c r="G46" s="2" t="s">
        <v>96</v>
      </c>
      <c r="H46" s="2" t="s">
        <v>35</v>
      </c>
      <c r="I46" s="2">
        <v>2</v>
      </c>
      <c r="J46" s="1" t="s">
        <v>36</v>
      </c>
      <c r="N46" s="3" t="s">
        <v>203</v>
      </c>
      <c r="P46" s="5" t="s">
        <v>19</v>
      </c>
      <c r="Q46" s="1">
        <v>1.5</v>
      </c>
      <c r="R46" s="1">
        <v>1.5</v>
      </c>
      <c r="S46" s="1" t="s">
        <v>191</v>
      </c>
      <c r="U46" s="4">
        <v>1</v>
      </c>
      <c r="V46" s="4">
        <v>0</v>
      </c>
      <c r="W46" s="4">
        <v>1.3</v>
      </c>
      <c r="X46" s="4" t="s">
        <v>191</v>
      </c>
      <c r="Z46" s="4">
        <v>1</v>
      </c>
    </row>
    <row r="47" spans="1:26" ht="28.8" outlineLevel="5" x14ac:dyDescent="0.3">
      <c r="A47" s="1" t="s">
        <v>19</v>
      </c>
      <c r="B47" s="1" t="s">
        <v>26</v>
      </c>
      <c r="C47" s="1" t="s">
        <v>29</v>
      </c>
      <c r="D47" s="1" t="s">
        <v>30</v>
      </c>
      <c r="E47" s="1" t="s">
        <v>85</v>
      </c>
      <c r="F47" s="1" t="s">
        <v>97</v>
      </c>
      <c r="G47" s="2" t="s">
        <v>98</v>
      </c>
      <c r="H47" s="2" t="s">
        <v>35</v>
      </c>
      <c r="J47" s="1" t="s">
        <v>36</v>
      </c>
      <c r="N47" s="3" t="s">
        <v>203</v>
      </c>
      <c r="P47" s="5" t="s">
        <v>197</v>
      </c>
      <c r="Q47" s="1">
        <v>1.5</v>
      </c>
      <c r="R47" s="1">
        <v>1.5</v>
      </c>
      <c r="S47" s="1" t="s">
        <v>191</v>
      </c>
      <c r="U47" s="4">
        <v>1</v>
      </c>
      <c r="V47" s="4">
        <v>0</v>
      </c>
      <c r="W47" s="4">
        <v>1.3</v>
      </c>
      <c r="X47" s="4" t="s">
        <v>191</v>
      </c>
      <c r="Z47" s="4">
        <v>1</v>
      </c>
    </row>
    <row r="48" spans="1:26" ht="28.8" outlineLevel="5" x14ac:dyDescent="0.3">
      <c r="A48" s="1" t="s">
        <v>19</v>
      </c>
      <c r="B48" s="1" t="s">
        <v>26</v>
      </c>
      <c r="C48" s="1" t="s">
        <v>29</v>
      </c>
      <c r="D48" s="1" t="s">
        <v>30</v>
      </c>
      <c r="E48" s="1" t="s">
        <v>85</v>
      </c>
      <c r="F48" s="1" t="s">
        <v>99</v>
      </c>
      <c r="G48" s="2" t="s">
        <v>100</v>
      </c>
      <c r="H48" s="2" t="s">
        <v>35</v>
      </c>
      <c r="I48" s="2">
        <v>2</v>
      </c>
      <c r="J48" s="1" t="s">
        <v>36</v>
      </c>
      <c r="N48" s="3" t="s">
        <v>203</v>
      </c>
      <c r="P48" s="5" t="s">
        <v>204</v>
      </c>
      <c r="Q48" s="1">
        <v>1.8</v>
      </c>
      <c r="R48" s="1">
        <v>1.8</v>
      </c>
      <c r="S48" s="1" t="s">
        <v>191</v>
      </c>
      <c r="U48" s="4">
        <v>1</v>
      </c>
      <c r="V48" s="4">
        <v>1.3</v>
      </c>
      <c r="W48" s="4">
        <v>1.4</v>
      </c>
      <c r="X48" s="4" t="s">
        <v>191</v>
      </c>
      <c r="Z48" s="4">
        <v>1</v>
      </c>
    </row>
    <row r="49" spans="1:26" ht="28.8" outlineLevel="5" x14ac:dyDescent="0.3">
      <c r="A49" s="1" t="s">
        <v>19</v>
      </c>
      <c r="B49" s="1" t="s">
        <v>26</v>
      </c>
      <c r="C49" s="1" t="s">
        <v>29</v>
      </c>
      <c r="D49" s="1" t="s">
        <v>30</v>
      </c>
      <c r="E49" s="1" t="s">
        <v>85</v>
      </c>
      <c r="F49" s="1" t="s">
        <v>101</v>
      </c>
      <c r="G49" s="2" t="s">
        <v>102</v>
      </c>
      <c r="H49" s="2" t="s">
        <v>35</v>
      </c>
      <c r="J49" s="1" t="s">
        <v>36</v>
      </c>
      <c r="N49" s="3" t="s">
        <v>203</v>
      </c>
      <c r="P49" s="5" t="s">
        <v>19</v>
      </c>
      <c r="Q49" s="1">
        <v>1.8</v>
      </c>
      <c r="R49" s="1">
        <v>1.8</v>
      </c>
      <c r="S49" s="1" t="s">
        <v>191</v>
      </c>
      <c r="U49" s="4">
        <v>1</v>
      </c>
      <c r="V49" s="4">
        <v>1.3</v>
      </c>
      <c r="W49" s="4">
        <v>1.4</v>
      </c>
      <c r="X49" s="4" t="s">
        <v>191</v>
      </c>
      <c r="Z49" s="4">
        <v>1</v>
      </c>
    </row>
    <row r="50" spans="1:26" ht="28.8" outlineLevel="5" x14ac:dyDescent="0.3">
      <c r="A50" s="1" t="s">
        <v>19</v>
      </c>
      <c r="B50" s="1" t="s">
        <v>26</v>
      </c>
      <c r="C50" s="1" t="s">
        <v>29</v>
      </c>
      <c r="D50" s="1" t="s">
        <v>30</v>
      </c>
      <c r="E50" s="1" t="s">
        <v>85</v>
      </c>
      <c r="F50" s="1" t="s">
        <v>103</v>
      </c>
      <c r="G50" s="2" t="s">
        <v>104</v>
      </c>
      <c r="H50" s="2" t="s">
        <v>35</v>
      </c>
      <c r="J50" s="1" t="s">
        <v>36</v>
      </c>
      <c r="N50" s="3" t="s">
        <v>203</v>
      </c>
      <c r="P50" s="5" t="s">
        <v>197</v>
      </c>
      <c r="Q50" s="1">
        <v>1.8</v>
      </c>
      <c r="R50" s="1">
        <v>1.8</v>
      </c>
      <c r="S50" s="1" t="s">
        <v>191</v>
      </c>
      <c r="U50" s="4">
        <v>1</v>
      </c>
      <c r="V50" s="4">
        <v>1.3</v>
      </c>
      <c r="W50" s="4">
        <v>1.4</v>
      </c>
      <c r="X50" s="4" t="s">
        <v>191</v>
      </c>
      <c r="Z50" s="4">
        <v>1</v>
      </c>
    </row>
    <row r="51" spans="1:26" outlineLevel="3" x14ac:dyDescent="0.3">
      <c r="A51" s="1" t="s">
        <v>19</v>
      </c>
      <c r="B51" s="1" t="s">
        <v>26</v>
      </c>
      <c r="C51" s="1" t="s">
        <v>29</v>
      </c>
      <c r="D51" s="1" t="s">
        <v>37</v>
      </c>
      <c r="G51" s="2" t="s">
        <v>105</v>
      </c>
      <c r="P51" s="5"/>
    </row>
  </sheetData>
  <autoFilter ref="A4:BC51"/>
  <mergeCells count="18">
    <mergeCell ref="K40:M40"/>
    <mergeCell ref="N40:P40"/>
    <mergeCell ref="Q40:U40"/>
    <mergeCell ref="V40:Z40"/>
    <mergeCell ref="K22:M22"/>
    <mergeCell ref="N22:P22"/>
    <mergeCell ref="Q22:U22"/>
    <mergeCell ref="K36:M36"/>
    <mergeCell ref="N36:P36"/>
    <mergeCell ref="Q36:U36"/>
    <mergeCell ref="K3:M3"/>
    <mergeCell ref="N3:O3"/>
    <mergeCell ref="P3:S3"/>
    <mergeCell ref="K6:M6"/>
    <mergeCell ref="N6:O6"/>
    <mergeCell ref="K11:M11"/>
    <mergeCell ref="N11:P11"/>
    <mergeCell ref="Q11:U11"/>
  </mergeCells>
  <conditionalFormatting sqref="G1:G1048576">
    <cfRule type="containsText" dxfId="0" priority="1" operator="containsText" text="Сборник ">
      <formula>NOT(ISERROR(SEARCH("Сборник ",G1)))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32" sqref="A32:XFD32"/>
    </sheetView>
  </sheetViews>
  <sheetFormatPr defaultRowHeight="14.4" x14ac:dyDescent="0.3"/>
  <cols>
    <col min="1" max="1" width="108" customWidth="1"/>
    <col min="2" max="2" width="13.88671875" customWidth="1"/>
    <col min="3" max="3" width="9.88671875" customWidth="1"/>
    <col min="4" max="4" width="16.44140625" customWidth="1"/>
    <col min="6" max="6" width="10.88671875" style="17" customWidth="1"/>
  </cols>
  <sheetData>
    <row r="1" spans="1:6" x14ac:dyDescent="0.3">
      <c r="A1" s="6" t="s">
        <v>206</v>
      </c>
      <c r="B1" s="6" t="s">
        <v>210</v>
      </c>
    </row>
    <row r="2" spans="1:6" x14ac:dyDescent="0.3">
      <c r="A2" s="7" t="s">
        <v>208</v>
      </c>
      <c r="B2" s="8" t="e">
        <f>COUNTIF(#REF!,Лист1!A2)</f>
        <v>#REF!</v>
      </c>
    </row>
    <row r="3" spans="1:6" x14ac:dyDescent="0.3">
      <c r="A3" s="7" t="s">
        <v>209</v>
      </c>
      <c r="B3" s="8" t="e">
        <f>COUNTIF(#REF!,Лист1!A3)</f>
        <v>#REF!</v>
      </c>
    </row>
    <row r="4" spans="1:6" x14ac:dyDescent="0.3">
      <c r="A4" s="7" t="s">
        <v>211</v>
      </c>
      <c r="B4" s="8" t="e">
        <f>COUNTIF(#REF!,Лист1!A4)</f>
        <v>#REF!</v>
      </c>
    </row>
    <row r="5" spans="1:6" x14ac:dyDescent="0.3">
      <c r="A5" s="7" t="s">
        <v>207</v>
      </c>
      <c r="B5" s="8" t="e">
        <f>COUNTIF(#REF!,Лист1!A5)</f>
        <v>#REF!</v>
      </c>
    </row>
    <row r="6" spans="1:6" x14ac:dyDescent="0.3">
      <c r="A6" s="7" t="s">
        <v>212</v>
      </c>
      <c r="B6" s="8" t="e">
        <f>COUNTIF(#REF!,Лист1!A6)</f>
        <v>#REF!</v>
      </c>
    </row>
    <row r="7" spans="1:6" x14ac:dyDescent="0.3">
      <c r="A7" s="9"/>
      <c r="B7" s="10"/>
    </row>
    <row r="8" spans="1:6" x14ac:dyDescent="0.3">
      <c r="A8" s="30" t="s">
        <v>213</v>
      </c>
      <c r="B8" s="32" t="s">
        <v>214</v>
      </c>
      <c r="C8" s="32" t="s">
        <v>215</v>
      </c>
      <c r="D8" s="32" t="s">
        <v>216</v>
      </c>
      <c r="E8" s="34" t="s">
        <v>217</v>
      </c>
      <c r="F8" s="35"/>
    </row>
    <row r="9" spans="1:6" x14ac:dyDescent="0.3">
      <c r="A9" s="31"/>
      <c r="B9" s="33"/>
      <c r="C9" s="33"/>
      <c r="D9" s="33"/>
      <c r="E9" s="11" t="s">
        <v>218</v>
      </c>
      <c r="F9" s="18" t="s">
        <v>219</v>
      </c>
    </row>
    <row r="10" spans="1:6" x14ac:dyDescent="0.3">
      <c r="A10" s="12" t="s">
        <v>27</v>
      </c>
      <c r="B10" s="13" t="s">
        <v>26</v>
      </c>
      <c r="C10" s="14">
        <v>372</v>
      </c>
      <c r="D10" s="14">
        <v>312</v>
      </c>
      <c r="E10" s="14" t="e">
        <f>COUNTIFS(#REF!,"3.1-*",#REF!,"+")</f>
        <v>#REF!</v>
      </c>
      <c r="F10" s="19" t="e">
        <f>E10/D10</f>
        <v>#REF!</v>
      </c>
    </row>
    <row r="11" spans="1:6" x14ac:dyDescent="0.3">
      <c r="A11" s="12" t="s">
        <v>107</v>
      </c>
      <c r="B11" s="13" t="s">
        <v>106</v>
      </c>
      <c r="C11" s="14">
        <v>196</v>
      </c>
      <c r="D11" s="14">
        <v>0</v>
      </c>
      <c r="E11" s="14" t="e">
        <f>COUNTIFS(#REF!,"3.3-*",#REF!,"+")</f>
        <v>#REF!</v>
      </c>
      <c r="F11" s="20" t="s">
        <v>190</v>
      </c>
    </row>
    <row r="12" spans="1:6" x14ac:dyDescent="0.3">
      <c r="A12" s="12" t="s">
        <v>109</v>
      </c>
      <c r="B12" s="13" t="s">
        <v>108</v>
      </c>
      <c r="C12" s="14">
        <v>462</v>
      </c>
      <c r="D12" s="14">
        <v>436</v>
      </c>
      <c r="E12" s="14" t="e">
        <f>COUNTIFS(#REF!,"3.4-*",#REF!,"+")</f>
        <v>#REF!</v>
      </c>
      <c r="F12" s="19" t="e">
        <f t="shared" ref="F12:F50" si="0">E12/D12</f>
        <v>#REF!</v>
      </c>
    </row>
    <row r="13" spans="1:6" x14ac:dyDescent="0.3">
      <c r="A13" s="12" t="s">
        <v>111</v>
      </c>
      <c r="B13" s="13" t="s">
        <v>110</v>
      </c>
      <c r="C13" s="14">
        <v>659</v>
      </c>
      <c r="D13" s="14">
        <v>404</v>
      </c>
      <c r="E13" s="14" t="e">
        <f>COUNTIFS(#REF!,"3.5-*",#REF!,"+")</f>
        <v>#REF!</v>
      </c>
      <c r="F13" s="19" t="e">
        <f t="shared" si="0"/>
        <v>#REF!</v>
      </c>
    </row>
    <row r="14" spans="1:6" x14ac:dyDescent="0.3">
      <c r="A14" s="12" t="s">
        <v>221</v>
      </c>
      <c r="B14" s="13" t="s">
        <v>112</v>
      </c>
      <c r="C14" s="14">
        <v>563</v>
      </c>
      <c r="D14" s="14">
        <v>535</v>
      </c>
      <c r="E14" s="14" t="e">
        <f>COUNTIFS(#REF!,"3.6-*",#REF!,"+")</f>
        <v>#REF!</v>
      </c>
      <c r="F14" s="19" t="e">
        <f t="shared" si="0"/>
        <v>#REF!</v>
      </c>
    </row>
    <row r="15" spans="1:6" x14ac:dyDescent="0.3">
      <c r="A15" s="12" t="s">
        <v>114</v>
      </c>
      <c r="B15" s="13" t="s">
        <v>113</v>
      </c>
      <c r="C15" s="14">
        <v>808</v>
      </c>
      <c r="D15" s="14">
        <v>736</v>
      </c>
      <c r="E15" s="14" t="e">
        <f>COUNTIFS(#REF!,"3.7-*",#REF!,"+")</f>
        <v>#REF!</v>
      </c>
      <c r="F15" s="19" t="e">
        <f t="shared" si="0"/>
        <v>#REF!</v>
      </c>
    </row>
    <row r="16" spans="1:6" x14ac:dyDescent="0.3">
      <c r="A16" s="12" t="s">
        <v>116</v>
      </c>
      <c r="B16" s="13" t="s">
        <v>115</v>
      </c>
      <c r="C16" s="14">
        <v>200</v>
      </c>
      <c r="D16" s="14">
        <v>169</v>
      </c>
      <c r="E16" s="14" t="e">
        <f>COUNTIFS(#REF!,"3.8-*",#REF!,"+")</f>
        <v>#REF!</v>
      </c>
      <c r="F16" s="19" t="e">
        <f t="shared" si="0"/>
        <v>#REF!</v>
      </c>
    </row>
    <row r="17" spans="1:6" x14ac:dyDescent="0.3">
      <c r="A17" s="12" t="s">
        <v>118</v>
      </c>
      <c r="B17" s="13" t="s">
        <v>117</v>
      </c>
      <c r="C17" s="14">
        <v>233</v>
      </c>
      <c r="D17" s="14">
        <v>123</v>
      </c>
      <c r="E17" s="14" t="e">
        <f>COUNTIFS(#REF!,"3.9*-*",#REF!,"+")</f>
        <v>#REF!</v>
      </c>
      <c r="F17" s="19" t="e">
        <f t="shared" si="0"/>
        <v>#REF!</v>
      </c>
    </row>
    <row r="18" spans="1:6" x14ac:dyDescent="0.3">
      <c r="A18" s="12" t="s">
        <v>120</v>
      </c>
      <c r="B18" s="13" t="s">
        <v>119</v>
      </c>
      <c r="C18" s="14">
        <v>412</v>
      </c>
      <c r="D18" s="14">
        <v>324</v>
      </c>
      <c r="E18" s="14" t="e">
        <f>COUNTIFS(#REF!,"3.10-*",#REF!,"+")</f>
        <v>#REF!</v>
      </c>
      <c r="F18" s="19" t="e">
        <f t="shared" si="0"/>
        <v>#REF!</v>
      </c>
    </row>
    <row r="19" spans="1:6" x14ac:dyDescent="0.3">
      <c r="A19" s="12" t="s">
        <v>122</v>
      </c>
      <c r="B19" s="13" t="s">
        <v>121</v>
      </c>
      <c r="C19" s="14">
        <v>153</v>
      </c>
      <c r="D19" s="14">
        <v>139</v>
      </c>
      <c r="E19" s="14" t="e">
        <f>COUNTIFS(#REF!,"3.11-*",#REF!,"+")</f>
        <v>#REF!</v>
      </c>
      <c r="F19" s="19" t="e">
        <f t="shared" si="0"/>
        <v>#REF!</v>
      </c>
    </row>
    <row r="20" spans="1:6" x14ac:dyDescent="0.3">
      <c r="A20" s="12" t="s">
        <v>124</v>
      </c>
      <c r="B20" s="13" t="s">
        <v>123</v>
      </c>
      <c r="C20" s="14">
        <v>138</v>
      </c>
      <c r="D20" s="14">
        <v>122</v>
      </c>
      <c r="E20" s="14" t="e">
        <f>COUNTIFS(#REF!,"3.12-*",#REF!,"+")</f>
        <v>#REF!</v>
      </c>
      <c r="F20" s="19" t="e">
        <f t="shared" si="0"/>
        <v>#REF!</v>
      </c>
    </row>
    <row r="21" spans="1:6" x14ac:dyDescent="0.3">
      <c r="A21" s="12" t="s">
        <v>126</v>
      </c>
      <c r="B21" s="13" t="s">
        <v>125</v>
      </c>
      <c r="C21" s="14">
        <v>172</v>
      </c>
      <c r="D21" s="14">
        <v>128</v>
      </c>
      <c r="E21" s="14" t="e">
        <f>COUNTIFS(#REF!,"3.13-*",#REF!,"+")</f>
        <v>#REF!</v>
      </c>
      <c r="F21" s="19" t="e">
        <f t="shared" si="0"/>
        <v>#REF!</v>
      </c>
    </row>
    <row r="22" spans="1:6" x14ac:dyDescent="0.3">
      <c r="A22" s="12" t="s">
        <v>128</v>
      </c>
      <c r="B22" s="13" t="s">
        <v>127</v>
      </c>
      <c r="C22" s="14">
        <v>17</v>
      </c>
      <c r="D22" s="14">
        <v>12</v>
      </c>
      <c r="E22" s="14" t="e">
        <f>COUNTIFS(#REF!,"3.14-*",#REF!,"+")</f>
        <v>#REF!</v>
      </c>
      <c r="F22" s="19" t="e">
        <f t="shared" si="0"/>
        <v>#REF!</v>
      </c>
    </row>
    <row r="23" spans="1:6" x14ac:dyDescent="0.3">
      <c r="A23" s="12" t="s">
        <v>130</v>
      </c>
      <c r="B23" s="13" t="s">
        <v>129</v>
      </c>
      <c r="C23" s="14">
        <v>971</v>
      </c>
      <c r="D23" s="14">
        <v>704</v>
      </c>
      <c r="E23" s="14" t="e">
        <f>COUNTIFS(#REF!,"3.15-*",#REF!,"+")</f>
        <v>#REF!</v>
      </c>
      <c r="F23" s="19" t="e">
        <f>E23/D23</f>
        <v>#REF!</v>
      </c>
    </row>
    <row r="24" spans="1:6" x14ac:dyDescent="0.3">
      <c r="A24" s="12" t="s">
        <v>132</v>
      </c>
      <c r="B24" s="13" t="s">
        <v>131</v>
      </c>
      <c r="C24" s="14">
        <v>256</v>
      </c>
      <c r="D24" s="14">
        <v>253</v>
      </c>
      <c r="E24" s="14" t="e">
        <f>COUNTIFS(#REF!,"3.16-*",#REF!,"+")</f>
        <v>#REF!</v>
      </c>
      <c r="F24" s="19" t="e">
        <f t="shared" si="0"/>
        <v>#REF!</v>
      </c>
    </row>
    <row r="25" spans="1:6" x14ac:dyDescent="0.3">
      <c r="A25" s="12" t="s">
        <v>134</v>
      </c>
      <c r="B25" s="13" t="s">
        <v>133</v>
      </c>
      <c r="C25" s="14">
        <v>60</v>
      </c>
      <c r="D25" s="14">
        <v>58</v>
      </c>
      <c r="E25" s="14" t="e">
        <f>COUNTIFS(#REF!,"3.17-*",#REF!,"+")</f>
        <v>#REF!</v>
      </c>
      <c r="F25" s="19" t="e">
        <f t="shared" si="0"/>
        <v>#REF!</v>
      </c>
    </row>
    <row r="26" spans="1:6" x14ac:dyDescent="0.3">
      <c r="A26" s="12" t="s">
        <v>136</v>
      </c>
      <c r="B26" s="13" t="s">
        <v>135</v>
      </c>
      <c r="C26" s="14">
        <v>146</v>
      </c>
      <c r="D26" s="14">
        <v>126</v>
      </c>
      <c r="E26" s="14" t="e">
        <f>COUNTIFS(#REF!,"3.18-*",#REF!,"+")</f>
        <v>#REF!</v>
      </c>
      <c r="F26" s="19" t="e">
        <f t="shared" si="0"/>
        <v>#REF!</v>
      </c>
    </row>
    <row r="27" spans="1:6" x14ac:dyDescent="0.3">
      <c r="A27" s="12" t="s">
        <v>138</v>
      </c>
      <c r="B27" s="13" t="s">
        <v>137</v>
      </c>
      <c r="C27" s="14">
        <v>43</v>
      </c>
      <c r="D27" s="14">
        <v>26</v>
      </c>
      <c r="E27" s="14" t="e">
        <f>COUNTIFS(#REF!,"3.19-*",#REF!,"+")</f>
        <v>#REF!</v>
      </c>
      <c r="F27" s="19" t="e">
        <f t="shared" si="0"/>
        <v>#REF!</v>
      </c>
    </row>
    <row r="28" spans="1:6" x14ac:dyDescent="0.3">
      <c r="A28" s="12" t="s">
        <v>140</v>
      </c>
      <c r="B28" s="13" t="s">
        <v>139</v>
      </c>
      <c r="C28" s="14">
        <v>445</v>
      </c>
      <c r="D28" s="14">
        <v>413</v>
      </c>
      <c r="E28" s="14" t="e">
        <f>COUNTIFS(#REF!,"3.20-*",#REF!,"+")</f>
        <v>#REF!</v>
      </c>
      <c r="F28" s="19" t="e">
        <f t="shared" si="0"/>
        <v>#REF!</v>
      </c>
    </row>
    <row r="29" spans="1:6" x14ac:dyDescent="0.3">
      <c r="A29" s="12" t="s">
        <v>142</v>
      </c>
      <c r="B29" s="13" t="s">
        <v>141</v>
      </c>
      <c r="C29" s="14">
        <v>610</v>
      </c>
      <c r="D29" s="14">
        <v>561</v>
      </c>
      <c r="E29" s="14" t="e">
        <f>COUNTIFS(#REF!,"3.22-*",#REF!,"+")</f>
        <v>#REF!</v>
      </c>
      <c r="F29" s="19" t="e">
        <f t="shared" si="0"/>
        <v>#REF!</v>
      </c>
    </row>
    <row r="30" spans="1:6" x14ac:dyDescent="0.3">
      <c r="A30" s="12" t="s">
        <v>144</v>
      </c>
      <c r="B30" s="13" t="s">
        <v>143</v>
      </c>
      <c r="C30" s="14">
        <v>277</v>
      </c>
      <c r="D30" s="14">
        <v>196</v>
      </c>
      <c r="E30" s="14" t="e">
        <f>COUNTIFS(#REF!,"3.23-*",#REF!,"+")</f>
        <v>#REF!</v>
      </c>
      <c r="F30" s="19" t="e">
        <f t="shared" si="0"/>
        <v>#REF!</v>
      </c>
    </row>
    <row r="31" spans="1:6" x14ac:dyDescent="0.3">
      <c r="A31" s="12" t="s">
        <v>146</v>
      </c>
      <c r="B31" s="13" t="s">
        <v>145</v>
      </c>
      <c r="C31" s="14">
        <v>534</v>
      </c>
      <c r="D31" s="14">
        <v>468</v>
      </c>
      <c r="E31" s="14" t="e">
        <f>COUNTIFS(#REF!,"3.24-*",#REF!,"+")</f>
        <v>#REF!</v>
      </c>
      <c r="F31" s="19" t="e">
        <f t="shared" si="0"/>
        <v>#REF!</v>
      </c>
    </row>
    <row r="32" spans="1:6" x14ac:dyDescent="0.3">
      <c r="A32" s="12" t="s">
        <v>148</v>
      </c>
      <c r="B32" s="13" t="s">
        <v>147</v>
      </c>
      <c r="C32" s="14">
        <v>135</v>
      </c>
      <c r="D32" s="14">
        <v>130</v>
      </c>
      <c r="E32" s="14" t="e">
        <f>COUNTIFS(#REF!,"3.26-*",#REF!,"+")</f>
        <v>#REF!</v>
      </c>
      <c r="F32" s="19" t="e">
        <f t="shared" si="0"/>
        <v>#REF!</v>
      </c>
    </row>
    <row r="33" spans="1:11" x14ac:dyDescent="0.3">
      <c r="A33" s="12" t="s">
        <v>150</v>
      </c>
      <c r="B33" s="13" t="s">
        <v>149</v>
      </c>
      <c r="C33" s="14">
        <v>282</v>
      </c>
      <c r="D33" s="14">
        <v>221</v>
      </c>
      <c r="E33" s="14" t="e">
        <f>COUNTIFS(#REF!,"3.27-*",#REF!,"+")</f>
        <v>#REF!</v>
      </c>
      <c r="F33" s="19" t="e">
        <f t="shared" si="0"/>
        <v>#REF!</v>
      </c>
    </row>
    <row r="34" spans="1:11" x14ac:dyDescent="0.3">
      <c r="A34" s="12" t="s">
        <v>152</v>
      </c>
      <c r="B34" s="13" t="s">
        <v>151</v>
      </c>
      <c r="C34" s="14">
        <v>481</v>
      </c>
      <c r="D34" s="14">
        <v>0</v>
      </c>
      <c r="E34" s="14" t="e">
        <f>COUNTIFS(#REF!,"3.28-*",#REF!,"+")</f>
        <v>#REF!</v>
      </c>
      <c r="F34" s="20" t="s">
        <v>190</v>
      </c>
    </row>
    <row r="35" spans="1:11" x14ac:dyDescent="0.3">
      <c r="A35" s="12" t="s">
        <v>154</v>
      </c>
      <c r="B35" s="13" t="s">
        <v>153</v>
      </c>
      <c r="C35" s="14">
        <v>1605</v>
      </c>
      <c r="D35" s="14">
        <v>91</v>
      </c>
      <c r="E35" s="14" t="e">
        <f>COUNTIFS(#REF!,"3.29-*",#REF!,"+")</f>
        <v>#REF!</v>
      </c>
      <c r="F35" s="19" t="e">
        <f t="shared" si="0"/>
        <v>#REF!</v>
      </c>
    </row>
    <row r="36" spans="1:11" x14ac:dyDescent="0.3">
      <c r="A36" s="12" t="s">
        <v>156</v>
      </c>
      <c r="B36" s="13" t="s">
        <v>155</v>
      </c>
      <c r="C36" s="14">
        <v>298</v>
      </c>
      <c r="D36" s="14">
        <v>32</v>
      </c>
      <c r="E36" s="14" t="e">
        <f>COUNTIFS(#REF!,"3.30-*",#REF!,"+")</f>
        <v>#REF!</v>
      </c>
      <c r="F36" s="19" t="e">
        <f t="shared" si="0"/>
        <v>#REF!</v>
      </c>
    </row>
    <row r="37" spans="1:11" x14ac:dyDescent="0.3">
      <c r="A37" s="12" t="s">
        <v>158</v>
      </c>
      <c r="B37" s="13" t="s">
        <v>157</v>
      </c>
      <c r="C37" s="14">
        <v>117</v>
      </c>
      <c r="D37" s="14">
        <v>7</v>
      </c>
      <c r="E37" s="14" t="e">
        <f>COUNTIFS(#REF!,"3.32-*",#REF!,"+")</f>
        <v>#REF!</v>
      </c>
      <c r="F37" s="19" t="e">
        <f t="shared" si="0"/>
        <v>#REF!</v>
      </c>
    </row>
    <row r="38" spans="1:11" x14ac:dyDescent="0.3">
      <c r="A38" s="12" t="s">
        <v>160</v>
      </c>
      <c r="B38" s="13" t="s">
        <v>159</v>
      </c>
      <c r="C38" s="14">
        <v>245</v>
      </c>
      <c r="D38" s="14">
        <v>129</v>
      </c>
      <c r="E38" s="14" t="e">
        <f>COUNTIFS(#REF!,"3.33-*",#REF!,"+")</f>
        <v>#REF!</v>
      </c>
      <c r="F38" s="19" t="e">
        <f t="shared" si="0"/>
        <v>#REF!</v>
      </c>
    </row>
    <row r="39" spans="1:11" x14ac:dyDescent="0.3">
      <c r="A39" s="12" t="s">
        <v>162</v>
      </c>
      <c r="B39" s="13" t="s">
        <v>161</v>
      </c>
      <c r="C39" s="14">
        <v>251</v>
      </c>
      <c r="D39" s="14">
        <v>211</v>
      </c>
      <c r="E39" s="14" t="e">
        <f>COUNTIFS(#REF!,"3.34-*",#REF!,"+")</f>
        <v>#REF!</v>
      </c>
      <c r="F39" s="19" t="e">
        <f t="shared" si="0"/>
        <v>#REF!</v>
      </c>
    </row>
    <row r="40" spans="1:11" x14ac:dyDescent="0.3">
      <c r="A40" s="12" t="s">
        <v>164</v>
      </c>
      <c r="B40" s="13" t="s">
        <v>163</v>
      </c>
      <c r="C40" s="14">
        <v>9</v>
      </c>
      <c r="D40" s="14">
        <v>0</v>
      </c>
      <c r="E40" s="14" t="e">
        <f>COUNTIFS(#REF!,"3.36-*",#REF!,"+")</f>
        <v>#REF!</v>
      </c>
      <c r="F40" s="20" t="s">
        <v>190</v>
      </c>
    </row>
    <row r="41" spans="1:11" x14ac:dyDescent="0.3">
      <c r="A41" s="12" t="s">
        <v>166</v>
      </c>
      <c r="B41" s="13" t="s">
        <v>165</v>
      </c>
      <c r="C41" s="14">
        <v>80</v>
      </c>
      <c r="D41" s="14">
        <v>13</v>
      </c>
      <c r="E41" s="14" t="e">
        <f>COUNTIFS(#REF!,"3.37-*",#REF!,"+")</f>
        <v>#REF!</v>
      </c>
      <c r="F41" s="19" t="e">
        <f t="shared" si="0"/>
        <v>#REF!</v>
      </c>
    </row>
    <row r="42" spans="1:11" x14ac:dyDescent="0.3">
      <c r="A42" s="12" t="s">
        <v>168</v>
      </c>
      <c r="B42" s="13" t="s">
        <v>167</v>
      </c>
      <c r="C42" s="14">
        <v>10</v>
      </c>
      <c r="D42" s="14">
        <v>5</v>
      </c>
      <c r="E42" s="14" t="e">
        <f>COUNTIFS(#REF!,"3.38-*",#REF!,"+")</f>
        <v>#REF!</v>
      </c>
      <c r="F42" s="19" t="e">
        <f t="shared" si="0"/>
        <v>#REF!</v>
      </c>
    </row>
    <row r="43" spans="1:11" x14ac:dyDescent="0.3">
      <c r="A43" s="12" t="s">
        <v>170</v>
      </c>
      <c r="B43" s="13" t="s">
        <v>169</v>
      </c>
      <c r="C43" s="14">
        <v>14</v>
      </c>
      <c r="D43" s="14">
        <v>9</v>
      </c>
      <c r="E43" s="14" t="e">
        <f>COUNTIFS(#REF!,"3.39-*",#REF!,"+")</f>
        <v>#REF!</v>
      </c>
      <c r="F43" s="19" t="e">
        <f t="shared" si="0"/>
        <v>#REF!</v>
      </c>
    </row>
    <row r="44" spans="1:11" x14ac:dyDescent="0.3">
      <c r="A44" s="12" t="s">
        <v>172</v>
      </c>
      <c r="B44" s="13" t="s">
        <v>171</v>
      </c>
      <c r="C44" s="14">
        <v>36</v>
      </c>
      <c r="D44" s="14">
        <v>1</v>
      </c>
      <c r="E44" s="14" t="e">
        <f>COUNTIFS(#REF!,"3.40-*",#REF!,"+")</f>
        <v>#REF!</v>
      </c>
      <c r="F44" s="19" t="e">
        <f t="shared" si="0"/>
        <v>#REF!</v>
      </c>
    </row>
    <row r="45" spans="1:11" x14ac:dyDescent="0.3">
      <c r="A45" s="12" t="s">
        <v>174</v>
      </c>
      <c r="B45" s="13" t="s">
        <v>173</v>
      </c>
      <c r="C45" s="14">
        <v>28</v>
      </c>
      <c r="D45" s="14">
        <v>21</v>
      </c>
      <c r="E45" s="14" t="e">
        <f>COUNTIFS(#REF!,"3.41-*",#REF!,"+")</f>
        <v>#REF!</v>
      </c>
      <c r="F45" s="19" t="e">
        <f t="shared" si="0"/>
        <v>#REF!</v>
      </c>
      <c r="K45">
        <v>4785</v>
      </c>
    </row>
    <row r="46" spans="1:11" x14ac:dyDescent="0.3">
      <c r="A46" s="12" t="s">
        <v>176</v>
      </c>
      <c r="B46" s="13" t="s">
        <v>175</v>
      </c>
      <c r="C46" s="14">
        <v>57</v>
      </c>
      <c r="D46" s="14">
        <v>6</v>
      </c>
      <c r="E46" s="14" t="e">
        <f>COUNTIFS(#REF!,"3.42-*",#REF!,"+")</f>
        <v>#REF!</v>
      </c>
      <c r="F46" s="19" t="e">
        <f t="shared" si="0"/>
        <v>#REF!</v>
      </c>
    </row>
    <row r="47" spans="1:11" x14ac:dyDescent="0.3">
      <c r="A47" s="12" t="s">
        <v>178</v>
      </c>
      <c r="B47" s="13" t="s">
        <v>177</v>
      </c>
      <c r="C47" s="14">
        <v>289</v>
      </c>
      <c r="D47" s="14">
        <v>0</v>
      </c>
      <c r="E47" s="14" t="e">
        <f>COUNTIFS(#REF!,"3.44-*",#REF!,"+")</f>
        <v>#REF!</v>
      </c>
      <c r="F47" s="20" t="s">
        <v>190</v>
      </c>
    </row>
    <row r="48" spans="1:11" x14ac:dyDescent="0.3">
      <c r="A48" s="12" t="s">
        <v>180</v>
      </c>
      <c r="B48" s="13" t="s">
        <v>179</v>
      </c>
      <c r="C48" s="14">
        <v>198</v>
      </c>
      <c r="D48" s="14">
        <v>8</v>
      </c>
      <c r="E48" s="14" t="e">
        <f>COUNTIFS(#REF!,"3.45-*",#REF!,"+")</f>
        <v>#REF!</v>
      </c>
      <c r="F48" s="19" t="e">
        <f t="shared" si="0"/>
        <v>#REF!</v>
      </c>
    </row>
    <row r="49" spans="1:6" x14ac:dyDescent="0.3">
      <c r="A49" s="12" t="s">
        <v>182</v>
      </c>
      <c r="B49" s="13" t="s">
        <v>181</v>
      </c>
      <c r="C49" s="14">
        <v>398</v>
      </c>
      <c r="D49" s="14">
        <v>375</v>
      </c>
      <c r="E49" s="14" t="e">
        <f>COUNTIFS(#REF!,"3.47-*",#REF!,"+")</f>
        <v>#REF!</v>
      </c>
      <c r="F49" s="19" t="e">
        <f t="shared" si="0"/>
        <v>#REF!</v>
      </c>
    </row>
    <row r="50" spans="1:6" x14ac:dyDescent="0.3">
      <c r="A50" s="12" t="s">
        <v>184</v>
      </c>
      <c r="B50" s="13" t="s">
        <v>183</v>
      </c>
      <c r="C50" s="14">
        <v>37</v>
      </c>
      <c r="D50" s="14">
        <v>8</v>
      </c>
      <c r="E50" s="14" t="e">
        <f>COUNTIFS(#REF!,"3.51-*",#REF!,"+")</f>
        <v>#REF!</v>
      </c>
      <c r="F50" s="19" t="e">
        <f t="shared" si="0"/>
        <v>#REF!</v>
      </c>
    </row>
    <row r="51" spans="1:6" x14ac:dyDescent="0.3">
      <c r="A51" s="15" t="s">
        <v>220</v>
      </c>
      <c r="B51" s="16"/>
      <c r="C51" s="16">
        <f>SUM(C10:C50)</f>
        <v>12297</v>
      </c>
      <c r="D51" s="16">
        <f>SUM(D10:D50)</f>
        <v>7512</v>
      </c>
      <c r="E51" s="16" t="e">
        <f>SUM(E10:E50)</f>
        <v>#REF!</v>
      </c>
      <c r="F51" s="21" t="e">
        <f>E51/D51</f>
        <v>#REF!</v>
      </c>
    </row>
  </sheetData>
  <mergeCells count="5">
    <mergeCell ref="A8:A9"/>
    <mergeCell ref="B8:B9"/>
    <mergeCell ref="C8:C9"/>
    <mergeCell ref="D8:D9"/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name (2)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Велесь Игорь Олегович</dc:creator>
  <cp:lastModifiedBy>KK</cp:lastModifiedBy>
  <dcterms:created xsi:type="dcterms:W3CDTF">2023-04-06T09:24:15Z</dcterms:created>
  <dcterms:modified xsi:type="dcterms:W3CDTF">2023-08-09T15:10:54Z</dcterms:modified>
</cp:coreProperties>
</file>