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KiCad\Sensor\Voltage2\"/>
    </mc:Choice>
  </mc:AlternateContent>
  <xr:revisionPtr revIDLastSave="0" documentId="13_ncr:1_{9516F8F6-C8A2-45CF-9285-598092FF7292}" xr6:coauthVersionLast="46" xr6:coauthVersionMax="46" xr10:uidLastSave="{00000000-0000-0000-0000-000000000000}"/>
  <bookViews>
    <workbookView xWindow="465" yWindow="3285" windowWidth="16185" windowHeight="11505" xr2:uid="{3F8F7FF4-61E6-4EBD-A032-F961C5619D1E}"/>
  </bookViews>
  <sheets>
    <sheet name="Sheet1" sheetId="1" r:id="rId1"/>
  </sheets>
  <definedNames>
    <definedName name="Irms">Sheet1!$A$4</definedName>
    <definedName name="Res">Sheet1!$A$6</definedName>
    <definedName name="Rload">Sheet1!$A$5</definedName>
    <definedName name="Vpeak">Sheet1!$A$2</definedName>
    <definedName name="Vrms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J21" i="1"/>
  <c r="J18" i="1"/>
  <c r="J19" i="1"/>
  <c r="J17" i="1"/>
  <c r="J16" i="1"/>
  <c r="J9" i="1"/>
  <c r="J8" i="1"/>
  <c r="J7" i="1"/>
  <c r="M5" i="1"/>
  <c r="L6" i="1"/>
  <c r="L5" i="1"/>
  <c r="G21" i="1"/>
  <c r="E17" i="1"/>
  <c r="A18" i="1"/>
  <c r="A10" i="1"/>
  <c r="A11" i="1" s="1"/>
  <c r="A13" i="1" s="1"/>
  <c r="A16" i="1" s="1"/>
  <c r="E2" i="1"/>
  <c r="G2" i="1" s="1"/>
  <c r="A6" i="1"/>
  <c r="A7" i="1" s="1"/>
  <c r="A8" i="1" s="1"/>
  <c r="A2" i="1"/>
  <c r="A3" i="1" s="1"/>
  <c r="A19" i="1" l="1"/>
  <c r="A20" i="1" s="1"/>
  <c r="A22" i="1" s="1"/>
  <c r="A24" i="1"/>
  <c r="A27" i="1" s="1"/>
  <c r="A28" i="1" s="1"/>
  <c r="E5" i="1"/>
  <c r="E3" i="1"/>
  <c r="G3" i="1" s="1"/>
  <c r="E1" i="1"/>
  <c r="G1" i="1" s="1"/>
  <c r="E6" i="1"/>
  <c r="E7" i="1"/>
  <c r="A21" i="1" l="1"/>
</calcChain>
</file>

<file path=xl/sharedStrings.xml><?xml version="1.0" encoding="utf-8"?>
<sst xmlns="http://schemas.openxmlformats.org/spreadsheetml/2006/main" count="29" uniqueCount="27">
  <si>
    <t>Vpeak</t>
  </si>
  <si>
    <t>Vpp</t>
  </si>
  <si>
    <t>Vrms</t>
  </si>
  <si>
    <t>Irms</t>
  </si>
  <si>
    <t>Res</t>
  </si>
  <si>
    <t>Rload</t>
  </si>
  <si>
    <t>Vpp Out</t>
  </si>
  <si>
    <t>R1</t>
  </si>
  <si>
    <t>R2</t>
  </si>
  <si>
    <t>Gain</t>
  </si>
  <si>
    <t>Actual Gain</t>
  </si>
  <si>
    <t>Actual R2</t>
  </si>
  <si>
    <t>Actual Vpp</t>
  </si>
  <si>
    <t>1/2 Vpp AD Counts</t>
  </si>
  <si>
    <t>AD Min</t>
  </si>
  <si>
    <t>AD Max</t>
  </si>
  <si>
    <t>vSum</t>
  </si>
  <si>
    <t>cSum</t>
  </si>
  <si>
    <t>pwrSum</t>
  </si>
  <si>
    <t>samples</t>
  </si>
  <si>
    <t>curScale</t>
  </si>
  <si>
    <t>voltScale</t>
  </si>
  <si>
    <t>pwrScale</t>
  </si>
  <si>
    <t>vRms</t>
  </si>
  <si>
    <t>cRms</t>
  </si>
  <si>
    <t>aprntPwr</t>
  </si>
  <si>
    <t>realPwr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</si>
</sst>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AB7D-A3FA-4B38-A81A-5E1D9DEF4E2C}">
  <dimension ref="A1:M28"/>
  <sheetViews>
    <sheetView tabSelected="1" workbookViewId="0">
      <selection activeCell="E17" sqref="E17"/>
    </sheetView>
  </sheetViews>
  <sheetFormatPr defaultRowHeight="15" x14ac:dyDescent="0.25"/>
  <cols>
    <col min="10" max="10" width="16.42578125" customWidth="1"/>
    <col min="11" max="11" width="19.42578125" customWidth="1"/>
    <col min="12" max="12" width="13.85546875" customWidth="1"/>
  </cols>
  <sheetData>
    <row r="1" spans="1:13" x14ac:dyDescent="0.25">
      <c r="A1">
        <v>125</v>
      </c>
      <c r="B1" t="s">
        <v>2</v>
      </c>
      <c r="E1">
        <f>Vpeak</f>
        <v>176.77669529663689</v>
      </c>
      <c r="G1">
        <f>2*E1</f>
        <v>353.55339059327378</v>
      </c>
    </row>
    <row r="2" spans="1:13" x14ac:dyDescent="0.25">
      <c r="A2">
        <f>Vrms*SQRT(2)</f>
        <v>176.77669529663689</v>
      </c>
      <c r="B2" t="s">
        <v>0</v>
      </c>
      <c r="E2">
        <f>2*Vrms/3</f>
        <v>83.333333333333329</v>
      </c>
      <c r="G2">
        <f>2*E2</f>
        <v>166.66666666666666</v>
      </c>
    </row>
    <row r="3" spans="1:13" x14ac:dyDescent="0.25">
      <c r="A3">
        <f>A2*2</f>
        <v>353.55339059327378</v>
      </c>
      <c r="B3" t="s">
        <v>1</v>
      </c>
      <c r="E3">
        <f>1*Vpeak/3</f>
        <v>58.925565098878963</v>
      </c>
      <c r="G3">
        <f>2*E3</f>
        <v>117.85113019775793</v>
      </c>
    </row>
    <row r="4" spans="1:13" x14ac:dyDescent="0.25">
      <c r="A4">
        <v>2E-3</v>
      </c>
      <c r="B4" t="s">
        <v>3</v>
      </c>
      <c r="E4">
        <v>100</v>
      </c>
    </row>
    <row r="5" spans="1:13" x14ac:dyDescent="0.25">
      <c r="A5">
        <v>100</v>
      </c>
      <c r="B5" t="s">
        <v>5</v>
      </c>
      <c r="E5">
        <f>-1*Vpeak/3</f>
        <v>-58.925565098878963</v>
      </c>
      <c r="H5">
        <v>3300</v>
      </c>
      <c r="I5">
        <v>3300</v>
      </c>
      <c r="J5">
        <v>30</v>
      </c>
      <c r="K5">
        <v>0.15118999999999999</v>
      </c>
      <c r="L5">
        <f>H5*I5*J5*K5</f>
        <v>49393773</v>
      </c>
      <c r="M5">
        <f>L5/L6</f>
        <v>2.9455363683935114</v>
      </c>
    </row>
    <row r="6" spans="1:13" x14ac:dyDescent="0.25">
      <c r="A6">
        <f>Vrms/Irms</f>
        <v>62500</v>
      </c>
      <c r="B6" t="s">
        <v>4</v>
      </c>
      <c r="E6">
        <f>-2*Vpeak/3</f>
        <v>-117.85113019775793</v>
      </c>
      <c r="H6">
        <v>4095</v>
      </c>
      <c r="I6">
        <v>4095</v>
      </c>
      <c r="L6">
        <f>H6*I6</f>
        <v>16769025</v>
      </c>
    </row>
    <row r="7" spans="1:13" x14ac:dyDescent="0.25">
      <c r="A7">
        <f>Res/6</f>
        <v>10416.666666666666</v>
      </c>
      <c r="E7">
        <f>-Vpeak</f>
        <v>-176.77669529663689</v>
      </c>
      <c r="J7">
        <f>(H5/H6)*J5</f>
        <v>24.175824175824175</v>
      </c>
      <c r="K7" t="s">
        <v>20</v>
      </c>
    </row>
    <row r="8" spans="1:13" x14ac:dyDescent="0.25">
      <c r="A8">
        <f>Irms*Irms*A7</f>
        <v>4.1666666666666664E-2</v>
      </c>
      <c r="J8">
        <f>(I5/I6)*K5*10</f>
        <v>1.2183809523809523</v>
      </c>
      <c r="K8" t="s">
        <v>21</v>
      </c>
    </row>
    <row r="9" spans="1:13" x14ac:dyDescent="0.25">
      <c r="J9">
        <f>J7*J8</f>
        <v>29.455363683935111</v>
      </c>
      <c r="K9" t="s">
        <v>22</v>
      </c>
    </row>
    <row r="10" spans="1:13" x14ac:dyDescent="0.25">
      <c r="A10">
        <f>Irms*Rload</f>
        <v>0.2</v>
      </c>
      <c r="B10" t="s">
        <v>2</v>
      </c>
    </row>
    <row r="11" spans="1:13" x14ac:dyDescent="0.25">
      <c r="A11">
        <f>A10*SQRT(2)*2</f>
        <v>0.56568542494923812</v>
      </c>
      <c r="B11" t="s">
        <v>1</v>
      </c>
      <c r="J11">
        <v>1040213285</v>
      </c>
      <c r="K11" s="1" t="s">
        <v>16</v>
      </c>
    </row>
    <row r="12" spans="1:13" x14ac:dyDescent="0.25">
      <c r="A12">
        <v>2.5</v>
      </c>
      <c r="B12" t="s">
        <v>6</v>
      </c>
      <c r="J12">
        <v>4227944</v>
      </c>
      <c r="K12" t="s">
        <v>17</v>
      </c>
    </row>
    <row r="13" spans="1:13" x14ac:dyDescent="0.25">
      <c r="A13">
        <f>A12/A11</f>
        <v>4.4194173824159213</v>
      </c>
      <c r="B13" t="s">
        <v>9</v>
      </c>
      <c r="J13">
        <v>36844493</v>
      </c>
      <c r="K13" t="s">
        <v>18</v>
      </c>
    </row>
    <row r="14" spans="1:13" x14ac:dyDescent="0.25">
      <c r="J14">
        <v>960</v>
      </c>
      <c r="K14" t="s">
        <v>19</v>
      </c>
    </row>
    <row r="15" spans="1:13" x14ac:dyDescent="0.25">
      <c r="A15">
        <v>24000</v>
      </c>
      <c r="B15" t="s">
        <v>7</v>
      </c>
      <c r="E15">
        <v>126.1</v>
      </c>
    </row>
    <row r="16" spans="1:13" x14ac:dyDescent="0.25">
      <c r="A16">
        <f>A15*A13</f>
        <v>106066.01717798211</v>
      </c>
      <c r="B16" t="s">
        <v>8</v>
      </c>
      <c r="E16">
        <v>834</v>
      </c>
      <c r="J16">
        <f>INT(SQRT(J11/J14)*J8)</f>
        <v>1268</v>
      </c>
      <c r="K16" t="s">
        <v>23</v>
      </c>
    </row>
    <row r="17" spans="1:11" x14ac:dyDescent="0.25">
      <c r="A17">
        <v>100000</v>
      </c>
      <c r="B17" t="s">
        <v>11</v>
      </c>
      <c r="E17">
        <f>E15/E16</f>
        <v>0.15119904076738608</v>
      </c>
      <c r="J17">
        <f>INT(SQRT(J12/J14)*J7)</f>
        <v>1604</v>
      </c>
      <c r="K17" t="s">
        <v>24</v>
      </c>
    </row>
    <row r="18" spans="1:11" x14ac:dyDescent="0.25">
      <c r="A18">
        <f>A17/A15</f>
        <v>4.166666666666667</v>
      </c>
      <c r="B18" t="s">
        <v>10</v>
      </c>
      <c r="J18">
        <f>J16*J17</f>
        <v>2033872</v>
      </c>
      <c r="K18" t="s">
        <v>25</v>
      </c>
    </row>
    <row r="19" spans="1:11" x14ac:dyDescent="0.25">
      <c r="A19">
        <f>A18*A11</f>
        <v>2.3570226039551589</v>
      </c>
      <c r="B19" t="s">
        <v>12</v>
      </c>
      <c r="G19">
        <v>127.8</v>
      </c>
      <c r="J19" s="1">
        <f>(J13/J14)*J9</f>
        <v>1130487.4386095847</v>
      </c>
      <c r="K19" t="s">
        <v>26</v>
      </c>
    </row>
    <row r="20" spans="1:11" x14ac:dyDescent="0.25">
      <c r="A20">
        <f>INT(4095*(A19/2)/3.3)</f>
        <v>1462</v>
      </c>
      <c r="B20" t="s">
        <v>13</v>
      </c>
      <c r="G20">
        <v>16.027999999999999</v>
      </c>
    </row>
    <row r="21" spans="1:11" x14ac:dyDescent="0.25">
      <c r="A21">
        <f>2048-A20</f>
        <v>586</v>
      </c>
      <c r="B21" t="s">
        <v>14</v>
      </c>
      <c r="G21">
        <f>G19*G20</f>
        <v>2048.3783999999996</v>
      </c>
      <c r="J21">
        <f>SQRT(J11)*SQRT(J12)</f>
        <v>66317143.462577164</v>
      </c>
    </row>
    <row r="22" spans="1:11" x14ac:dyDescent="0.25">
      <c r="A22">
        <f>2048+A20</f>
        <v>3510</v>
      </c>
      <c r="B22" t="s">
        <v>15</v>
      </c>
      <c r="J22">
        <f>INT(SQRT(J11))*INT(SQRT(J12))</f>
        <v>66310112</v>
      </c>
    </row>
    <row r="24" spans="1:11" x14ac:dyDescent="0.25">
      <c r="A24">
        <f>A10*2*SQRT(2)</f>
        <v>0.56568542494923812</v>
      </c>
    </row>
    <row r="25" spans="1:11" x14ac:dyDescent="0.25">
      <c r="A25">
        <v>24000</v>
      </c>
    </row>
    <row r="26" spans="1:11" x14ac:dyDescent="0.25">
      <c r="A26">
        <v>82000</v>
      </c>
    </row>
    <row r="27" spans="1:11" x14ac:dyDescent="0.25">
      <c r="A27">
        <f>A24*A26/A25</f>
        <v>1.9327585352432304</v>
      </c>
    </row>
    <row r="28" spans="1:11" x14ac:dyDescent="0.25">
      <c r="A28">
        <f>(A27/3.3)*4095</f>
        <v>2398.377636915463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Irms</vt:lpstr>
      <vt:lpstr>Res</vt:lpstr>
      <vt:lpstr>Rload</vt:lpstr>
      <vt:lpstr>Vpeak</vt:lpstr>
      <vt:lpstr>Vrms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2020-11-24T13:45:51Z</dcterms:created>
  <dcterms:modified xsi:type="dcterms:W3CDTF">2021-02-27T18:46:05Z</dcterms:modified>
</cp:coreProperties>
</file>