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0140" yWindow="0" windowWidth="1654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2" i="1" l="1"/>
  <c r="H141" i="1"/>
  <c r="H142" i="1"/>
  <c r="F142" i="1"/>
  <c r="H140" i="1"/>
  <c r="E5" i="1"/>
  <c r="F5" i="1"/>
  <c r="C6" i="1"/>
  <c r="E6" i="1"/>
  <c r="F6" i="1"/>
  <c r="F7" i="1"/>
  <c r="C10" i="1"/>
  <c r="C9" i="1"/>
  <c r="C8" i="1"/>
  <c r="E8" i="1"/>
  <c r="F8" i="1"/>
  <c r="E9" i="1"/>
  <c r="F9" i="1"/>
  <c r="E10" i="1"/>
  <c r="F10" i="1"/>
  <c r="C11" i="1"/>
  <c r="E11" i="1"/>
  <c r="F11" i="1"/>
  <c r="F12" i="1"/>
  <c r="C13" i="1"/>
  <c r="E13" i="1"/>
  <c r="F13" i="1"/>
  <c r="E4" i="1"/>
  <c r="F4" i="1"/>
  <c r="G6" i="1"/>
  <c r="C34" i="1"/>
  <c r="E34" i="1"/>
  <c r="C21" i="1"/>
  <c r="D136" i="1"/>
  <c r="D141" i="1"/>
  <c r="D142" i="1"/>
  <c r="D137" i="1"/>
  <c r="D145" i="1"/>
  <c r="D138" i="1"/>
  <c r="C144" i="1"/>
  <c r="C143" i="1"/>
  <c r="C135" i="1"/>
  <c r="C147" i="1"/>
  <c r="C140" i="1"/>
  <c r="C134" i="1"/>
  <c r="C148" i="1"/>
  <c r="C125" i="1"/>
  <c r="C126" i="1"/>
  <c r="C127" i="1"/>
  <c r="H70" i="1"/>
  <c r="H73" i="1"/>
  <c r="C74" i="1"/>
  <c r="G70" i="1"/>
  <c r="G73" i="1"/>
  <c r="C73" i="1"/>
  <c r="G72" i="1"/>
  <c r="C72" i="1"/>
  <c r="H72" i="1"/>
  <c r="C65" i="1"/>
  <c r="C59" i="1"/>
  <c r="C58" i="1"/>
  <c r="E114" i="1"/>
  <c r="C111" i="1"/>
  <c r="C110" i="1"/>
  <c r="C101" i="1"/>
  <c r="C109" i="1"/>
  <c r="F107" i="1"/>
  <c r="C108" i="1"/>
  <c r="C93" i="1"/>
  <c r="C87" i="1"/>
  <c r="C86" i="1"/>
  <c r="C85" i="1"/>
  <c r="C81" i="1"/>
  <c r="H106" i="1"/>
  <c r="H107" i="1"/>
  <c r="H108" i="1"/>
  <c r="H111" i="1"/>
  <c r="H112" i="1"/>
  <c r="H110" i="1"/>
  <c r="H113" i="1"/>
  <c r="H115" i="1"/>
  <c r="E88" i="1"/>
  <c r="E83" i="1"/>
  <c r="E90" i="1"/>
  <c r="C88" i="1"/>
  <c r="C83" i="1"/>
  <c r="C90" i="1"/>
  <c r="I59" i="1"/>
  <c r="I58" i="1"/>
  <c r="I57" i="1"/>
  <c r="C56" i="1"/>
  <c r="I56" i="1"/>
  <c r="E53" i="1"/>
  <c r="E52" i="1"/>
  <c r="E59" i="1"/>
  <c r="E58" i="1"/>
  <c r="I52" i="1"/>
  <c r="I53" i="1"/>
  <c r="I54" i="1"/>
  <c r="E60" i="1"/>
  <c r="E54" i="1"/>
  <c r="E62" i="1"/>
  <c r="C60" i="1"/>
  <c r="C54" i="1"/>
  <c r="C62" i="1"/>
  <c r="C28" i="1"/>
  <c r="C42" i="1"/>
  <c r="I28" i="1"/>
  <c r="I29" i="1"/>
  <c r="I30" i="1"/>
  <c r="C33" i="1"/>
  <c r="I33" i="1"/>
  <c r="I34" i="1"/>
  <c r="I32" i="1"/>
  <c r="C32" i="1"/>
  <c r="E32" i="1"/>
  <c r="I35" i="1"/>
  <c r="I37" i="1"/>
  <c r="E35" i="1"/>
  <c r="E29" i="1"/>
  <c r="E30" i="1"/>
  <c r="E37" i="1"/>
  <c r="C35" i="1"/>
  <c r="C30" i="1"/>
  <c r="C37" i="1"/>
  <c r="C22" i="1"/>
  <c r="C17" i="1"/>
  <c r="C18" i="1"/>
  <c r="I8" i="1"/>
  <c r="I9" i="1"/>
  <c r="I10" i="1"/>
  <c r="I11" i="1"/>
  <c r="I4" i="1"/>
  <c r="I5" i="1"/>
  <c r="I6" i="1"/>
  <c r="I13" i="1"/>
  <c r="I60" i="1"/>
  <c r="I62" i="1"/>
</calcChain>
</file>

<file path=xl/sharedStrings.xml><?xml version="1.0" encoding="utf-8"?>
<sst xmlns="http://schemas.openxmlformats.org/spreadsheetml/2006/main" count="176" uniqueCount="91">
  <si>
    <t>Founders</t>
  </si>
  <si>
    <t>Series A investor</t>
  </si>
  <si>
    <t>value</t>
  </si>
  <si>
    <t>Problem 2</t>
  </si>
  <si>
    <t>Problem 3</t>
  </si>
  <si>
    <t>Problem 4</t>
  </si>
  <si>
    <t>CSO</t>
  </si>
  <si>
    <t>NCP</t>
  </si>
  <si>
    <t>Problem 1</t>
  </si>
  <si>
    <t>shares</t>
  </si>
  <si>
    <t>price</t>
  </si>
  <si>
    <t>post-money</t>
  </si>
  <si>
    <t>investors</t>
  </si>
  <si>
    <t>as-converted</t>
  </si>
  <si>
    <t>per share</t>
  </si>
  <si>
    <t>% of firm</t>
  </si>
  <si>
    <t>angel investor</t>
  </si>
  <si>
    <t>*</t>
  </si>
  <si>
    <t>total investors</t>
  </si>
  <si>
    <t>founder 1</t>
  </si>
  <si>
    <t>early employees and advisors</t>
  </si>
  <si>
    <t>option pool</t>
  </si>
  <si>
    <t>total employees</t>
  </si>
  <si>
    <t>total shares (000s)</t>
  </si>
  <si>
    <t>pre-money</t>
  </si>
  <si>
    <t>Series A investment</t>
  </si>
  <si>
    <t>a)</t>
  </si>
  <si>
    <t>b)</t>
  </si>
  <si>
    <t>Answers</t>
  </si>
  <si>
    <t>c)</t>
  </si>
  <si>
    <t>d)</t>
  </si>
  <si>
    <t>Value owned by employees</t>
  </si>
  <si>
    <t>Shares of angel:option</t>
  </si>
  <si>
    <t>Founder ownership</t>
  </si>
  <si>
    <t>Post Money Valuation</t>
  </si>
  <si>
    <t>Shares in option pool</t>
  </si>
  <si>
    <t>Shares of Angel</t>
  </si>
  <si>
    <t>Value owned by early emplyees</t>
  </si>
  <si>
    <t>founders</t>
  </si>
  <si>
    <t>Series B investor</t>
  </si>
  <si>
    <t>e)</t>
  </si>
  <si>
    <t>Series B @ series A price</t>
  </si>
  <si>
    <t>OCP</t>
  </si>
  <si>
    <t>CSP</t>
  </si>
  <si>
    <t>CSAP</t>
  </si>
  <si>
    <t>Series A investor shares</t>
  </si>
  <si>
    <t>Percentage each founder owns</t>
  </si>
  <si>
    <t>Shares owned after series B</t>
  </si>
  <si>
    <t>Questions</t>
  </si>
  <si>
    <t>Pre-money value</t>
  </si>
  <si>
    <t>Shares for angel</t>
  </si>
  <si>
    <t>Payout for founders</t>
  </si>
  <si>
    <t>Payout for founders @ $60mn</t>
  </si>
  <si>
    <t>Liquidation</t>
  </si>
  <si>
    <t xml:space="preserve">Remaining </t>
  </si>
  <si>
    <t>Split as percentage of company</t>
  </si>
  <si>
    <t>Series A</t>
  </si>
  <si>
    <t>Price Sold for</t>
  </si>
  <si>
    <t>Series A total payout</t>
  </si>
  <si>
    <t>Problem 5</t>
  </si>
  <si>
    <t>Employee X</t>
  </si>
  <si>
    <t>Restricted Stock at FMV + 83(b)</t>
  </si>
  <si>
    <t>No tax since FMV</t>
  </si>
  <si>
    <t>Tax at Issuance</t>
  </si>
  <si>
    <t>Tax at Sale</t>
  </si>
  <si>
    <t>FMV(sale)-FMV(issuance)</t>
  </si>
  <si>
    <t>No. of Shares</t>
  </si>
  <si>
    <t>FMV(sale)</t>
  </si>
  <si>
    <t>Total Sale</t>
  </si>
  <si>
    <t>FMV(issuance)</t>
  </si>
  <si>
    <t>Capital Gains Tax Paid</t>
  </si>
  <si>
    <t>Total Value</t>
  </si>
  <si>
    <t>Employee Y</t>
  </si>
  <si>
    <t>ISO at FMV</t>
  </si>
  <si>
    <t>None</t>
  </si>
  <si>
    <t>Year 3 - buy all vested stock</t>
  </si>
  <si>
    <t>AMT of year 3</t>
  </si>
  <si>
    <t>FMV(exercise year 3)</t>
  </si>
  <si>
    <t>FMV(issue)</t>
  </si>
  <si>
    <t>Cost of stock</t>
  </si>
  <si>
    <t>Year 4 - buy remaining stock</t>
  </si>
  <si>
    <t>Sale of stock - 35%</t>
  </si>
  <si>
    <t>Sales proceeds</t>
  </si>
  <si>
    <t>Year 5 - sale of remaining stock</t>
  </si>
  <si>
    <t>AMT recovery</t>
  </si>
  <si>
    <t>Remaining Stock</t>
  </si>
  <si>
    <t>Capital gains tax on year 3 stock</t>
  </si>
  <si>
    <t>Capital gains tax on year 4 stock</t>
  </si>
  <si>
    <t>Total sales proceeds minus taxes</t>
  </si>
  <si>
    <t>Total sales proceeds minus taxes and buying cost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</si>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</sst>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_([$$-409]* #,##0.00_);_([$$-409]* \(#,##0.00\);_([$$-409]* &quot;-&quot;??_);_(@_)"/>
    <numFmt numFmtId="166" formatCode="&quot;$&quot;#,##0.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Garamond"/>
    </font>
    <font>
      <b/>
      <sz val="12"/>
      <color theme="1"/>
      <name val="Garamond"/>
    </font>
    <font>
      <b/>
      <u/>
      <sz val="12"/>
      <color theme="1"/>
      <name val="Garamond"/>
    </font>
    <font>
      <u/>
      <sz val="12"/>
      <color theme="1"/>
      <name val="Garamond"/>
    </font>
    <font>
      <sz val="12"/>
      <color rgb="FF000000"/>
      <name val="Garamond"/>
    </font>
    <font>
      <u/>
      <sz val="12"/>
      <color rgb="FF000000"/>
      <name val="Garamond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2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4" fillId="0" borderId="0" xfId="0" applyFont="1"/>
    <xf numFmtId="4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1" fontId="4" fillId="0" borderId="0" xfId="0" applyNumberFormat="1" applyFont="1"/>
    <xf numFmtId="42" fontId="4" fillId="0" borderId="0" xfId="0" applyNumberFormat="1" applyFont="1"/>
    <xf numFmtId="3" fontId="4" fillId="0" borderId="0" xfId="0" applyNumberFormat="1" applyFont="1"/>
    <xf numFmtId="2" fontId="4" fillId="0" borderId="0" xfId="0" applyNumberFormat="1" applyFont="1"/>
    <xf numFmtId="164" fontId="4" fillId="0" borderId="0" xfId="1" applyNumberFormat="1" applyFont="1"/>
    <xf numFmtId="41" fontId="7" fillId="0" borderId="0" xfId="0" applyNumberFormat="1" applyFont="1"/>
    <xf numFmtId="3" fontId="7" fillId="0" borderId="0" xfId="0" applyNumberFormat="1" applyFont="1"/>
    <xf numFmtId="165" fontId="5" fillId="0" borderId="0" xfId="0" applyNumberFormat="1" applyFont="1"/>
    <xf numFmtId="165" fontId="4" fillId="0" borderId="0" xfId="0" applyNumberFormat="1" applyFont="1"/>
    <xf numFmtId="164" fontId="7" fillId="0" borderId="0" xfId="1" applyNumberFormat="1" applyFont="1"/>
    <xf numFmtId="0" fontId="4" fillId="0" borderId="0" xfId="0" applyFont="1" applyAlignment="1">
      <alignment horizontal="center"/>
    </xf>
    <xf numFmtId="0" fontId="7" fillId="0" borderId="0" xfId="0" applyFont="1"/>
    <xf numFmtId="42" fontId="0" fillId="0" borderId="0" xfId="0" applyNumberFormat="1"/>
    <xf numFmtId="42" fontId="8" fillId="0" borderId="0" xfId="0" applyNumberFormat="1" applyFont="1"/>
    <xf numFmtId="42" fontId="9" fillId="0" borderId="0" xfId="0" applyNumberFormat="1" applyFont="1"/>
    <xf numFmtId="3" fontId="0" fillId="0" borderId="0" xfId="0" applyNumberFormat="1"/>
    <xf numFmtId="8" fontId="0" fillId="0" borderId="0" xfId="0" applyNumberFormat="1"/>
    <xf numFmtId="166" fontId="0" fillId="0" borderId="0" xfId="0" applyNumberFormat="1"/>
    <xf numFmtId="41" fontId="4" fillId="2" borderId="0" xfId="0" applyNumberFormat="1" applyFont="1" applyFill="1"/>
    <xf numFmtId="42" fontId="4" fillId="2" borderId="0" xfId="0" applyNumberFormat="1" applyFont="1" applyFill="1"/>
    <xf numFmtId="10" fontId="4" fillId="2" borderId="0" xfId="1" applyNumberFormat="1" applyFont="1" applyFill="1"/>
    <xf numFmtId="42" fontId="8" fillId="2" borderId="0" xfId="0" applyNumberFormat="1" applyFont="1" applyFill="1"/>
    <xf numFmtId="42" fontId="0" fillId="2" borderId="0" xfId="0" applyNumberFormat="1" applyFill="1"/>
    <xf numFmtId="0" fontId="0" fillId="2" borderId="0" xfId="0" applyFill="1"/>
    <xf numFmtId="165" fontId="4" fillId="2" borderId="0" xfId="0" applyNumberFormat="1" applyFont="1" applyFill="1"/>
    <xf numFmtId="1" fontId="0" fillId="2" borderId="0" xfId="0" applyNumberFormat="1" applyFill="1"/>
    <xf numFmtId="43" fontId="0" fillId="2" borderId="0" xfId="0" applyNumberFormat="1" applyFill="1"/>
    <xf numFmtId="8" fontId="0" fillId="2" borderId="0" xfId="0" applyNumberFormat="1" applyFill="1"/>
    <xf numFmtId="166" fontId="0" fillId="2" borderId="0" xfId="0" applyNumberFormat="1" applyFill="1"/>
    <xf numFmtId="0" fontId="0" fillId="0" borderId="1" xfId="0" applyBorder="1"/>
    <xf numFmtId="165" fontId="5" fillId="0" borderId="1" xfId="0" applyNumberFormat="1" applyFont="1" applyBorder="1"/>
    <xf numFmtId="165" fontId="4" fillId="0" borderId="1" xfId="0" applyNumberFormat="1" applyFont="1" applyBorder="1"/>
    <xf numFmtId="164" fontId="7" fillId="0" borderId="1" xfId="1" applyNumberFormat="1" applyFont="1" applyBorder="1"/>
  </cellXfs>
  <cellStyles count="1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tabSelected="1" showRuler="0" topLeftCell="B114" workbookViewId="0">
      <selection activeCell="G143" sqref="G143"/>
    </sheetView>
  </sheetViews>
  <sheetFormatPr baseColWidth="10" defaultRowHeight="15" x14ac:dyDescent="0"/>
  <cols>
    <col min="1" max="1" width="8.1640625" bestFit="1" customWidth="1"/>
    <col min="2" max="2" width="26.5" bestFit="1" customWidth="1"/>
    <col min="3" max="3" width="22" bestFit="1" customWidth="1"/>
    <col min="4" max="4" width="11.33203125" bestFit="1" customWidth="1"/>
    <col min="5" max="5" width="17.33203125" bestFit="1" customWidth="1"/>
    <col min="6" max="6" width="23.83203125" bestFit="1" customWidth="1"/>
    <col min="7" max="7" width="13.1640625" bestFit="1" customWidth="1"/>
    <col min="8" max="8" width="11.6640625" bestFit="1" customWidth="1"/>
  </cols>
  <sheetData>
    <row r="1" spans="2:11">
      <c r="B1" t="s">
        <v>8</v>
      </c>
    </row>
    <row r="2" spans="2:11">
      <c r="B2" s="1"/>
      <c r="C2" s="2" t="s">
        <v>2</v>
      </c>
      <c r="D2" s="1"/>
      <c r="E2" s="3" t="s">
        <v>9</v>
      </c>
      <c r="F2" s="3"/>
      <c r="G2" s="3" t="s">
        <v>10</v>
      </c>
      <c r="H2" s="3"/>
      <c r="I2" s="3" t="s">
        <v>11</v>
      </c>
      <c r="J2" s="1"/>
      <c r="K2" s="1"/>
    </row>
    <row r="3" spans="2:11">
      <c r="B3" s="4" t="s">
        <v>12</v>
      </c>
      <c r="C3" s="5" t="s">
        <v>11</v>
      </c>
      <c r="D3" s="1"/>
      <c r="E3" s="6" t="s">
        <v>13</v>
      </c>
      <c r="F3" s="6"/>
      <c r="G3" s="6" t="s">
        <v>14</v>
      </c>
      <c r="H3" s="6"/>
      <c r="I3" s="6" t="s">
        <v>15</v>
      </c>
      <c r="J3" s="1"/>
      <c r="K3" s="1"/>
    </row>
    <row r="4" spans="2:11">
      <c r="B4" s="7" t="s">
        <v>16</v>
      </c>
      <c r="C4" s="8">
        <v>1000000</v>
      </c>
      <c r="D4" s="9" t="s">
        <v>17</v>
      </c>
      <c r="E4" s="7">
        <f>1*C4</f>
        <v>1000000</v>
      </c>
      <c r="F4" s="7">
        <f>E4/50000</f>
        <v>20</v>
      </c>
      <c r="G4" s="10"/>
      <c r="H4" s="10"/>
      <c r="I4" s="11">
        <f>C4/C18</f>
        <v>0.14285714285714285</v>
      </c>
      <c r="J4" s="1"/>
      <c r="K4" s="1"/>
    </row>
    <row r="5" spans="2:11">
      <c r="B5" s="12" t="s">
        <v>1</v>
      </c>
      <c r="C5" s="12">
        <v>2000000</v>
      </c>
      <c r="D5" s="13"/>
      <c r="E5" s="7">
        <f t="shared" ref="E5:E13" si="0">1*C5</f>
        <v>2000000</v>
      </c>
      <c r="F5" s="7">
        <f t="shared" ref="F5:F13" si="1">E5/50000</f>
        <v>40</v>
      </c>
      <c r="G5" s="14">
        <v>1</v>
      </c>
      <c r="H5" s="15"/>
      <c r="I5" s="16">
        <f>C5/C18</f>
        <v>0.2857142857142857</v>
      </c>
      <c r="J5" s="1"/>
      <c r="K5" s="1"/>
    </row>
    <row r="6" spans="2:11">
      <c r="B6" s="7" t="s">
        <v>18</v>
      </c>
      <c r="C6" s="7">
        <f>SUM(C4:C5)</f>
        <v>3000000</v>
      </c>
      <c r="D6" s="9"/>
      <c r="E6" s="7">
        <f t="shared" si="0"/>
        <v>3000000</v>
      </c>
      <c r="F6" s="7">
        <f t="shared" si="1"/>
        <v>60</v>
      </c>
      <c r="G6" s="10">
        <f>C4/20</f>
        <v>50000</v>
      </c>
      <c r="H6" s="10"/>
      <c r="I6" s="11">
        <f>SUM(I4:I5)</f>
        <v>0.42857142857142855</v>
      </c>
      <c r="J6" s="1"/>
      <c r="K6" s="1"/>
    </row>
    <row r="7" spans="2:11">
      <c r="B7" s="7"/>
      <c r="C7" s="7"/>
      <c r="D7" s="1"/>
      <c r="E7" s="7"/>
      <c r="F7" s="7">
        <f t="shared" si="1"/>
        <v>0</v>
      </c>
      <c r="G7" s="10"/>
      <c r="H7" s="10"/>
      <c r="I7" s="11"/>
      <c r="J7" s="1"/>
      <c r="K7" s="1"/>
    </row>
    <row r="8" spans="2:11">
      <c r="B8" s="7" t="s">
        <v>19</v>
      </c>
      <c r="C8" s="7">
        <f>2*C9</f>
        <v>2000000</v>
      </c>
      <c r="D8" s="9"/>
      <c r="E8" s="7">
        <f t="shared" si="0"/>
        <v>2000000</v>
      </c>
      <c r="F8" s="7">
        <f t="shared" si="1"/>
        <v>40</v>
      </c>
      <c r="G8" s="7"/>
      <c r="H8" s="7"/>
      <c r="I8" s="11">
        <f>C8/C18</f>
        <v>0.2857142857142857</v>
      </c>
      <c r="J8" s="1"/>
      <c r="K8" s="1"/>
    </row>
    <row r="9" spans="2:11">
      <c r="B9" s="7" t="s">
        <v>20</v>
      </c>
      <c r="C9" s="7">
        <f>C10</f>
        <v>1000000</v>
      </c>
      <c r="D9" s="9"/>
      <c r="E9" s="7">
        <f t="shared" si="0"/>
        <v>1000000</v>
      </c>
      <c r="F9" s="7">
        <f t="shared" si="1"/>
        <v>20</v>
      </c>
      <c r="G9" s="7"/>
      <c r="H9" s="7"/>
      <c r="I9" s="11">
        <f>C9/C18</f>
        <v>0.14285714285714285</v>
      </c>
      <c r="J9" s="1"/>
      <c r="K9" s="17"/>
    </row>
    <row r="10" spans="2:11">
      <c r="B10" s="12" t="s">
        <v>21</v>
      </c>
      <c r="C10" s="12">
        <f>0.2*5000000</f>
        <v>1000000</v>
      </c>
      <c r="D10" s="9"/>
      <c r="E10" s="7">
        <f t="shared" si="0"/>
        <v>1000000</v>
      </c>
      <c r="F10" s="7">
        <f t="shared" si="1"/>
        <v>20</v>
      </c>
      <c r="G10" s="7"/>
      <c r="H10" s="7"/>
      <c r="I10" s="16">
        <f>C10/C18</f>
        <v>0.14285714285714285</v>
      </c>
      <c r="J10" s="1"/>
      <c r="K10" s="11"/>
    </row>
    <row r="11" spans="2:11">
      <c r="B11" s="7" t="s">
        <v>22</v>
      </c>
      <c r="C11" s="7">
        <f>SUM(C8:C10)</f>
        <v>4000000</v>
      </c>
      <c r="D11" s="9"/>
      <c r="E11" s="7">
        <f t="shared" si="0"/>
        <v>4000000</v>
      </c>
      <c r="F11" s="7">
        <f t="shared" si="1"/>
        <v>80</v>
      </c>
      <c r="G11" s="7"/>
      <c r="H11" s="7"/>
      <c r="I11" s="11">
        <f>SUM(I8:I10)</f>
        <v>0.5714285714285714</v>
      </c>
      <c r="J11" s="1"/>
      <c r="K11" s="1"/>
    </row>
    <row r="12" spans="2:11">
      <c r="B12" s="7"/>
      <c r="C12" s="7"/>
      <c r="D12" s="1"/>
      <c r="E12" s="7"/>
      <c r="F12" s="7">
        <f t="shared" si="1"/>
        <v>0</v>
      </c>
      <c r="G12" s="10"/>
      <c r="H12" s="10"/>
      <c r="I12" s="11"/>
      <c r="J12" s="1"/>
      <c r="K12" s="1"/>
    </row>
    <row r="13" spans="2:11">
      <c r="B13" s="7" t="s">
        <v>23</v>
      </c>
      <c r="C13" s="7">
        <f>SUM(C11,C6)</f>
        <v>7000000</v>
      </c>
      <c r="D13" s="7"/>
      <c r="E13" s="7">
        <f t="shared" si="0"/>
        <v>7000000</v>
      </c>
      <c r="F13" s="7">
        <f t="shared" si="1"/>
        <v>140</v>
      </c>
      <c r="G13" s="15"/>
      <c r="H13" s="15"/>
      <c r="I13" s="11">
        <f>I11+I6</f>
        <v>1</v>
      </c>
      <c r="J13" s="1"/>
      <c r="K13" s="1"/>
    </row>
    <row r="14" spans="2:11">
      <c r="B14" s="7"/>
      <c r="C14" s="7"/>
      <c r="D14" s="1"/>
      <c r="E14" s="7"/>
      <c r="F14" s="7"/>
      <c r="G14" s="10"/>
      <c r="H14" s="10"/>
      <c r="I14" s="1"/>
      <c r="J14" s="1"/>
      <c r="K14" s="1"/>
    </row>
    <row r="15" spans="2:11">
      <c r="B15" s="7"/>
      <c r="C15" s="7"/>
      <c r="D15" s="1"/>
      <c r="E15" s="7"/>
      <c r="F15" s="7"/>
      <c r="G15" s="10"/>
      <c r="H15" s="10"/>
      <c r="I15" s="1"/>
      <c r="J15" s="1"/>
      <c r="K15" s="1"/>
    </row>
    <row r="16" spans="2:11">
      <c r="B16" s="7" t="s">
        <v>24</v>
      </c>
      <c r="C16" s="8">
        <v>5000000</v>
      </c>
      <c r="D16" s="1"/>
      <c r="E16" s="1"/>
      <c r="F16" s="7"/>
      <c r="G16" s="10"/>
      <c r="H16" s="10"/>
      <c r="I16" s="1"/>
      <c r="J16" s="1"/>
      <c r="K16" s="1"/>
    </row>
    <row r="17" spans="1:11">
      <c r="B17" s="12" t="s">
        <v>25</v>
      </c>
      <c r="C17" s="12">
        <f>+C5</f>
        <v>2000000</v>
      </c>
      <c r="D17" s="18"/>
      <c r="E17" s="1"/>
      <c r="F17" s="7"/>
      <c r="G17" s="10"/>
      <c r="H17" s="10"/>
      <c r="I17" s="1"/>
      <c r="J17" s="1"/>
      <c r="K17" s="1"/>
    </row>
    <row r="18" spans="1:11">
      <c r="B18" s="7" t="s">
        <v>11</v>
      </c>
      <c r="C18" s="7">
        <f>SUM(C16:C17)</f>
        <v>7000000</v>
      </c>
      <c r="D18" s="1"/>
      <c r="E18" s="1"/>
      <c r="F18" s="7"/>
      <c r="G18" s="10"/>
      <c r="H18" s="10"/>
      <c r="I18" s="1"/>
      <c r="J18" s="1"/>
      <c r="K18" s="1"/>
    </row>
    <row r="19" spans="1:11">
      <c r="A19" t="s">
        <v>28</v>
      </c>
      <c r="B19" s="7"/>
      <c r="C19" s="7"/>
      <c r="D19" s="1"/>
      <c r="E19" s="1"/>
      <c r="F19" s="7"/>
      <c r="G19" s="10"/>
      <c r="H19" s="10"/>
      <c r="I19" s="1"/>
      <c r="J19" s="1"/>
      <c r="K19" s="1"/>
    </row>
    <row r="20" spans="1:11">
      <c r="A20" s="25" t="s">
        <v>26</v>
      </c>
      <c r="B20" s="25" t="s">
        <v>25</v>
      </c>
      <c r="C20" s="26">
        <v>2000000</v>
      </c>
    </row>
    <row r="21" spans="1:11">
      <c r="A21" s="25" t="s">
        <v>27</v>
      </c>
      <c r="B21" s="25" t="s">
        <v>31</v>
      </c>
      <c r="C21" s="26">
        <f>0.1*(C8+C9)</f>
        <v>300000</v>
      </c>
    </row>
    <row r="22" spans="1:11">
      <c r="A22" s="25" t="s">
        <v>29</v>
      </c>
      <c r="B22" s="25" t="s">
        <v>32</v>
      </c>
      <c r="C22" s="25">
        <f>E4/E10</f>
        <v>1</v>
      </c>
    </row>
    <row r="23" spans="1:11">
      <c r="A23" s="25" t="s">
        <v>30</v>
      </c>
      <c r="B23" s="25" t="s">
        <v>33</v>
      </c>
      <c r="C23" s="27">
        <v>0.28570000000000001</v>
      </c>
    </row>
    <row r="25" spans="1:11" s="36" customFormat="1">
      <c r="B25" s="36" t="s">
        <v>3</v>
      </c>
    </row>
    <row r="26" spans="1:11">
      <c r="B26" s="1"/>
      <c r="C26" s="2" t="s">
        <v>2</v>
      </c>
      <c r="D26" s="1"/>
      <c r="E26" s="3" t="s">
        <v>9</v>
      </c>
      <c r="F26" s="3"/>
      <c r="G26" s="3" t="s">
        <v>10</v>
      </c>
      <c r="H26" s="3"/>
      <c r="I26" s="3" t="s">
        <v>11</v>
      </c>
      <c r="J26" s="1"/>
      <c r="K26" s="1"/>
    </row>
    <row r="27" spans="1:11">
      <c r="B27" s="4" t="s">
        <v>12</v>
      </c>
      <c r="C27" s="5" t="s">
        <v>11</v>
      </c>
      <c r="D27" s="1"/>
      <c r="E27" s="6" t="s">
        <v>13</v>
      </c>
      <c r="F27" s="6"/>
      <c r="G27" s="6" t="s">
        <v>14</v>
      </c>
      <c r="H27" s="6"/>
      <c r="I27" s="6" t="s">
        <v>15</v>
      </c>
      <c r="J27" s="1"/>
      <c r="K27" s="1"/>
    </row>
    <row r="28" spans="1:11">
      <c r="B28" s="7" t="s">
        <v>16</v>
      </c>
      <c r="C28" s="8">
        <f>E28*G29</f>
        <v>1250000</v>
      </c>
      <c r="D28" s="9" t="s">
        <v>17</v>
      </c>
      <c r="E28" s="7">
        <v>312500</v>
      </c>
      <c r="F28" s="7"/>
      <c r="G28" s="10"/>
      <c r="H28" s="10"/>
      <c r="I28" s="11">
        <f>C28/C42</f>
        <v>9.2592592592592587E-2</v>
      </c>
      <c r="J28" s="1"/>
      <c r="K28" s="1"/>
    </row>
    <row r="29" spans="1:11">
      <c r="B29" s="12" t="s">
        <v>1</v>
      </c>
      <c r="C29" s="12">
        <v>4000000</v>
      </c>
      <c r="D29" s="13"/>
      <c r="E29" s="12">
        <f>+C29/G29</f>
        <v>1000000</v>
      </c>
      <c r="F29" s="12"/>
      <c r="G29" s="14">
        <v>4</v>
      </c>
      <c r="H29" s="15"/>
      <c r="I29" s="16">
        <f>C29/C42</f>
        <v>0.29629629629629628</v>
      </c>
      <c r="J29" s="1"/>
      <c r="K29" s="1"/>
    </row>
    <row r="30" spans="1:11">
      <c r="B30" s="7" t="s">
        <v>18</v>
      </c>
      <c r="C30" s="7">
        <f>SUM(C28:C29)</f>
        <v>5250000</v>
      </c>
      <c r="D30" s="9"/>
      <c r="E30" s="7">
        <f>SUM(E28:E29)</f>
        <v>1312500</v>
      </c>
      <c r="F30" s="7"/>
      <c r="G30" s="10"/>
      <c r="H30" s="10"/>
      <c r="I30" s="11">
        <f>SUM(I28:I29)</f>
        <v>0.38888888888888884</v>
      </c>
      <c r="J30" s="1"/>
      <c r="K30" s="1"/>
    </row>
    <row r="31" spans="1:11">
      <c r="B31" s="7"/>
      <c r="C31" s="7"/>
      <c r="D31" s="1"/>
      <c r="E31" s="7"/>
      <c r="F31" s="7"/>
      <c r="G31" s="10"/>
      <c r="H31" s="10"/>
      <c r="I31" s="11"/>
      <c r="J31" s="1"/>
      <c r="K31" s="1"/>
    </row>
    <row r="32" spans="1:11">
      <c r="B32" s="7" t="s">
        <v>19</v>
      </c>
      <c r="C32" s="7" t="e">
        <f>I32*C42</f>
        <v>#VALUE!</v>
      </c>
      <c r="D32" s="9"/>
      <c r="E32" s="9" t="e">
        <f>C32/4</f>
        <v>#VALUE!</v>
      </c>
      <c r="F32" s="7"/>
      <c r="G32" s="7"/>
      <c r="H32" s="7"/>
      <c r="I32" s="11" t="e">
        <f>1-I30-I33-I34</f>
        <v>#VALUE!</v>
      </c>
      <c r="J32" s="1"/>
      <c r="K32" s="1"/>
    </row>
    <row r="33" spans="1:11">
      <c r="B33" s="7" t="s">
        <v>20</v>
      </c>
      <c r="C33" s="7" t="e">
        <f>E33/4</f>
        <v>#VALUE!</v>
      </c>
      <c r="D33" s="9"/>
      <c r="E33" s="7" t="s">
        <v>90</v>
      </c>
      <c r="F33" s="7"/>
      <c r="G33" s="7"/>
      <c r="H33" s="7"/>
      <c r="I33" s="11" t="e">
        <f>C33/C42</f>
        <v>#VALUE!</v>
      </c>
      <c r="J33" s="1"/>
      <c r="K33" s="17"/>
    </row>
    <row r="34" spans="1:11">
      <c r="B34" s="12" t="s">
        <v>21</v>
      </c>
      <c r="C34" s="12">
        <f>0.15*C40</f>
        <v>1425000</v>
      </c>
      <c r="D34" s="9"/>
      <c r="E34" s="9">
        <f>C34/4</f>
        <v>356250</v>
      </c>
      <c r="F34" s="12"/>
      <c r="G34" s="7"/>
      <c r="H34" s="7"/>
      <c r="I34" s="16">
        <f>C34/C42</f>
        <v>0.10555555555555556</v>
      </c>
      <c r="J34" s="1"/>
      <c r="K34" s="11"/>
    </row>
    <row r="35" spans="1:11">
      <c r="B35" s="7" t="s">
        <v>22</v>
      </c>
      <c r="C35" s="7" t="e">
        <f>SUM(C32:C34)</f>
        <v>#VALUE!</v>
      </c>
      <c r="D35" s="9"/>
      <c r="E35" s="7" t="e">
        <f>SUM(E32:E34)</f>
        <v>#VALUE!</v>
      </c>
      <c r="F35" s="7"/>
      <c r="G35" s="7"/>
      <c r="H35" s="7"/>
      <c r="I35" s="11" t="e">
        <f>SUM(I32:I34)</f>
        <v>#VALUE!</v>
      </c>
      <c r="J35" s="1"/>
      <c r="K35" s="1"/>
    </row>
    <row r="36" spans="1:11">
      <c r="B36" s="7"/>
      <c r="C36" s="7"/>
      <c r="D36" s="1"/>
      <c r="E36" s="7"/>
      <c r="F36" s="7"/>
      <c r="G36" s="10"/>
      <c r="H36" s="10"/>
      <c r="I36" s="11"/>
      <c r="J36" s="1"/>
      <c r="K36" s="1"/>
    </row>
    <row r="37" spans="1:11">
      <c r="B37" s="7" t="s">
        <v>23</v>
      </c>
      <c r="C37" s="7" t="e">
        <f>SUM(C35,C30)</f>
        <v>#VALUE!</v>
      </c>
      <c r="D37" s="7"/>
      <c r="E37" s="7" t="e">
        <f>SUM(E35,E30)</f>
        <v>#VALUE!</v>
      </c>
      <c r="F37" s="7"/>
      <c r="G37" s="15"/>
      <c r="H37" s="15"/>
      <c r="I37" s="11" t="e">
        <f>I35+I30</f>
        <v>#VALUE!</v>
      </c>
      <c r="J37" s="1"/>
      <c r="K37" s="1"/>
    </row>
    <row r="38" spans="1:11">
      <c r="B38" s="7"/>
      <c r="C38" s="7"/>
      <c r="D38" s="1"/>
      <c r="E38" s="7"/>
      <c r="F38" s="7"/>
      <c r="G38" s="10"/>
      <c r="H38" s="10"/>
      <c r="I38" s="1"/>
      <c r="J38" s="1"/>
      <c r="K38" s="1"/>
    </row>
    <row r="39" spans="1:11">
      <c r="B39" s="7"/>
      <c r="C39" s="7"/>
      <c r="D39" s="1"/>
      <c r="E39" s="7"/>
      <c r="F39" s="7"/>
      <c r="G39" s="10"/>
      <c r="H39" s="10"/>
      <c r="I39" s="1"/>
      <c r="J39" s="1"/>
      <c r="K39" s="1"/>
    </row>
    <row r="40" spans="1:11">
      <c r="B40" s="7" t="s">
        <v>24</v>
      </c>
      <c r="C40" s="8">
        <v>9500000</v>
      </c>
      <c r="D40" s="1"/>
      <c r="E40" s="1"/>
      <c r="F40" s="7"/>
      <c r="G40" s="10"/>
      <c r="H40" s="10"/>
      <c r="I40" s="1"/>
      <c r="J40" s="1"/>
      <c r="K40" s="1"/>
    </row>
    <row r="41" spans="1:11">
      <c r="B41" s="12" t="s">
        <v>25</v>
      </c>
      <c r="C41" s="12">
        <v>4000000</v>
      </c>
      <c r="D41" s="18"/>
      <c r="E41" s="1"/>
      <c r="F41" s="7"/>
      <c r="G41" s="10"/>
      <c r="H41" s="10"/>
      <c r="I41" s="1"/>
      <c r="J41" s="1"/>
      <c r="K41" s="1"/>
    </row>
    <row r="42" spans="1:11">
      <c r="B42" s="7" t="s">
        <v>11</v>
      </c>
      <c r="C42" s="7">
        <f>SUM(C40:C41)</f>
        <v>13500000</v>
      </c>
      <c r="D42" s="1"/>
      <c r="E42" s="1"/>
      <c r="F42" s="7"/>
      <c r="G42" s="10"/>
      <c r="H42" s="10"/>
      <c r="I42" s="1"/>
      <c r="J42" s="1"/>
      <c r="K42" s="1"/>
    </row>
    <row r="43" spans="1:11">
      <c r="A43" t="s">
        <v>28</v>
      </c>
      <c r="B43" s="7"/>
      <c r="C43" s="7"/>
      <c r="D43" s="1"/>
      <c r="E43" s="1"/>
      <c r="F43" s="7"/>
      <c r="G43" s="10"/>
      <c r="H43" s="10"/>
      <c r="I43" s="1"/>
      <c r="J43" s="1"/>
      <c r="K43" s="1"/>
    </row>
    <row r="44" spans="1:11">
      <c r="A44" s="25" t="s">
        <v>26</v>
      </c>
      <c r="B44" s="25" t="s">
        <v>34</v>
      </c>
      <c r="C44" s="26">
        <v>13500000</v>
      </c>
    </row>
    <row r="45" spans="1:11">
      <c r="A45" s="25" t="s">
        <v>27</v>
      </c>
      <c r="B45" s="25" t="s">
        <v>35</v>
      </c>
      <c r="C45" s="25">
        <v>5700000</v>
      </c>
    </row>
    <row r="46" spans="1:11">
      <c r="A46" s="25" t="s">
        <v>29</v>
      </c>
      <c r="B46" s="25" t="s">
        <v>36</v>
      </c>
      <c r="C46" s="25">
        <v>312500</v>
      </c>
    </row>
    <row r="47" spans="1:11">
      <c r="A47" s="25" t="s">
        <v>30</v>
      </c>
      <c r="B47" s="25" t="s">
        <v>37</v>
      </c>
      <c r="C47" s="26">
        <v>125000</v>
      </c>
    </row>
    <row r="49" spans="2:11" s="36" customFormat="1">
      <c r="B49" s="36" t="s">
        <v>4</v>
      </c>
    </row>
    <row r="50" spans="2:11">
      <c r="B50" s="1"/>
      <c r="C50" s="2" t="s">
        <v>2</v>
      </c>
      <c r="D50" s="1"/>
      <c r="E50" s="3" t="s">
        <v>9</v>
      </c>
      <c r="F50" s="3"/>
      <c r="G50" s="3" t="s">
        <v>10</v>
      </c>
      <c r="H50" s="3"/>
      <c r="I50" s="3" t="s">
        <v>11</v>
      </c>
      <c r="J50" s="1"/>
      <c r="K50" s="1"/>
    </row>
    <row r="51" spans="2:11">
      <c r="B51" s="4" t="s">
        <v>12</v>
      </c>
      <c r="C51" s="5" t="s">
        <v>11</v>
      </c>
      <c r="D51" s="1"/>
      <c r="E51" s="6" t="s">
        <v>13</v>
      </c>
      <c r="F51" s="6"/>
      <c r="G51" s="6" t="s">
        <v>14</v>
      </c>
      <c r="H51" s="6"/>
      <c r="I51" s="6" t="s">
        <v>15</v>
      </c>
      <c r="J51" s="1"/>
      <c r="K51" s="1"/>
    </row>
    <row r="52" spans="2:11">
      <c r="B52" s="7" t="s">
        <v>16</v>
      </c>
      <c r="C52" s="8">
        <v>1000000</v>
      </c>
      <c r="D52" s="9" t="s">
        <v>17</v>
      </c>
      <c r="E52" s="7">
        <f>C52/G53</f>
        <v>2000000</v>
      </c>
      <c r="F52" s="7"/>
      <c r="G52" s="10"/>
      <c r="H52" s="10"/>
      <c r="I52" s="11">
        <f>C52/C67</f>
        <v>0.05</v>
      </c>
      <c r="J52" s="1"/>
      <c r="K52" s="1"/>
    </row>
    <row r="53" spans="2:11">
      <c r="B53" s="12" t="s">
        <v>1</v>
      </c>
      <c r="C53" s="12">
        <v>5000000</v>
      </c>
      <c r="D53" s="13"/>
      <c r="E53" s="12">
        <f>C53/G53</f>
        <v>10000000</v>
      </c>
      <c r="F53" s="12"/>
      <c r="G53" s="14">
        <v>0.5</v>
      </c>
      <c r="H53" s="15"/>
      <c r="I53" s="16">
        <f>C53/C67</f>
        <v>0.25</v>
      </c>
      <c r="J53" s="1"/>
      <c r="K53" s="1"/>
    </row>
    <row r="54" spans="2:11">
      <c r="B54" s="7" t="s">
        <v>18</v>
      </c>
      <c r="C54" s="7">
        <f>SUM(C52:C53)</f>
        <v>6000000</v>
      </c>
      <c r="D54" s="9"/>
      <c r="E54" s="7">
        <f>SUM(E52:E53)</f>
        <v>12000000</v>
      </c>
      <c r="F54" s="7"/>
      <c r="G54" s="10"/>
      <c r="H54" s="10"/>
      <c r="I54" s="11">
        <f>SUM(I52:I53)</f>
        <v>0.3</v>
      </c>
      <c r="J54" s="1"/>
      <c r="K54" s="1"/>
    </row>
    <row r="55" spans="2:11">
      <c r="B55" s="7"/>
      <c r="C55" s="7"/>
      <c r="D55" s="1"/>
      <c r="E55" s="7"/>
      <c r="F55" s="7"/>
      <c r="G55" s="10"/>
      <c r="H55" s="10"/>
      <c r="I55" s="11"/>
      <c r="J55" s="1"/>
      <c r="K55" s="1"/>
    </row>
    <row r="56" spans="2:11">
      <c r="B56" s="7" t="s">
        <v>19</v>
      </c>
      <c r="C56" s="7">
        <f>E56*G53</f>
        <v>5000000</v>
      </c>
      <c r="D56" s="9"/>
      <c r="E56" s="9">
        <v>10000000</v>
      </c>
      <c r="F56" s="7"/>
      <c r="G56" s="7"/>
      <c r="H56" s="7"/>
      <c r="I56" s="11">
        <f>C56/C67</f>
        <v>0.25</v>
      </c>
      <c r="J56" s="1"/>
      <c r="K56" s="1"/>
    </row>
    <row r="57" spans="2:11">
      <c r="B57" s="7" t="s">
        <v>19</v>
      </c>
      <c r="C57" s="7">
        <v>5000000</v>
      </c>
      <c r="D57" s="9"/>
      <c r="E57" s="9">
        <v>10000000</v>
      </c>
      <c r="F57" s="7"/>
      <c r="G57" s="7"/>
      <c r="H57" s="7"/>
      <c r="I57" s="11">
        <f>C57/C67</f>
        <v>0.25</v>
      </c>
      <c r="J57" s="1"/>
      <c r="K57" s="1"/>
    </row>
    <row r="58" spans="2:11">
      <c r="B58" s="7" t="s">
        <v>20</v>
      </c>
      <c r="C58" s="7">
        <f>0.1025*C67</f>
        <v>2049999.9999999998</v>
      </c>
      <c r="D58" s="9"/>
      <c r="E58" s="7">
        <f>C58/G53</f>
        <v>4099999.9999999995</v>
      </c>
      <c r="F58" s="7"/>
      <c r="G58" s="7"/>
      <c r="H58" s="7"/>
      <c r="I58" s="11">
        <f>C58/C67</f>
        <v>0.10249999999999999</v>
      </c>
      <c r="J58" s="1"/>
      <c r="K58" s="17"/>
    </row>
    <row r="59" spans="2:11">
      <c r="B59" s="12" t="s">
        <v>21</v>
      </c>
      <c r="C59" s="12">
        <f>0.13*C65</f>
        <v>1950000</v>
      </c>
      <c r="D59" s="9"/>
      <c r="E59" s="9">
        <f>C59/0.5</f>
        <v>3900000</v>
      </c>
      <c r="F59" s="12"/>
      <c r="G59" s="7"/>
      <c r="H59" s="7"/>
      <c r="I59" s="11">
        <f>C59/C67</f>
        <v>9.7500000000000003E-2</v>
      </c>
      <c r="J59" s="1"/>
      <c r="K59" s="11"/>
    </row>
    <row r="60" spans="2:11">
      <c r="B60" s="7" t="s">
        <v>22</v>
      </c>
      <c r="C60" s="7">
        <f>SUM(C56:C59)</f>
        <v>14000000</v>
      </c>
      <c r="D60" s="9"/>
      <c r="E60" s="7">
        <f>SUM(E56:E59)</f>
        <v>28000000</v>
      </c>
      <c r="F60" s="7"/>
      <c r="G60" s="7"/>
      <c r="H60" s="7"/>
      <c r="I60" s="11">
        <f>SUM(I56:I59)</f>
        <v>0.70000000000000007</v>
      </c>
      <c r="J60" s="1"/>
      <c r="K60" s="1"/>
    </row>
    <row r="61" spans="2:11">
      <c r="B61" s="7"/>
      <c r="C61" s="7"/>
      <c r="D61" s="1"/>
      <c r="E61" s="7"/>
      <c r="F61" s="7"/>
      <c r="G61" s="10"/>
      <c r="H61" s="10"/>
      <c r="I61" s="11"/>
      <c r="J61" s="1"/>
      <c r="K61" s="1"/>
    </row>
    <row r="62" spans="2:11">
      <c r="B62" s="7" t="s">
        <v>23</v>
      </c>
      <c r="C62" s="7">
        <f>SUM(C60,C54)</f>
        <v>20000000</v>
      </c>
      <c r="D62" s="7"/>
      <c r="E62" s="7">
        <f>SUM(E60,E54)</f>
        <v>40000000</v>
      </c>
      <c r="F62" s="7"/>
      <c r="G62" s="15"/>
      <c r="H62" s="15"/>
      <c r="I62" s="11">
        <f>I60+I54</f>
        <v>1</v>
      </c>
      <c r="J62" s="1"/>
      <c r="K62" s="1"/>
    </row>
    <row r="63" spans="2:11">
      <c r="B63" s="7"/>
      <c r="C63" s="7"/>
      <c r="D63" s="1"/>
      <c r="E63" s="7"/>
      <c r="F63" s="7"/>
      <c r="G63" s="10"/>
      <c r="H63" s="10"/>
      <c r="I63" s="1"/>
      <c r="J63" s="1"/>
      <c r="K63" s="1"/>
    </row>
    <row r="64" spans="2:11">
      <c r="B64" s="7"/>
      <c r="C64" s="7"/>
      <c r="D64" s="1"/>
      <c r="E64" s="7"/>
      <c r="F64" s="7"/>
      <c r="G64" s="10"/>
      <c r="H64" s="10"/>
      <c r="I64" s="1"/>
      <c r="J64" s="1"/>
      <c r="K64" s="1"/>
    </row>
    <row r="65" spans="1:11">
      <c r="B65" s="7" t="s">
        <v>24</v>
      </c>
      <c r="C65" s="8">
        <f>C67-C66</f>
        <v>15000000</v>
      </c>
      <c r="D65" s="1"/>
      <c r="E65" s="1"/>
      <c r="F65" s="7"/>
      <c r="G65" s="10"/>
      <c r="H65" s="10"/>
      <c r="I65" s="1"/>
      <c r="J65" s="1"/>
      <c r="K65" s="1"/>
    </row>
    <row r="66" spans="1:11">
      <c r="B66" s="12" t="s">
        <v>25</v>
      </c>
      <c r="C66" s="12">
        <v>5000000</v>
      </c>
      <c r="D66" s="18"/>
      <c r="E66" s="1"/>
      <c r="F66" s="7"/>
      <c r="G66" s="10"/>
      <c r="H66" s="10"/>
      <c r="I66" s="1"/>
      <c r="J66" s="1"/>
      <c r="K66" s="1"/>
    </row>
    <row r="67" spans="1:11">
      <c r="B67" s="7" t="s">
        <v>11</v>
      </c>
      <c r="C67" s="7">
        <v>20000000</v>
      </c>
      <c r="D67" s="1"/>
      <c r="E67" s="1"/>
      <c r="F67" s="7"/>
      <c r="G67" s="10"/>
      <c r="H67" s="10"/>
      <c r="I67" s="1"/>
      <c r="J67" s="1"/>
      <c r="K67" s="1"/>
    </row>
    <row r="68" spans="1:11">
      <c r="B68" s="7"/>
      <c r="C68" s="7"/>
      <c r="D68" s="1"/>
      <c r="E68" s="1" t="s">
        <v>57</v>
      </c>
      <c r="F68" s="7"/>
      <c r="G68" s="20">
        <v>25000000</v>
      </c>
      <c r="H68" s="20">
        <v>60000000</v>
      </c>
      <c r="I68" s="1"/>
      <c r="J68" s="1"/>
      <c r="K68" s="1"/>
    </row>
    <row r="69" spans="1:11">
      <c r="A69" s="7" t="s">
        <v>48</v>
      </c>
      <c r="B69" s="7"/>
      <c r="C69" s="8"/>
      <c r="E69" t="s">
        <v>53</v>
      </c>
      <c r="G69" s="21">
        <v>15000000</v>
      </c>
      <c r="H69" s="21">
        <v>15000000</v>
      </c>
    </row>
    <row r="70" spans="1:11">
      <c r="A70" s="25" t="s">
        <v>26</v>
      </c>
      <c r="B70" s="25" t="s">
        <v>49</v>
      </c>
      <c r="C70" s="28">
        <v>15000000</v>
      </c>
      <c r="E70" t="s">
        <v>54</v>
      </c>
      <c r="G70" s="20">
        <f>G68-G69</f>
        <v>10000000</v>
      </c>
      <c r="H70" s="20">
        <f>H68-H69</f>
        <v>45000000</v>
      </c>
    </row>
    <row r="71" spans="1:11">
      <c r="A71" s="25" t="s">
        <v>27</v>
      </c>
      <c r="B71" s="25" t="s">
        <v>50</v>
      </c>
      <c r="C71" s="25">
        <v>2000000</v>
      </c>
      <c r="E71" t="s">
        <v>55</v>
      </c>
    </row>
    <row r="72" spans="1:11">
      <c r="A72" s="25" t="s">
        <v>29</v>
      </c>
      <c r="B72" s="25" t="s">
        <v>58</v>
      </c>
      <c r="C72" s="26">
        <f>3*C53+G72</f>
        <v>17500000</v>
      </c>
      <c r="E72" t="s">
        <v>56</v>
      </c>
      <c r="F72" s="11">
        <v>0.25</v>
      </c>
      <c r="G72" s="20">
        <f>G70*F72</f>
        <v>2500000</v>
      </c>
      <c r="H72" s="20">
        <f>H70*F72</f>
        <v>11250000</v>
      </c>
    </row>
    <row r="73" spans="1:11">
      <c r="A73" s="25" t="s">
        <v>30</v>
      </c>
      <c r="B73" s="25" t="s">
        <v>51</v>
      </c>
      <c r="C73" s="29">
        <f>G73</f>
        <v>2500000</v>
      </c>
      <c r="E73" t="s">
        <v>0</v>
      </c>
      <c r="F73" s="11">
        <v>0.25</v>
      </c>
      <c r="G73" s="20">
        <f>G70*F73</f>
        <v>2500000</v>
      </c>
      <c r="H73" s="20">
        <f>H70*F73</f>
        <v>11250000</v>
      </c>
    </row>
    <row r="74" spans="1:11">
      <c r="A74" s="25" t="s">
        <v>40</v>
      </c>
      <c r="B74" s="25" t="s">
        <v>52</v>
      </c>
      <c r="C74" s="29">
        <f>H73</f>
        <v>11250000</v>
      </c>
    </row>
    <row r="75" spans="1:11">
      <c r="A75" s="7"/>
      <c r="B75" s="7"/>
      <c r="C75" s="19"/>
    </row>
    <row r="76" spans="1:11">
      <c r="A76" s="7"/>
      <c r="B76" s="7"/>
      <c r="C76" s="19"/>
    </row>
    <row r="77" spans="1:11">
      <c r="A77" s="7"/>
      <c r="B77" s="7"/>
      <c r="C77" s="19"/>
    </row>
    <row r="78" spans="1:11" s="36" customFormat="1">
      <c r="B78" s="36" t="s">
        <v>5</v>
      </c>
    </row>
    <row r="79" spans="1:11">
      <c r="B79" s="1"/>
      <c r="C79" s="2" t="s">
        <v>2</v>
      </c>
      <c r="D79" s="1"/>
      <c r="E79" s="3" t="s">
        <v>9</v>
      </c>
    </row>
    <row r="80" spans="1:11">
      <c r="B80" s="4" t="s">
        <v>12</v>
      </c>
      <c r="C80" s="5" t="s">
        <v>11</v>
      </c>
      <c r="D80" s="1"/>
      <c r="E80" s="6" t="s">
        <v>13</v>
      </c>
    </row>
    <row r="81" spans="2:6">
      <c r="B81" s="7" t="s">
        <v>16</v>
      </c>
      <c r="C81" s="8">
        <f>E81*F107</f>
        <v>666666.66666666663</v>
      </c>
      <c r="D81" s="9" t="s">
        <v>17</v>
      </c>
      <c r="E81" s="7">
        <v>500000</v>
      </c>
    </row>
    <row r="82" spans="2:6">
      <c r="B82" s="12" t="s">
        <v>1</v>
      </c>
      <c r="C82" s="12">
        <v>4000000</v>
      </c>
      <c r="D82" s="13"/>
      <c r="E82" s="12">
        <v>3000000</v>
      </c>
    </row>
    <row r="83" spans="2:6">
      <c r="B83" s="7" t="s">
        <v>18</v>
      </c>
      <c r="C83" s="7">
        <f>SUM(C81:C82)</f>
        <v>4666666.666666667</v>
      </c>
      <c r="D83" s="9"/>
      <c r="E83" s="7">
        <f>SUM(E81:E82)</f>
        <v>3500000</v>
      </c>
    </row>
    <row r="84" spans="2:6">
      <c r="B84" s="7"/>
      <c r="C84" s="7"/>
      <c r="D84" s="1"/>
      <c r="E84" s="7"/>
    </row>
    <row r="85" spans="2:6">
      <c r="B85" s="7" t="s">
        <v>38</v>
      </c>
      <c r="C85" s="7">
        <f>F107*E85</f>
        <v>6666666.666666666</v>
      </c>
      <c r="D85" s="9"/>
      <c r="E85" s="9">
        <v>5000000</v>
      </c>
    </row>
    <row r="86" spans="2:6">
      <c r="B86" s="7" t="s">
        <v>20</v>
      </c>
      <c r="C86" s="7">
        <f>E86*F107</f>
        <v>1333333.3333333333</v>
      </c>
      <c r="D86" s="9"/>
      <c r="E86" s="7">
        <v>1000000</v>
      </c>
    </row>
    <row r="87" spans="2:6">
      <c r="B87" s="12" t="s">
        <v>21</v>
      </c>
      <c r="C87" s="12">
        <f>E87*F107</f>
        <v>2000000</v>
      </c>
      <c r="D87" s="9"/>
      <c r="E87" s="9">
        <v>1500000</v>
      </c>
      <c r="F87" s="3"/>
    </row>
    <row r="88" spans="2:6">
      <c r="B88" s="7" t="s">
        <v>22</v>
      </c>
      <c r="C88" s="7">
        <f>SUM(C85:C87)</f>
        <v>10000000</v>
      </c>
      <c r="D88" s="9"/>
      <c r="E88" s="7">
        <f>SUM(E85:E87)</f>
        <v>7500000</v>
      </c>
      <c r="F88" s="6"/>
    </row>
    <row r="89" spans="2:6">
      <c r="B89" s="7"/>
      <c r="C89" s="7"/>
      <c r="D89" s="1"/>
      <c r="E89" s="7"/>
      <c r="F89" s="7"/>
    </row>
    <row r="90" spans="2:6">
      <c r="B90" s="7" t="s">
        <v>23</v>
      </c>
      <c r="C90" s="7">
        <f>SUM(C88,C83)</f>
        <v>14666666.666666668</v>
      </c>
      <c r="D90" s="7"/>
      <c r="E90" s="7">
        <f>SUM(E88,E83)</f>
        <v>11000000</v>
      </c>
      <c r="F90" s="12"/>
    </row>
    <row r="91" spans="2:6">
      <c r="B91" s="7"/>
      <c r="C91" s="7"/>
      <c r="D91" s="1"/>
      <c r="E91" s="7"/>
      <c r="F91" s="7"/>
    </row>
    <row r="92" spans="2:6">
      <c r="B92" s="7"/>
      <c r="C92" s="7"/>
      <c r="D92" s="1"/>
      <c r="E92" s="7"/>
      <c r="F92" s="7"/>
    </row>
    <row r="93" spans="2:6">
      <c r="B93" s="7" t="s">
        <v>24</v>
      </c>
      <c r="C93" s="8">
        <f>C95-C94</f>
        <v>10666667</v>
      </c>
      <c r="D93" s="1"/>
      <c r="E93" s="1"/>
      <c r="F93" s="7"/>
    </row>
    <row r="94" spans="2:6">
      <c r="B94" s="12" t="s">
        <v>25</v>
      </c>
      <c r="C94" s="12">
        <v>4000000</v>
      </c>
      <c r="D94" s="18"/>
      <c r="E94" s="1"/>
      <c r="F94" s="7"/>
    </row>
    <row r="95" spans="2:6">
      <c r="B95" s="7" t="s">
        <v>11</v>
      </c>
      <c r="C95" s="7">
        <v>14666667</v>
      </c>
      <c r="D95" s="1"/>
      <c r="E95" s="1"/>
      <c r="F95" s="12"/>
    </row>
    <row r="96" spans="2:6">
      <c r="F96" s="7"/>
    </row>
    <row r="97" spans="1:8">
      <c r="F97" s="7"/>
    </row>
    <row r="98" spans="1:8">
      <c r="B98" s="7" t="s">
        <v>39</v>
      </c>
      <c r="C98" s="7">
        <v>3000000</v>
      </c>
      <c r="D98" s="9"/>
      <c r="E98" s="7">
        <v>6000000</v>
      </c>
      <c r="F98" s="7"/>
    </row>
    <row r="99" spans="1:8">
      <c r="B99" s="7" t="s">
        <v>42</v>
      </c>
      <c r="C99" s="15">
        <v>1.33</v>
      </c>
      <c r="D99" s="9"/>
      <c r="E99" s="7"/>
      <c r="F99" s="7"/>
    </row>
    <row r="100" spans="1:8">
      <c r="B100" s="7" t="s">
        <v>6</v>
      </c>
      <c r="C100" s="7">
        <v>11000000</v>
      </c>
      <c r="D100" s="9"/>
      <c r="E100" s="7"/>
      <c r="F100" s="7"/>
    </row>
    <row r="101" spans="1:8">
      <c r="B101" s="7" t="s">
        <v>43</v>
      </c>
      <c r="C101" s="7">
        <f>C98/C99</f>
        <v>2255639.0977443606</v>
      </c>
      <c r="D101" s="9"/>
      <c r="E101" s="7"/>
      <c r="F101" s="7"/>
    </row>
    <row r="102" spans="1:8">
      <c r="B102" s="7" t="s">
        <v>44</v>
      </c>
      <c r="C102" s="7">
        <v>6000000</v>
      </c>
      <c r="D102" s="9"/>
      <c r="E102" s="7"/>
      <c r="F102" s="7"/>
    </row>
    <row r="103" spans="1:8">
      <c r="B103" s="7"/>
      <c r="C103" s="7"/>
      <c r="D103" s="9"/>
      <c r="E103" s="7"/>
      <c r="F103" s="7"/>
    </row>
    <row r="104" spans="1:8">
      <c r="B104" s="7"/>
      <c r="C104" s="7"/>
      <c r="D104" s="9"/>
      <c r="E104" s="12"/>
      <c r="F104" s="3" t="s">
        <v>10</v>
      </c>
      <c r="G104" s="3"/>
      <c r="H104" s="3" t="s">
        <v>11</v>
      </c>
    </row>
    <row r="105" spans="1:8">
      <c r="E105" s="12"/>
      <c r="F105" s="6" t="s">
        <v>14</v>
      </c>
      <c r="G105" s="6"/>
      <c r="H105" s="6" t="s">
        <v>15</v>
      </c>
    </row>
    <row r="106" spans="1:8">
      <c r="A106" t="s">
        <v>28</v>
      </c>
      <c r="E106" s="12"/>
      <c r="F106" s="10"/>
      <c r="G106" s="10"/>
      <c r="H106" s="11">
        <f>C81/C95</f>
        <v>4.5454544421487622E-2</v>
      </c>
    </row>
    <row r="107" spans="1:8">
      <c r="A107" s="30" t="s">
        <v>26</v>
      </c>
      <c r="B107" s="30" t="s">
        <v>6</v>
      </c>
      <c r="C107" s="25">
        <v>11000000</v>
      </c>
      <c r="E107" t="s">
        <v>47</v>
      </c>
      <c r="F107" s="14">
        <f>C82/E82</f>
        <v>1.3333333333333333</v>
      </c>
      <c r="G107" s="15"/>
      <c r="H107" s="16">
        <f>C82/C95</f>
        <v>0.27272726652892576</v>
      </c>
    </row>
    <row r="108" spans="1:8">
      <c r="A108" s="30" t="s">
        <v>27</v>
      </c>
      <c r="B108" s="30" t="s">
        <v>41</v>
      </c>
      <c r="C108" s="30">
        <f>C98/F107</f>
        <v>2250000</v>
      </c>
      <c r="E108" s="9">
        <v>5000000</v>
      </c>
      <c r="F108" s="10"/>
      <c r="G108" s="10"/>
      <c r="H108" s="11">
        <f>SUM(H106:H107)</f>
        <v>0.31818181095041337</v>
      </c>
    </row>
    <row r="109" spans="1:8">
      <c r="A109" s="30" t="s">
        <v>29</v>
      </c>
      <c r="B109" s="30" t="s">
        <v>7</v>
      </c>
      <c r="C109" s="31">
        <f>C99*((C100+C101)/(C100+C102))</f>
        <v>1.0370588235294118</v>
      </c>
      <c r="E109" s="7">
        <v>1000000</v>
      </c>
      <c r="F109" s="10"/>
      <c r="G109" s="10"/>
      <c r="H109" s="11"/>
    </row>
    <row r="110" spans="1:8">
      <c r="A110" s="30" t="s">
        <v>30</v>
      </c>
      <c r="B110" s="30" t="s">
        <v>45</v>
      </c>
      <c r="C110" s="32">
        <f>4000000/1.04</f>
        <v>3846153.846153846</v>
      </c>
      <c r="E110" s="9">
        <v>500000</v>
      </c>
      <c r="F110" s="7"/>
      <c r="G110" s="7"/>
      <c r="H110" s="11">
        <f>1-H108-H111-H112</f>
        <v>0.45454546694214859</v>
      </c>
    </row>
    <row r="111" spans="1:8">
      <c r="A111" s="30" t="s">
        <v>40</v>
      </c>
      <c r="B111" s="30" t="s">
        <v>46</v>
      </c>
      <c r="C111" s="33">
        <f>E108/E114*0.5</f>
        <v>0.14008620568891203</v>
      </c>
      <c r="E111" s="7">
        <v>3846154</v>
      </c>
      <c r="F111" s="7"/>
      <c r="G111" s="7"/>
      <c r="H111" s="11">
        <f>C86/C95</f>
        <v>9.0909088842975244E-2</v>
      </c>
    </row>
    <row r="112" spans="1:8">
      <c r="E112" s="7">
        <v>1500000</v>
      </c>
      <c r="F112" s="7"/>
      <c r="G112" s="7"/>
      <c r="H112" s="16">
        <f>C87/C95</f>
        <v>0.13636363326446288</v>
      </c>
    </row>
    <row r="113" spans="2:9">
      <c r="E113" s="7">
        <v>6000000</v>
      </c>
      <c r="F113" s="7"/>
      <c r="G113" s="7"/>
      <c r="H113" s="11">
        <f>SUM(H110:H112)</f>
        <v>0.68181818904958669</v>
      </c>
    </row>
    <row r="114" spans="2:9">
      <c r="E114" s="7">
        <f>SUM(E108:E113)</f>
        <v>17846154</v>
      </c>
      <c r="F114" s="10"/>
      <c r="G114" s="10"/>
      <c r="H114" s="11"/>
    </row>
    <row r="115" spans="2:9">
      <c r="F115" s="15"/>
      <c r="G115" s="15"/>
      <c r="H115" s="11">
        <f>H113+H108</f>
        <v>1</v>
      </c>
    </row>
    <row r="117" spans="2:9" s="36" customFormat="1">
      <c r="B117" s="36" t="s">
        <v>59</v>
      </c>
      <c r="G117" s="37"/>
      <c r="H117" s="38"/>
      <c r="I117" s="39"/>
    </row>
    <row r="118" spans="2:9">
      <c r="G118" s="14"/>
      <c r="H118" s="15"/>
      <c r="I118" s="16"/>
    </row>
    <row r="119" spans="2:9">
      <c r="B119" t="s">
        <v>60</v>
      </c>
      <c r="G119" s="14"/>
      <c r="H119" s="15"/>
      <c r="I119" s="16"/>
    </row>
    <row r="120" spans="2:9">
      <c r="B120" t="s">
        <v>61</v>
      </c>
      <c r="G120" s="14"/>
      <c r="H120" s="15"/>
      <c r="I120" s="16"/>
    </row>
    <row r="121" spans="2:9">
      <c r="B121" t="s">
        <v>63</v>
      </c>
      <c r="C121" t="s">
        <v>62</v>
      </c>
      <c r="G121" s="14"/>
      <c r="H121" s="15"/>
      <c r="I121" s="16"/>
    </row>
    <row r="122" spans="2:9">
      <c r="B122" t="s">
        <v>64</v>
      </c>
      <c r="C122" t="s">
        <v>65</v>
      </c>
      <c r="G122" s="14"/>
      <c r="H122" s="15"/>
      <c r="I122" s="16"/>
    </row>
    <row r="123" spans="2:9">
      <c r="B123" t="s">
        <v>66</v>
      </c>
      <c r="C123" s="22">
        <v>10000</v>
      </c>
    </row>
    <row r="124" spans="2:9">
      <c r="B124" t="s">
        <v>67</v>
      </c>
      <c r="C124" s="23">
        <v>60</v>
      </c>
      <c r="D124" t="s">
        <v>69</v>
      </c>
      <c r="E124" s="23">
        <v>0.1</v>
      </c>
    </row>
    <row r="125" spans="2:9">
      <c r="B125" t="s">
        <v>68</v>
      </c>
      <c r="C125" s="23">
        <f>C124*C123</f>
        <v>600000</v>
      </c>
    </row>
    <row r="126" spans="2:9">
      <c r="B126" t="s">
        <v>70</v>
      </c>
      <c r="C126" s="23">
        <f>C123*(C124-E124)*0.2</f>
        <v>119800</v>
      </c>
    </row>
    <row r="127" spans="2:9">
      <c r="B127" s="30" t="s">
        <v>71</v>
      </c>
      <c r="C127" s="34">
        <f>C125-C126</f>
        <v>480200</v>
      </c>
    </row>
    <row r="129" spans="2:8">
      <c r="B129" t="s">
        <v>72</v>
      </c>
    </row>
    <row r="130" spans="2:8">
      <c r="B130" t="s">
        <v>73</v>
      </c>
    </row>
    <row r="131" spans="2:8">
      <c r="B131" t="s">
        <v>63</v>
      </c>
      <c r="C131" t="s">
        <v>74</v>
      </c>
    </row>
    <row r="132" spans="2:8">
      <c r="B132" t="s">
        <v>75</v>
      </c>
      <c r="C132" s="22">
        <v>10000</v>
      </c>
    </row>
    <row r="133" spans="2:8">
      <c r="B133" t="s">
        <v>77</v>
      </c>
      <c r="C133" s="23">
        <v>4</v>
      </c>
      <c r="D133" t="s">
        <v>78</v>
      </c>
      <c r="E133" s="23">
        <v>0.1</v>
      </c>
    </row>
    <row r="134" spans="2:8">
      <c r="B134" t="s">
        <v>79</v>
      </c>
      <c r="C134" s="23">
        <f>C132*E133</f>
        <v>1000</v>
      </c>
    </row>
    <row r="135" spans="2:8">
      <c r="B135" t="s">
        <v>76</v>
      </c>
      <c r="C135" s="24">
        <f>(C133-E133)*C132*0.25</f>
        <v>9750</v>
      </c>
    </row>
    <row r="136" spans="2:8">
      <c r="B136" t="s">
        <v>81</v>
      </c>
      <c r="D136">
        <f>0.35*C132</f>
        <v>3500</v>
      </c>
    </row>
    <row r="137" spans="2:8">
      <c r="B137" t="s">
        <v>85</v>
      </c>
      <c r="D137" s="22">
        <f>C132-D136</f>
        <v>6500</v>
      </c>
    </row>
    <row r="138" spans="2:8">
      <c r="B138" t="s">
        <v>82</v>
      </c>
      <c r="D138" s="24">
        <f>D136*4</f>
        <v>14000</v>
      </c>
    </row>
    <row r="139" spans="2:8">
      <c r="B139" t="s">
        <v>80</v>
      </c>
      <c r="C139" s="22">
        <v>0</v>
      </c>
    </row>
    <row r="140" spans="2:8">
      <c r="B140" t="s">
        <v>79</v>
      </c>
      <c r="C140" s="23">
        <f>C139*E133</f>
        <v>0</v>
      </c>
      <c r="F140">
        <v>80.3</v>
      </c>
      <c r="G140">
        <v>12</v>
      </c>
      <c r="H140">
        <f>G140+F140</f>
        <v>92.3</v>
      </c>
    </row>
    <row r="141" spans="2:8">
      <c r="B141" t="s">
        <v>83</v>
      </c>
      <c r="D141">
        <f>10000-D136</f>
        <v>6500</v>
      </c>
      <c r="F141">
        <v>21</v>
      </c>
      <c r="G141">
        <v>3</v>
      </c>
      <c r="H141">
        <f>G141+F141</f>
        <v>24</v>
      </c>
    </row>
    <row r="142" spans="2:8">
      <c r="B142" t="s">
        <v>82</v>
      </c>
      <c r="D142" s="24">
        <f>D141*60</f>
        <v>390000</v>
      </c>
      <c r="F142">
        <f>F140/F141</f>
        <v>3.8238095238095235</v>
      </c>
      <c r="G142">
        <f t="shared" ref="G142:H142" si="2">G140/G141</f>
        <v>4</v>
      </c>
      <c r="H142">
        <f t="shared" si="2"/>
        <v>3.8458333333333332</v>
      </c>
    </row>
    <row r="143" spans="2:8">
      <c r="B143" t="s">
        <v>86</v>
      </c>
      <c r="C143" s="24">
        <f>D137*0.2*(60-4)</f>
        <v>72800</v>
      </c>
    </row>
    <row r="144" spans="2:8">
      <c r="B144" t="s">
        <v>87</v>
      </c>
      <c r="C144" s="24">
        <f>C139*0.2*(60-20)</f>
        <v>0</v>
      </c>
    </row>
    <row r="145" spans="2:4">
      <c r="B145" t="s">
        <v>84</v>
      </c>
      <c r="D145" s="24">
        <f>D137*0.25*(C133-E133)</f>
        <v>6337.5</v>
      </c>
    </row>
    <row r="147" spans="2:4">
      <c r="B147" s="30" t="s">
        <v>88</v>
      </c>
      <c r="C147" s="35">
        <f>D142+D145+D138-C144-C143-C135</f>
        <v>327787.5</v>
      </c>
    </row>
    <row r="148" spans="2:4">
      <c r="B148" t="s">
        <v>89</v>
      </c>
      <c r="C148" s="24">
        <f>C147-C140-C134</f>
        <v>326787.5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Sanganeria</dc:creator>
  <cp:lastModifiedBy>Mayank Sanganeria</cp:lastModifiedBy>
  <dcterms:created xsi:type="dcterms:W3CDTF">2012-04-24T05:59:40Z</dcterms:created>
  <dcterms:modified xsi:type="dcterms:W3CDTF">2012-06-14T20:58:24Z</dcterms:modified>
</cp:coreProperties>
</file>