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195" windowHeight="8070" activeTab="3"/>
  </bookViews>
  <sheets>
    <sheet name="Dashboard - Master" sheetId="6" r:id="rId1"/>
    <sheet name="Dashboard - Workshop" sheetId="5" r:id="rId2"/>
    <sheet name="Dashboard - Attendee" sheetId="2" r:id="rId3"/>
    <sheet name="Roster" sheetId="1" r:id="rId4"/>
    <sheet name="DataSheet" sheetId="3" r:id="rId5"/>
  </sheets>
  <definedNames>
    <definedName name="Doctor">DataSheet!$D:$D</definedName>
    <definedName name="Roster_EnquiryDate">Roster!$E$5:$E$50089</definedName>
    <definedName name="Roster_NoOfAttendees">Roster!$M$5:$M$50089</definedName>
    <definedName name="Roster_NoOfCD">Roster!$S$5:$S$50089</definedName>
    <definedName name="Roster_NoOfCertificate">Roster!$Q$5:$Q$50089</definedName>
    <definedName name="Roster_NoOfKits">Roster!$R$5:$R$50089</definedName>
    <definedName name="Roster_NoOfManuals">Roster!$T$5:$T$50089</definedName>
    <definedName name="Roster_NoOfStickers">Roster!$U$5:$U$50089</definedName>
    <definedName name="Roster_Status">Roster!$B$5:$B$50089</definedName>
    <definedName name="Roster_Trainer">Roster!$N$5:$N$50089</definedName>
    <definedName name="Roster_TypeOfOrganizer">Roster!$D$5:$D$50089</definedName>
    <definedName name="Roster_WorkshopDate">Roster!$J$5:$J$50089</definedName>
    <definedName name="Roster_WorkshopType">Roster!$I$5:$I$50089</definedName>
    <definedName name="Status">DataSheet!$E:$E</definedName>
    <definedName name="Time">DataSheet!$A:$A</definedName>
    <definedName name="Trainer">DataSheet!$B:$B</definedName>
    <definedName name="TypeOfAttendees">DataSheet!$C:$C</definedName>
    <definedName name="WorkshopType">DataSheet!$G:$G</definedName>
  </definedNames>
  <calcPr calcId="124519"/>
</workbook>
</file>

<file path=xl/calcChain.xml><?xml version="1.0" encoding="utf-8"?>
<calcChain xmlns="http://schemas.openxmlformats.org/spreadsheetml/2006/main">
  <c r="C23" i="6"/>
  <c r="C24"/>
  <c r="C25"/>
  <c r="C26"/>
  <c r="C27"/>
  <c r="C28"/>
  <c r="C29"/>
  <c r="C30"/>
  <c r="C20" i="2"/>
  <c r="C21"/>
  <c r="C22"/>
  <c r="C23"/>
  <c r="C24"/>
  <c r="C25"/>
  <c r="C26"/>
  <c r="C27"/>
  <c r="C28"/>
  <c r="C29"/>
  <c r="C30"/>
  <c r="C31"/>
  <c r="C32"/>
  <c r="C33"/>
  <c r="C34"/>
  <c r="C35"/>
  <c r="C36"/>
  <c r="C20" i="5"/>
  <c r="C21"/>
  <c r="C22"/>
  <c r="C23"/>
  <c r="C24"/>
  <c r="C25"/>
  <c r="C26"/>
  <c r="C27"/>
  <c r="C28"/>
  <c r="C29"/>
  <c r="C30"/>
  <c r="C31"/>
  <c r="C32"/>
  <c r="C33"/>
  <c r="C34"/>
  <c r="C35"/>
  <c r="C36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41" i="2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50" i="5"/>
  <c r="C49"/>
  <c r="C48"/>
  <c r="C47"/>
  <c r="C46"/>
  <c r="C45"/>
  <c r="C44"/>
  <c r="C43"/>
  <c r="C42"/>
  <c r="C41"/>
  <c r="O41" l="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O20"/>
  <c r="O21"/>
  <c r="O22"/>
  <c r="O23"/>
  <c r="O24"/>
  <c r="O25"/>
  <c r="O26"/>
  <c r="O27"/>
  <c r="O28"/>
  <c r="O29"/>
  <c r="O30"/>
  <c r="O31"/>
  <c r="O32"/>
  <c r="O33"/>
  <c r="O34"/>
  <c r="O35"/>
  <c r="O36"/>
  <c r="N20"/>
  <c r="N21"/>
  <c r="N22"/>
  <c r="N23"/>
  <c r="N24"/>
  <c r="N25"/>
  <c r="N26"/>
  <c r="N27"/>
  <c r="N28"/>
  <c r="N29"/>
  <c r="N30"/>
  <c r="N31"/>
  <c r="N32"/>
  <c r="N33"/>
  <c r="N34"/>
  <c r="N35"/>
  <c r="N36"/>
  <c r="M20"/>
  <c r="M21"/>
  <c r="M22"/>
  <c r="M23"/>
  <c r="M24"/>
  <c r="M25"/>
  <c r="M26"/>
  <c r="M27"/>
  <c r="M28"/>
  <c r="M29"/>
  <c r="M30"/>
  <c r="M31"/>
  <c r="M32"/>
  <c r="M33"/>
  <c r="M34"/>
  <c r="M35"/>
  <c r="M36"/>
  <c r="L20"/>
  <c r="L21"/>
  <c r="L22"/>
  <c r="L23"/>
  <c r="L24"/>
  <c r="L25"/>
  <c r="L26"/>
  <c r="L27"/>
  <c r="L28"/>
  <c r="L29"/>
  <c r="L30"/>
  <c r="L31"/>
  <c r="L32"/>
  <c r="L33"/>
  <c r="L34"/>
  <c r="L35"/>
  <c r="L36"/>
  <c r="K20"/>
  <c r="K21"/>
  <c r="K22"/>
  <c r="K23"/>
  <c r="K24"/>
  <c r="K25"/>
  <c r="K26"/>
  <c r="K27"/>
  <c r="K28"/>
  <c r="K29"/>
  <c r="K30"/>
  <c r="K31"/>
  <c r="K32"/>
  <c r="K33"/>
  <c r="K34"/>
  <c r="K35"/>
  <c r="K36"/>
  <c r="J20"/>
  <c r="J21"/>
  <c r="J22"/>
  <c r="J23"/>
  <c r="J24"/>
  <c r="J25"/>
  <c r="J26"/>
  <c r="J27"/>
  <c r="J28"/>
  <c r="J29"/>
  <c r="J30"/>
  <c r="J31"/>
  <c r="J32"/>
  <c r="J33"/>
  <c r="J34"/>
  <c r="J35"/>
  <c r="J36"/>
  <c r="I20"/>
  <c r="I21"/>
  <c r="I22"/>
  <c r="I23"/>
  <c r="I24"/>
  <c r="I25"/>
  <c r="I26"/>
  <c r="I27"/>
  <c r="I28"/>
  <c r="I29"/>
  <c r="I30"/>
  <c r="I31"/>
  <c r="I32"/>
  <c r="I33"/>
  <c r="I34"/>
  <c r="I35"/>
  <c r="I36"/>
  <c r="H20"/>
  <c r="H21"/>
  <c r="H22"/>
  <c r="H23"/>
  <c r="H24"/>
  <c r="H25"/>
  <c r="H26"/>
  <c r="H27"/>
  <c r="H28"/>
  <c r="H29"/>
  <c r="H30"/>
  <c r="H31"/>
  <c r="H32"/>
  <c r="H33"/>
  <c r="H34"/>
  <c r="H35"/>
  <c r="H36"/>
  <c r="G20"/>
  <c r="G21"/>
  <c r="G22"/>
  <c r="G23"/>
  <c r="G24"/>
  <c r="G25"/>
  <c r="G26"/>
  <c r="G27"/>
  <c r="G28"/>
  <c r="G29"/>
  <c r="G30"/>
  <c r="G31"/>
  <c r="G32"/>
  <c r="G33"/>
  <c r="G34"/>
  <c r="G35"/>
  <c r="G36"/>
  <c r="F20"/>
  <c r="F21"/>
  <c r="F22"/>
  <c r="F23"/>
  <c r="F24"/>
  <c r="F25"/>
  <c r="F26"/>
  <c r="F27"/>
  <c r="F28"/>
  <c r="F29"/>
  <c r="F30"/>
  <c r="F31"/>
  <c r="F32"/>
  <c r="F33"/>
  <c r="F34"/>
  <c r="F35"/>
  <c r="F36"/>
  <c r="E20"/>
  <c r="E21"/>
  <c r="E22"/>
  <c r="E23"/>
  <c r="E24"/>
  <c r="E25"/>
  <c r="E26"/>
  <c r="E27"/>
  <c r="E28"/>
  <c r="E29"/>
  <c r="E30"/>
  <c r="E31"/>
  <c r="E32"/>
  <c r="E33"/>
  <c r="E34"/>
  <c r="E35"/>
  <c r="E36"/>
  <c r="D20"/>
  <c r="D21"/>
  <c r="D22"/>
  <c r="D23"/>
  <c r="D24"/>
  <c r="D25"/>
  <c r="D26"/>
  <c r="D27"/>
  <c r="D28"/>
  <c r="D29"/>
  <c r="D30"/>
  <c r="D31"/>
  <c r="D32"/>
  <c r="D33"/>
  <c r="D34"/>
  <c r="D35"/>
  <c r="D36"/>
  <c r="O9"/>
  <c r="O10"/>
  <c r="O11"/>
  <c r="O12"/>
  <c r="O13"/>
  <c r="O14"/>
  <c r="O15"/>
  <c r="N9"/>
  <c r="N10"/>
  <c r="N11"/>
  <c r="N12"/>
  <c r="N13"/>
  <c r="N14"/>
  <c r="N15"/>
  <c r="M9"/>
  <c r="M10"/>
  <c r="M11"/>
  <c r="M12"/>
  <c r="M13"/>
  <c r="M14"/>
  <c r="M15"/>
  <c r="L9"/>
  <c r="L10"/>
  <c r="L11"/>
  <c r="L12"/>
  <c r="L13"/>
  <c r="L14"/>
  <c r="L15"/>
  <c r="K9"/>
  <c r="K10"/>
  <c r="K11"/>
  <c r="K12"/>
  <c r="K13"/>
  <c r="K14"/>
  <c r="K15"/>
  <c r="J9"/>
  <c r="J10"/>
  <c r="J11"/>
  <c r="J12"/>
  <c r="J13"/>
  <c r="J14"/>
  <c r="J15"/>
  <c r="I9"/>
  <c r="I10"/>
  <c r="I11"/>
  <c r="I12"/>
  <c r="I13"/>
  <c r="I14"/>
  <c r="I15"/>
  <c r="H9"/>
  <c r="H10"/>
  <c r="H11"/>
  <c r="H12"/>
  <c r="H13"/>
  <c r="H14"/>
  <c r="H15"/>
  <c r="G9"/>
  <c r="G10"/>
  <c r="G11"/>
  <c r="G12"/>
  <c r="G13"/>
  <c r="G14"/>
  <c r="G15"/>
  <c r="F9"/>
  <c r="F10"/>
  <c r="F11"/>
  <c r="F12"/>
  <c r="F13"/>
  <c r="F14"/>
  <c r="F15"/>
  <c r="E9"/>
  <c r="E10"/>
  <c r="E11"/>
  <c r="E12"/>
  <c r="E13"/>
  <c r="E14"/>
  <c r="E15"/>
  <c r="D9"/>
  <c r="D10"/>
  <c r="D11"/>
  <c r="D12"/>
  <c r="D13"/>
  <c r="D14"/>
  <c r="D15"/>
  <c r="O35" i="6"/>
  <c r="O36"/>
  <c r="O37"/>
  <c r="O38"/>
  <c r="O39"/>
  <c r="N35"/>
  <c r="N36"/>
  <c r="N37"/>
  <c r="N38"/>
  <c r="N39"/>
  <c r="M35"/>
  <c r="M36"/>
  <c r="M37"/>
  <c r="M38"/>
  <c r="M39"/>
  <c r="L35"/>
  <c r="L36"/>
  <c r="L37"/>
  <c r="L38"/>
  <c r="L39"/>
  <c r="K35"/>
  <c r="K36"/>
  <c r="K37"/>
  <c r="K38"/>
  <c r="K39"/>
  <c r="J35"/>
  <c r="J36"/>
  <c r="J37"/>
  <c r="J38"/>
  <c r="J39"/>
  <c r="I35"/>
  <c r="I36"/>
  <c r="I37"/>
  <c r="I38"/>
  <c r="I39"/>
  <c r="H35"/>
  <c r="H36"/>
  <c r="H37"/>
  <c r="H38"/>
  <c r="H39"/>
  <c r="G35"/>
  <c r="G36"/>
  <c r="G37"/>
  <c r="G38"/>
  <c r="G39"/>
  <c r="F35"/>
  <c r="F36"/>
  <c r="F37"/>
  <c r="F38"/>
  <c r="F39"/>
  <c r="E35"/>
  <c r="E36"/>
  <c r="E37"/>
  <c r="E38"/>
  <c r="E39"/>
  <c r="D35"/>
  <c r="D36"/>
  <c r="D37"/>
  <c r="D38"/>
  <c r="D39"/>
  <c r="O23"/>
  <c r="O24"/>
  <c r="O25"/>
  <c r="O26"/>
  <c r="O27"/>
  <c r="O28"/>
  <c r="O29"/>
  <c r="O30"/>
  <c r="N23"/>
  <c r="N24"/>
  <c r="N25"/>
  <c r="N26"/>
  <c r="N27"/>
  <c r="N28"/>
  <c r="N29"/>
  <c r="N30"/>
  <c r="M23"/>
  <c r="M24"/>
  <c r="M25"/>
  <c r="M26"/>
  <c r="M27"/>
  <c r="M28"/>
  <c r="M29"/>
  <c r="M30"/>
  <c r="L23"/>
  <c r="L24"/>
  <c r="L25"/>
  <c r="L26"/>
  <c r="L27"/>
  <c r="L28"/>
  <c r="L29"/>
  <c r="L30"/>
  <c r="K23"/>
  <c r="K24"/>
  <c r="K25"/>
  <c r="K26"/>
  <c r="K27"/>
  <c r="K28"/>
  <c r="K29"/>
  <c r="K30"/>
  <c r="J23"/>
  <c r="J24"/>
  <c r="J25"/>
  <c r="J26"/>
  <c r="J27"/>
  <c r="J28"/>
  <c r="J29"/>
  <c r="J30"/>
  <c r="I23"/>
  <c r="I24"/>
  <c r="I25"/>
  <c r="I26"/>
  <c r="I27"/>
  <c r="I28"/>
  <c r="I29"/>
  <c r="I30"/>
  <c r="H23"/>
  <c r="H24"/>
  <c r="H25"/>
  <c r="H26"/>
  <c r="H27"/>
  <c r="H28"/>
  <c r="H29"/>
  <c r="H30"/>
  <c r="G23"/>
  <c r="G24"/>
  <c r="G25"/>
  <c r="G26"/>
  <c r="G27"/>
  <c r="G28"/>
  <c r="G29"/>
  <c r="G30"/>
  <c r="F23"/>
  <c r="F24"/>
  <c r="F25"/>
  <c r="F26"/>
  <c r="F27"/>
  <c r="F28"/>
  <c r="F29"/>
  <c r="F30"/>
  <c r="E23"/>
  <c r="E24"/>
  <c r="E25"/>
  <c r="E26"/>
  <c r="E27"/>
  <c r="E28"/>
  <c r="E29"/>
  <c r="E30"/>
  <c r="D23"/>
  <c r="D24"/>
  <c r="D25"/>
  <c r="D26"/>
  <c r="D27"/>
  <c r="D28"/>
  <c r="D29"/>
  <c r="D30"/>
  <c r="O41" i="2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O20"/>
  <c r="O21"/>
  <c r="O22"/>
  <c r="O23"/>
  <c r="O24"/>
  <c r="O25"/>
  <c r="O26"/>
  <c r="O27"/>
  <c r="O28"/>
  <c r="O29"/>
  <c r="O30"/>
  <c r="O31"/>
  <c r="O32"/>
  <c r="O33"/>
  <c r="O34"/>
  <c r="O35"/>
  <c r="O36"/>
  <c r="N20"/>
  <c r="N21"/>
  <c r="N22"/>
  <c r="N23"/>
  <c r="N24"/>
  <c r="N25"/>
  <c r="N26"/>
  <c r="N27"/>
  <c r="N28"/>
  <c r="N29"/>
  <c r="N30"/>
  <c r="N31"/>
  <c r="N32"/>
  <c r="N33"/>
  <c r="N34"/>
  <c r="N35"/>
  <c r="N36"/>
  <c r="M20"/>
  <c r="M21"/>
  <c r="M22"/>
  <c r="M23"/>
  <c r="M24"/>
  <c r="M25"/>
  <c r="M26"/>
  <c r="M27"/>
  <c r="M28"/>
  <c r="M29"/>
  <c r="M30"/>
  <c r="M31"/>
  <c r="M32"/>
  <c r="M33"/>
  <c r="M34"/>
  <c r="M35"/>
  <c r="M36"/>
  <c r="L20"/>
  <c r="L21"/>
  <c r="L22"/>
  <c r="L23"/>
  <c r="L24"/>
  <c r="L25"/>
  <c r="L26"/>
  <c r="L27"/>
  <c r="L28"/>
  <c r="L29"/>
  <c r="L30"/>
  <c r="L31"/>
  <c r="L32"/>
  <c r="L33"/>
  <c r="L34"/>
  <c r="L35"/>
  <c r="L36"/>
  <c r="K20"/>
  <c r="K21"/>
  <c r="K22"/>
  <c r="K23"/>
  <c r="K24"/>
  <c r="K25"/>
  <c r="K26"/>
  <c r="K27"/>
  <c r="K28"/>
  <c r="K29"/>
  <c r="K30"/>
  <c r="K31"/>
  <c r="K32"/>
  <c r="K33"/>
  <c r="K34"/>
  <c r="K35"/>
  <c r="K36"/>
  <c r="J20"/>
  <c r="J21"/>
  <c r="J22"/>
  <c r="J23"/>
  <c r="J24"/>
  <c r="J25"/>
  <c r="J26"/>
  <c r="J27"/>
  <c r="J28"/>
  <c r="J29"/>
  <c r="J30"/>
  <c r="J31"/>
  <c r="J32"/>
  <c r="J33"/>
  <c r="J34"/>
  <c r="J35"/>
  <c r="J36"/>
  <c r="I20"/>
  <c r="I21"/>
  <c r="I22"/>
  <c r="I23"/>
  <c r="I24"/>
  <c r="I25"/>
  <c r="I26"/>
  <c r="I27"/>
  <c r="I28"/>
  <c r="I29"/>
  <c r="I30"/>
  <c r="I31"/>
  <c r="I32"/>
  <c r="I33"/>
  <c r="I34"/>
  <c r="I35"/>
  <c r="I36"/>
  <c r="H20"/>
  <c r="H21"/>
  <c r="H22"/>
  <c r="H23"/>
  <c r="H24"/>
  <c r="H25"/>
  <c r="H26"/>
  <c r="H27"/>
  <c r="H28"/>
  <c r="H29"/>
  <c r="H30"/>
  <c r="H31"/>
  <c r="H32"/>
  <c r="H33"/>
  <c r="H34"/>
  <c r="H35"/>
  <c r="H36"/>
  <c r="G20"/>
  <c r="G21"/>
  <c r="G22"/>
  <c r="G23"/>
  <c r="G24"/>
  <c r="G25"/>
  <c r="G26"/>
  <c r="G27"/>
  <c r="G28"/>
  <c r="G29"/>
  <c r="G30"/>
  <c r="G31"/>
  <c r="G32"/>
  <c r="G33"/>
  <c r="G34"/>
  <c r="G35"/>
  <c r="G36"/>
  <c r="F20"/>
  <c r="F21"/>
  <c r="F22"/>
  <c r="F23"/>
  <c r="F24"/>
  <c r="F25"/>
  <c r="F26"/>
  <c r="F27"/>
  <c r="F28"/>
  <c r="F29"/>
  <c r="F30"/>
  <c r="F31"/>
  <c r="F32"/>
  <c r="F33"/>
  <c r="F34"/>
  <c r="F35"/>
  <c r="F36"/>
  <c r="E20"/>
  <c r="E21"/>
  <c r="E22"/>
  <c r="E23"/>
  <c r="E24"/>
  <c r="E25"/>
  <c r="E26"/>
  <c r="E27"/>
  <c r="E28"/>
  <c r="E29"/>
  <c r="E30"/>
  <c r="E31"/>
  <c r="E32"/>
  <c r="E33"/>
  <c r="E34"/>
  <c r="E35"/>
  <c r="E36"/>
  <c r="D20"/>
  <c r="D21"/>
  <c r="D22"/>
  <c r="D23"/>
  <c r="D24"/>
  <c r="D25"/>
  <c r="D26"/>
  <c r="D27"/>
  <c r="D28"/>
  <c r="D29"/>
  <c r="D30"/>
  <c r="D31"/>
  <c r="D32"/>
  <c r="D33"/>
  <c r="D34"/>
  <c r="D35"/>
  <c r="D36"/>
  <c r="O9"/>
  <c r="O10"/>
  <c r="O11"/>
  <c r="O12"/>
  <c r="O13"/>
  <c r="O14"/>
  <c r="O15"/>
  <c r="N9"/>
  <c r="N10"/>
  <c r="N11"/>
  <c r="N12"/>
  <c r="N13"/>
  <c r="N14"/>
  <c r="N15"/>
  <c r="M9"/>
  <c r="M10"/>
  <c r="M11"/>
  <c r="M12"/>
  <c r="M13"/>
  <c r="M14"/>
  <c r="M15"/>
  <c r="L9"/>
  <c r="L10"/>
  <c r="L11"/>
  <c r="L12"/>
  <c r="L13"/>
  <c r="L14"/>
  <c r="L15"/>
  <c r="K9"/>
  <c r="K10"/>
  <c r="K11"/>
  <c r="K12"/>
  <c r="K13"/>
  <c r="K14"/>
  <c r="K15"/>
  <c r="J9"/>
  <c r="J10"/>
  <c r="J11"/>
  <c r="J12"/>
  <c r="J13"/>
  <c r="J14"/>
  <c r="J15"/>
  <c r="I9"/>
  <c r="I10"/>
  <c r="I11"/>
  <c r="I12"/>
  <c r="I13"/>
  <c r="I14"/>
  <c r="I15"/>
  <c r="H9"/>
  <c r="H10"/>
  <c r="H11"/>
  <c r="H12"/>
  <c r="H13"/>
  <c r="H14"/>
  <c r="H15"/>
  <c r="G9"/>
  <c r="G10"/>
  <c r="G11"/>
  <c r="G12"/>
  <c r="G13"/>
  <c r="G14"/>
  <c r="G15"/>
  <c r="F9"/>
  <c r="F10"/>
  <c r="F11"/>
  <c r="F12"/>
  <c r="F13"/>
  <c r="F14"/>
  <c r="F15"/>
  <c r="E9"/>
  <c r="E10"/>
  <c r="E11"/>
  <c r="E12"/>
  <c r="E13"/>
  <c r="E14"/>
  <c r="E15"/>
  <c r="D9"/>
  <c r="D10"/>
  <c r="D11"/>
  <c r="D12"/>
  <c r="D13"/>
  <c r="D14"/>
  <c r="D15"/>
  <c r="P74" i="5" l="1"/>
  <c r="P70"/>
  <c r="P66"/>
  <c r="P62"/>
  <c r="P58"/>
  <c r="P54"/>
  <c r="P50"/>
  <c r="P46"/>
  <c r="P42"/>
  <c r="P35"/>
  <c r="P31"/>
  <c r="P27"/>
  <c r="P23"/>
  <c r="P76"/>
  <c r="P72"/>
  <c r="P68"/>
  <c r="P64"/>
  <c r="P60"/>
  <c r="P56"/>
  <c r="P52"/>
  <c r="P48"/>
  <c r="P44"/>
  <c r="P75"/>
  <c r="P71"/>
  <c r="P67"/>
  <c r="P63"/>
  <c r="P59"/>
  <c r="P55"/>
  <c r="P51"/>
  <c r="P47"/>
  <c r="P43"/>
  <c r="P36"/>
  <c r="P32"/>
  <c r="P28"/>
  <c r="P24"/>
  <c r="P20"/>
  <c r="P77"/>
  <c r="P73"/>
  <c r="P69"/>
  <c r="P65"/>
  <c r="P61"/>
  <c r="P57"/>
  <c r="P53"/>
  <c r="P49"/>
  <c r="P45"/>
  <c r="P41"/>
  <c r="P34"/>
  <c r="P30"/>
  <c r="P26"/>
  <c r="P22"/>
  <c r="P33"/>
  <c r="P29"/>
  <c r="P25"/>
  <c r="P21"/>
  <c r="P14"/>
  <c r="P10"/>
  <c r="P9"/>
  <c r="P15"/>
  <c r="P11"/>
  <c r="P13"/>
  <c r="P12"/>
  <c r="P37" i="6" l="1"/>
  <c r="P39"/>
  <c r="P35"/>
  <c r="P38"/>
  <c r="P36"/>
  <c r="P23"/>
  <c r="P24"/>
  <c r="P25"/>
  <c r="P26"/>
  <c r="P28"/>
  <c r="P29"/>
  <c r="H15"/>
  <c r="O121" i="2"/>
  <c r="N121"/>
  <c r="M121"/>
  <c r="L121"/>
  <c r="K121"/>
  <c r="J121"/>
  <c r="I121"/>
  <c r="H121"/>
  <c r="G121"/>
  <c r="F121"/>
  <c r="E121"/>
  <c r="D121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6"/>
  <c r="P68"/>
  <c r="P69"/>
  <c r="P71"/>
  <c r="P72"/>
  <c r="P30" i="6" l="1"/>
  <c r="P27"/>
  <c r="G16"/>
  <c r="G17" s="1"/>
  <c r="D16"/>
  <c r="E16"/>
  <c r="E18" s="1"/>
  <c r="F16"/>
  <c r="F18" s="1"/>
  <c r="P70" i="2"/>
  <c r="P67"/>
  <c r="P65"/>
  <c r="P121"/>
  <c r="P35"/>
  <c r="P31"/>
  <c r="P27"/>
  <c r="P23"/>
  <c r="P30"/>
  <c r="P22"/>
  <c r="P34"/>
  <c r="P26"/>
  <c r="P33"/>
  <c r="P29"/>
  <c r="P25"/>
  <c r="P21"/>
  <c r="P36"/>
  <c r="P32"/>
  <c r="P28"/>
  <c r="P24"/>
  <c r="P20"/>
  <c r="G18" i="6" l="1"/>
  <c r="F17"/>
  <c r="E17"/>
  <c r="H16"/>
  <c r="D17"/>
  <c r="D18"/>
  <c r="P15" i="2"/>
  <c r="P14"/>
  <c r="P13"/>
  <c r="P12"/>
  <c r="P9"/>
  <c r="H18" i="6" l="1"/>
  <c r="H17"/>
  <c r="P10" i="2"/>
  <c r="P11"/>
  <c r="N11" i="6" s="1"/>
</calcChain>
</file>

<file path=xl/sharedStrings.xml><?xml version="1.0" encoding="utf-8"?>
<sst xmlns="http://schemas.openxmlformats.org/spreadsheetml/2006/main" count="885" uniqueCount="327">
  <si>
    <t>Corporates</t>
  </si>
  <si>
    <t>Auto Drivers</t>
  </si>
  <si>
    <t>Cab Drivers</t>
  </si>
  <si>
    <t>Students - Govt School</t>
  </si>
  <si>
    <t>Students - Pvt School</t>
  </si>
  <si>
    <t>Govt Organization</t>
  </si>
  <si>
    <t>Club</t>
  </si>
  <si>
    <t>ALERT Volunteer(s)</t>
  </si>
  <si>
    <t>Students - Govt College / University</t>
  </si>
  <si>
    <t>Students - Pvt College / University</t>
  </si>
  <si>
    <t>Hotel</t>
  </si>
  <si>
    <t>Cinema</t>
  </si>
  <si>
    <t>Others</t>
  </si>
  <si>
    <t>Dr.Muthusami</t>
  </si>
  <si>
    <t>Dr.Ragavelu</t>
  </si>
  <si>
    <t>Dr.Kasi</t>
  </si>
  <si>
    <t>Enquiry Received</t>
  </si>
  <si>
    <t>Workshop Planned</t>
  </si>
  <si>
    <t>Workshop Completed</t>
  </si>
  <si>
    <t>Status</t>
  </si>
  <si>
    <t>Organizing Group</t>
  </si>
  <si>
    <t>Trainer</t>
  </si>
  <si>
    <t>Volunteer(s)</t>
  </si>
  <si>
    <t>Doctor</t>
  </si>
  <si>
    <t>Sl. 
No.</t>
  </si>
  <si>
    <t>No. of 
Attendees</t>
  </si>
  <si>
    <t>No. of 
Certificates</t>
  </si>
  <si>
    <t>Type of 
Organizer</t>
  </si>
  <si>
    <t>Total</t>
  </si>
  <si>
    <t>Contact Name</t>
  </si>
  <si>
    <t>Contact Phone</t>
  </si>
  <si>
    <t>Workshop Venue</t>
  </si>
  <si>
    <t>Time From</t>
  </si>
  <si>
    <t>Time To</t>
  </si>
  <si>
    <t>No. of 
Kits</t>
  </si>
  <si>
    <t>Workshop 
Date</t>
  </si>
  <si>
    <t>ALERT - Enquiry &amp; Workshop Roster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</si>
  <si>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</si>
  <si>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</si>
  <si>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</si>
  <si>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</si>
  <si>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</si>
  <si>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</si>
  <si>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</si>
  <si>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</si>
  <si>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</si>
  <si>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</si>
  <si>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</si>
  <si>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</si>
  <si>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Status / Month</t>
  </si>
  <si>
    <t>Attendee Type / Month</t>
  </si>
  <si>
    <t>Trainer / Month</t>
  </si>
  <si>
    <t>Target for the Year</t>
  </si>
  <si>
    <t>Exceeded Target By</t>
  </si>
  <si>
    <t>Shortfall to Meet Target</t>
  </si>
  <si>
    <t>Description</t>
  </si>
  <si>
    <t>No. of 
CD(s)</t>
  </si>
  <si>
    <t>No. of 
Manuals</t>
  </si>
  <si>
    <t>No. of 
Stickers</t>
  </si>
  <si>
    <t>DASHBOARD - On Number of Attendees</t>
  </si>
  <si>
    <t>DASHBOARD - On Number of Workshops</t>
  </si>
  <si>
    <t>Material</t>
  </si>
  <si>
    <t>CD</t>
  </si>
  <si>
    <t>Certificate</t>
  </si>
  <si>
    <t>First Aid Kit</t>
  </si>
  <si>
    <t>Manual</t>
  </si>
  <si>
    <t>Sticker</t>
  </si>
  <si>
    <t>Regular</t>
  </si>
  <si>
    <t>Awareness</t>
  </si>
  <si>
    <t>Sensitisation</t>
  </si>
  <si>
    <t>Road Show</t>
  </si>
  <si>
    <t>Total Trained</t>
  </si>
  <si>
    <t>Q1</t>
  </si>
  <si>
    <t>Q2</t>
  </si>
  <si>
    <t>Q3</t>
  </si>
  <si>
    <t>Q4</t>
  </si>
  <si>
    <t>DASHBOARD - Master</t>
  </si>
  <si>
    <t>Workshop 
Type</t>
  </si>
  <si>
    <t>Workshop Type</t>
  </si>
  <si>
    <t>D</t>
  </si>
  <si>
    <t>Workshops Completed / Month</t>
  </si>
  <si>
    <t>Year</t>
  </si>
  <si>
    <t>Compassion without awareness is just an intention</t>
  </si>
  <si>
    <t>Compassion with awareness leads to action</t>
  </si>
  <si>
    <r>
      <rPr>
        <b/>
        <sz val="28"/>
        <color theme="7" tint="-0.249977111117893"/>
        <rFont val="Calibri"/>
        <family val="2"/>
        <scheme val="minor"/>
      </rPr>
      <t>A</t>
    </r>
    <r>
      <rPr>
        <i/>
        <sz val="28"/>
        <color theme="6" tint="-0.499984740745262"/>
        <rFont val="Calibri"/>
        <family val="2"/>
        <scheme val="minor"/>
      </rPr>
      <t>menity</t>
    </r>
    <r>
      <rPr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249977111117893"/>
        <rFont val="Calibri"/>
        <family val="2"/>
        <scheme val="minor"/>
      </rPr>
      <t>L</t>
    </r>
    <r>
      <rPr>
        <i/>
        <sz val="28"/>
        <color theme="6" tint="-0.499984740745262"/>
        <rFont val="Calibri"/>
        <family val="2"/>
        <scheme val="minor"/>
      </rPr>
      <t>ifeline</t>
    </r>
    <r>
      <rPr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249977111117893"/>
        <rFont val="Calibri"/>
        <family val="2"/>
        <scheme val="minor"/>
      </rPr>
      <t>E</t>
    </r>
    <r>
      <rPr>
        <i/>
        <sz val="28"/>
        <color theme="6" tint="-0.499984740745262"/>
        <rFont val="Calibri"/>
        <family val="2"/>
        <scheme val="minor"/>
      </rPr>
      <t>mergency</t>
    </r>
    <r>
      <rPr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249977111117893"/>
        <rFont val="Calibri"/>
        <family val="2"/>
        <scheme val="minor"/>
      </rPr>
      <t>R</t>
    </r>
    <r>
      <rPr>
        <i/>
        <sz val="28"/>
        <color theme="6" tint="-0.499984740745262"/>
        <rFont val="Calibri"/>
        <family val="2"/>
        <scheme val="minor"/>
      </rPr>
      <t>esponse</t>
    </r>
    <r>
      <rPr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249977111117893"/>
        <rFont val="Calibri"/>
        <family val="2"/>
        <scheme val="minor"/>
      </rPr>
      <t>T</t>
    </r>
    <r>
      <rPr>
        <i/>
        <sz val="28"/>
        <color theme="6" tint="-0.499984740745262"/>
        <rFont val="Calibri"/>
        <family val="2"/>
        <scheme val="minor"/>
      </rPr>
      <t>eam</t>
    </r>
  </si>
  <si>
    <t>Kala B</t>
  </si>
  <si>
    <t>Rajesh</t>
  </si>
  <si>
    <t>Balaji</t>
  </si>
  <si>
    <t>Srivathsan</t>
  </si>
  <si>
    <t>Nalini Ravindran</t>
  </si>
  <si>
    <t>Vasudevan</t>
  </si>
  <si>
    <t>Srikanth</t>
  </si>
  <si>
    <t>Dileep</t>
  </si>
  <si>
    <t>Karthik</t>
  </si>
  <si>
    <t>Murli</t>
  </si>
  <si>
    <t>Attendees Count by Status</t>
  </si>
  <si>
    <t>Attendees count by Target Type</t>
  </si>
  <si>
    <t>Attendees Count by Trainer</t>
  </si>
  <si>
    <t>No. of Workshops Count by Status</t>
  </si>
  <si>
    <t>No. of Workshop Count by Target Type</t>
  </si>
  <si>
    <t>No. of workshop count by Trainer</t>
  </si>
  <si>
    <t>Summary of Workshops</t>
  </si>
  <si>
    <t>Summary of Merchandise Given Away</t>
  </si>
  <si>
    <t>Summary of Performance - No. of Workshops</t>
  </si>
  <si>
    <t>No. of People Trained</t>
  </si>
  <si>
    <t>Golden Hour Fellow Programme</t>
  </si>
  <si>
    <t>DLF, Building 3A</t>
  </si>
  <si>
    <t>DLF</t>
  </si>
  <si>
    <t>Kalyankumar</t>
  </si>
  <si>
    <t>Pallavi</t>
  </si>
  <si>
    <t>TCS</t>
  </si>
  <si>
    <t>Nagarajan</t>
  </si>
  <si>
    <t>Chennai one branch, Thuraippakkam.</t>
  </si>
  <si>
    <t>RTO, Sholinganallur</t>
  </si>
  <si>
    <t>Manakumar MVI</t>
  </si>
  <si>
    <t>Ayyappa School, Sholinganallur</t>
  </si>
  <si>
    <t>ALERT</t>
  </si>
  <si>
    <t>ED, IIT</t>
  </si>
  <si>
    <t>Manick</t>
  </si>
  <si>
    <t>Drivers Lubby, Seruseri branch</t>
  </si>
  <si>
    <t>CRC 102, IIT</t>
  </si>
  <si>
    <t>Rotary club of Madras EAST</t>
  </si>
  <si>
    <t>Dr.Ramakrishnana</t>
  </si>
  <si>
    <t>Elango Hall, TS Narayanaswamy college, Navalur</t>
  </si>
  <si>
    <t>Rajan C</t>
  </si>
  <si>
    <t>Seruseri</t>
  </si>
  <si>
    <t>Sathyam Cinemas</t>
  </si>
  <si>
    <t>Srinivasan</t>
  </si>
  <si>
    <t>Sathyam cinemas, royapettah</t>
  </si>
  <si>
    <t>Sensiple IT company</t>
  </si>
  <si>
    <t>Logesh</t>
  </si>
  <si>
    <t>Perungalathur</t>
  </si>
  <si>
    <t>Kathiravan</t>
  </si>
  <si>
    <t>Preludesys India Ltd</t>
  </si>
  <si>
    <t>Jasmin, Kodaroad</t>
  </si>
  <si>
    <t>Kodaroad, Dindukal</t>
  </si>
  <si>
    <t>Prince college</t>
  </si>
  <si>
    <t>Date of
Enquiry</t>
  </si>
  <si>
    <t>karthik</t>
  </si>
  <si>
    <t>Patrick</t>
  </si>
  <si>
    <t>TCS, ERT</t>
  </si>
  <si>
    <t>Deepak</t>
  </si>
  <si>
    <t>Salem</t>
  </si>
  <si>
    <t>cromton, Nungambakkam</t>
  </si>
  <si>
    <t>Gemini, Chennai</t>
  </si>
  <si>
    <t>Caterpillar EDCI</t>
  </si>
  <si>
    <t>Giri P Ramamoorth</t>
  </si>
  <si>
    <t>Senthil</t>
  </si>
  <si>
    <t>CBRE</t>
  </si>
  <si>
    <t>Ascendas, Tharamani</t>
  </si>
  <si>
    <t>Ms. Jasmine</t>
  </si>
  <si>
    <t>TATA Communications</t>
  </si>
  <si>
    <t>Kathirvel</t>
  </si>
  <si>
    <t>TATA communi, Ambature,Oragadam</t>
  </si>
  <si>
    <t>pallavi</t>
  </si>
  <si>
    <t xml:space="preserve">TCS, G4 Securitys </t>
  </si>
  <si>
    <t>Kishor</t>
  </si>
  <si>
    <t>TCS, Seruseri branch, chennai</t>
  </si>
  <si>
    <t xml:space="preserve">Pallavi </t>
  </si>
  <si>
    <t xml:space="preserve">Ajesh </t>
  </si>
  <si>
    <t>Manickam</t>
  </si>
  <si>
    <t>Madippakkam</t>
  </si>
  <si>
    <t xml:space="preserve">Jasmine Coimbatore </t>
  </si>
  <si>
    <t>Karthik, Jagadish</t>
  </si>
  <si>
    <t>ArunKumar</t>
  </si>
  <si>
    <t>SP Infocity</t>
  </si>
  <si>
    <t>VFS Global Pvt ltd</t>
  </si>
  <si>
    <t>Ann</t>
  </si>
  <si>
    <t>Kathiroli</t>
  </si>
  <si>
    <t xml:space="preserve">TCS, BPO </t>
  </si>
  <si>
    <t>Gamesa Wind Turbines Pvt ltd</t>
  </si>
  <si>
    <t xml:space="preserve">PremKumar </t>
  </si>
  <si>
    <t>Sholinganallur</t>
  </si>
  <si>
    <t>P. Vasudevan</t>
  </si>
  <si>
    <t xml:space="preserve">Visteon Technical and Services </t>
  </si>
  <si>
    <t>OTPL, Guindy</t>
  </si>
  <si>
    <t>Suresh</t>
  </si>
  <si>
    <t xml:space="preserve">karthik </t>
  </si>
  <si>
    <t>Rajinikanth</t>
  </si>
  <si>
    <t>Virtusa</t>
  </si>
  <si>
    <t>DLF Chennai</t>
  </si>
  <si>
    <t>RMZ Millinia, Kandhanchavadi</t>
  </si>
  <si>
    <t xml:space="preserve">Karthik </t>
  </si>
  <si>
    <t>Gopalapuram, Chennai</t>
  </si>
  <si>
    <t>KIOT, Salem</t>
  </si>
  <si>
    <t>Ashwinkumar</t>
  </si>
  <si>
    <t>97899 89086</t>
  </si>
  <si>
    <t>Jaganath.P</t>
  </si>
  <si>
    <t>tatatechnologies</t>
  </si>
  <si>
    <t>Koramangala, Bangaluru.</t>
  </si>
  <si>
    <t>sadashiv_naik@laguna-clothing.com</t>
  </si>
  <si>
    <t>Sathashiv</t>
  </si>
  <si>
    <t xml:space="preserve">Pallavi, Karthik </t>
  </si>
  <si>
    <t>Dipti</t>
  </si>
  <si>
    <t>IACC</t>
  </si>
  <si>
    <t>ASM Tecnologies, Bangalore</t>
  </si>
  <si>
    <t>Laguna Clothing, Kanakapura, Bangalore</t>
  </si>
  <si>
    <t>ED, IIT Madras</t>
  </si>
  <si>
    <t>kala, rajesh, jaags, karthik &amp; suresh</t>
  </si>
  <si>
    <t>SPI Cinemas</t>
  </si>
  <si>
    <t>S2, Perambur</t>
  </si>
  <si>
    <t>Santhoshi</t>
  </si>
  <si>
    <t>KRMM School</t>
  </si>
  <si>
    <t xml:space="preserve">Sridevi </t>
  </si>
  <si>
    <t>044 24425037</t>
  </si>
  <si>
    <t>KRMM school, adyar</t>
  </si>
  <si>
    <t>Naliniravindran</t>
  </si>
  <si>
    <t>Jasmine, coimbatore</t>
  </si>
  <si>
    <t>Brookfields, SPI, coimbatore</t>
  </si>
  <si>
    <t>90030 14079</t>
  </si>
  <si>
    <t>Madhu</t>
  </si>
  <si>
    <t>KG 360 IT PARK, Kandhanchavadi</t>
  </si>
  <si>
    <t>G.DENZINGH</t>
  </si>
  <si>
    <t>Mott MacDonald Pvt. Ltd, Guindy.</t>
  </si>
  <si>
    <t xml:space="preserve">CBRE </t>
  </si>
  <si>
    <t>SUTHERLAND GLOBAL SERVICES, Velacheri</t>
  </si>
  <si>
    <t>Escap</t>
  </si>
  <si>
    <t>Murali</t>
  </si>
  <si>
    <t xml:space="preserve">Pallavi,Karthik </t>
  </si>
  <si>
    <t>Ravi</t>
  </si>
  <si>
    <t>TRIL</t>
  </si>
  <si>
    <t>Coimbatore</t>
  </si>
  <si>
    <t>Gowtham</t>
  </si>
  <si>
    <t>Kala, Rajesh, Karthik  &amp; Suresh</t>
  </si>
  <si>
    <t>KRMM school, adyar (Teachers)</t>
  </si>
  <si>
    <t>Vidyarambham</t>
  </si>
  <si>
    <t>jayaseelan</t>
  </si>
  <si>
    <t>BABA school, Kelambakkam</t>
  </si>
  <si>
    <t>Sheebha</t>
  </si>
  <si>
    <t>Luxe, Velacheri</t>
  </si>
  <si>
    <t>S2 Thiyagaraja</t>
  </si>
  <si>
    <t>S2 Perambure</t>
  </si>
  <si>
    <t>TE Conectivity</t>
  </si>
  <si>
    <t>Whitefield, Bamgalore</t>
  </si>
  <si>
    <t>Banashankari, Bangalore</t>
  </si>
  <si>
    <t>Karthik, Vishnu, Prasanna, Vivek &amp; Kavitha</t>
  </si>
  <si>
    <t>Karthik, Kavitha &amp; Shiva</t>
  </si>
  <si>
    <t>Antony</t>
  </si>
  <si>
    <t>044-66458046</t>
  </si>
  <si>
    <t>Tenampet, Chennai</t>
  </si>
  <si>
    <t>Escap, Royapetah</t>
  </si>
  <si>
    <t>AMM School</t>
  </si>
  <si>
    <t>Preethi</t>
  </si>
  <si>
    <t>AV Room, AMM school</t>
  </si>
  <si>
    <t>Joy Tree</t>
  </si>
  <si>
    <t>Uma</t>
  </si>
  <si>
    <t>Trichy</t>
  </si>
  <si>
    <t xml:space="preserve">CLUB </t>
  </si>
  <si>
    <t>DOMS, IIT</t>
  </si>
  <si>
    <t>03:30PM</t>
  </si>
  <si>
    <t>CTC</t>
  </si>
  <si>
    <t>Peter</t>
  </si>
  <si>
    <t>Epapaer, Thiruvanmiyur</t>
  </si>
  <si>
    <t>Jagadish/Pallavi</t>
  </si>
  <si>
    <t>Kongu Eng college</t>
  </si>
  <si>
    <t>Ashwin</t>
  </si>
  <si>
    <t>Perundurai, Erode</t>
  </si>
  <si>
    <t>Silambarasan</t>
  </si>
  <si>
    <t>NSS, Kongu college</t>
  </si>
  <si>
    <t>Dhiwakar</t>
  </si>
  <si>
    <t>Royapetah</t>
  </si>
  <si>
    <t xml:space="preserve">Mustafa &amp; Rajesh </t>
  </si>
  <si>
    <t xml:space="preserve">Rotary club </t>
  </si>
  <si>
    <t>Barati</t>
  </si>
  <si>
    <t>Rotary, Maraimalai nagar</t>
  </si>
  <si>
    <t>Kumaran</t>
  </si>
  <si>
    <t>J Kavitha HR</t>
  </si>
  <si>
    <t>HENSEL Electrical</t>
  </si>
  <si>
    <t>vasudevan</t>
  </si>
  <si>
    <t>Visteon</t>
  </si>
  <si>
    <t>Kalasalingam college</t>
  </si>
  <si>
    <t xml:space="preserve">NSS, Kalasalingam </t>
  </si>
  <si>
    <t>rajpradeesh</t>
  </si>
  <si>
    <t>Bharath Sout</t>
  </si>
  <si>
    <t>gopalakrishnan</t>
  </si>
  <si>
    <t>DMC, IIT</t>
  </si>
  <si>
    <t>Lokeshgowtham</t>
  </si>
  <si>
    <t>IIT</t>
  </si>
  <si>
    <t>Srivilliputhur</t>
  </si>
  <si>
    <t xml:space="preserve">Sunguvachatram </t>
  </si>
  <si>
    <t>Maraimalai Nagar</t>
  </si>
  <si>
    <t>Vasavi Womens club</t>
  </si>
  <si>
    <t>Sterling Resorts</t>
  </si>
  <si>
    <t>Chandrasekar</t>
  </si>
  <si>
    <t>Yelagiri</t>
  </si>
  <si>
    <t>HP, Health Club</t>
  </si>
  <si>
    <t>sivaguru</t>
  </si>
  <si>
    <t xml:space="preserve">Church Park School </t>
  </si>
  <si>
    <t xml:space="preserve">Manora politech </t>
  </si>
  <si>
    <t>Pattukottai</t>
  </si>
  <si>
    <t>Womens India Association</t>
  </si>
  <si>
    <t>Green ways road</t>
  </si>
  <si>
    <t>Sneha</t>
  </si>
  <si>
    <t xml:space="preserve">Sangeetha </t>
  </si>
  <si>
    <t>Basker</t>
  </si>
  <si>
    <t>23 &amp; 24/08/2014</t>
  </si>
  <si>
    <t>16./06/2014</t>
  </si>
  <si>
    <t>KSR eng college</t>
  </si>
  <si>
    <t>Thiruchangodu</t>
  </si>
  <si>
    <t>Rotary Madras</t>
  </si>
  <si>
    <t>Prabha</t>
  </si>
  <si>
    <t>19.10.14</t>
  </si>
  <si>
    <t>Kumara swamy colege</t>
  </si>
  <si>
    <t>Karur</t>
  </si>
  <si>
    <t>Sneha, Silambu &amp; Raghu</t>
  </si>
  <si>
    <t>Abdul</t>
  </si>
  <si>
    <t>cinema</t>
  </si>
  <si>
    <t>Sai Priya</t>
  </si>
  <si>
    <t>sathyam cinemas, royapettah</t>
  </si>
  <si>
    <t>Perambur S2</t>
  </si>
  <si>
    <t>Ikam Foundation</t>
  </si>
  <si>
    <t>GKM Engg college, Thambram</t>
  </si>
  <si>
    <t>NTL Call Taxi</t>
  </si>
  <si>
    <t>Sowmiya</t>
  </si>
  <si>
    <t>NTL Office, Guindy</t>
  </si>
  <si>
    <t>11:00AM</t>
  </si>
  <si>
    <t>Rotary</t>
  </si>
  <si>
    <t>Asha</t>
  </si>
  <si>
    <t>11:30AM</t>
  </si>
  <si>
    <t>P.S.APPARELS (INDIA)</t>
  </si>
  <si>
    <t>Nalini</t>
  </si>
  <si>
    <t>Guindy</t>
  </si>
  <si>
    <t>Marico, Eroad</t>
  </si>
  <si>
    <t>Krishnamurthy</t>
  </si>
  <si>
    <t>Perunthurai factory</t>
  </si>
  <si>
    <t>Marica, Pandi</t>
  </si>
  <si>
    <t>Pandichery factory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</si>
</sst>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[$-409]d\-mmm\-yy;@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F0000"/>
      <name val="Wingdings 2"/>
      <family val="1"/>
      <charset val="2"/>
    </font>
    <font>
      <b/>
      <sz val="24"/>
      <color rgb="FFFF0000"/>
      <name val="Wingdings"/>
      <charset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28"/>
      <color theme="6" tint="-0.499984740745262"/>
      <name val="Calibri"/>
      <family val="2"/>
      <scheme val="minor"/>
    </font>
    <font>
      <b/>
      <sz val="28"/>
      <color theme="7" tint="-0.249977111117893"/>
      <name val="Calibri"/>
      <family val="2"/>
      <scheme val="minor"/>
    </font>
    <font>
      <b/>
      <sz val="12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"/>
      <color rgb="FF500050"/>
      <name val="Times New Roman"/>
      <family val="1"/>
    </font>
    <font>
      <sz val="11"/>
      <color rgb="FF1F497D"/>
      <name val="Calibri"/>
      <family val="2"/>
      <scheme val="minor"/>
    </font>
    <font>
      <sz val="10"/>
      <color rgb="FF222222"/>
      <name val="Arial"/>
      <family val="2"/>
    </font>
    <font>
      <sz val="10"/>
      <color rgb="FF000080"/>
      <name val="Palatino Linotype"/>
      <family val="1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rgb="FF222222"/>
      <name val="Calibri"/>
      <family val="2"/>
      <scheme val="minor"/>
    </font>
    <font>
      <sz val="11"/>
      <color rgb="FF222222"/>
      <name val="Arial"/>
      <family val="2"/>
    </font>
    <font>
      <sz val="9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1F497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3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0" borderId="5" xfId="0" applyBorder="1" applyAlignment="1">
      <alignment vertical="top"/>
    </xf>
    <xf numFmtId="164" fontId="0" fillId="0" borderId="5" xfId="0" applyNumberForma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0" xfId="0" applyAlignment="1">
      <alignment vertical="top"/>
    </xf>
    <xf numFmtId="1" fontId="0" fillId="0" borderId="6" xfId="0" applyNumberFormat="1" applyBorder="1" applyAlignment="1">
      <alignment vertical="top"/>
    </xf>
    <xf numFmtId="0" fontId="0" fillId="0" borderId="9" xfId="0" applyBorder="1" applyAlignment="1">
      <alignment vertical="top"/>
    </xf>
    <xf numFmtId="164" fontId="0" fillId="0" borderId="9" xfId="0" applyNumberFormat="1" applyBorder="1" applyAlignment="1">
      <alignment vertical="top"/>
    </xf>
    <xf numFmtId="1" fontId="0" fillId="0" borderId="9" xfId="0" applyNumberFormat="1" applyBorder="1" applyAlignment="1">
      <alignment vertical="top"/>
    </xf>
    <xf numFmtId="1" fontId="0" fillId="0" borderId="1" xfId="0" applyNumberFormat="1" applyBorder="1" applyAlignment="1">
      <alignment vertical="top"/>
    </xf>
    <xf numFmtId="0" fontId="0" fillId="0" borderId="7" xfId="0" applyFont="1" applyBorder="1"/>
    <xf numFmtId="0" fontId="0" fillId="0" borderId="2" xfId="0" applyFont="1" applyBorder="1"/>
    <xf numFmtId="0" fontId="1" fillId="2" borderId="8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textRotation="90"/>
    </xf>
    <xf numFmtId="0" fontId="3" fillId="0" borderId="7" xfId="1" applyFont="1" applyBorder="1" applyAlignment="1">
      <alignment horizontal="left"/>
    </xf>
    <xf numFmtId="0" fontId="3" fillId="0" borderId="7" xfId="1" applyFont="1" applyBorder="1"/>
    <xf numFmtId="0" fontId="3" fillId="0" borderId="2" xfId="1" applyFont="1" applyBorder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textRotation="90"/>
    </xf>
    <xf numFmtId="0" fontId="1" fillId="0" borderId="7" xfId="0" applyFont="1" applyBorder="1"/>
    <xf numFmtId="0" fontId="1" fillId="0" borderId="2" xfId="0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vertical="top"/>
    </xf>
    <xf numFmtId="0" fontId="6" fillId="6" borderId="8" xfId="0" applyFont="1" applyFill="1" applyBorder="1" applyAlignment="1">
      <alignment horizontal="center" vertical="center"/>
    </xf>
    <xf numFmtId="0" fontId="0" fillId="0" borderId="5" xfId="0" applyFont="1" applyBorder="1"/>
    <xf numFmtId="0" fontId="9" fillId="9" borderId="13" xfId="0" applyFont="1" applyFill="1" applyBorder="1" applyAlignment="1">
      <alignment horizontal="center" vertical="center"/>
    </xf>
    <xf numFmtId="0" fontId="0" fillId="0" borderId="9" xfId="0" applyNumberFormat="1" applyBorder="1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3" fillId="0" borderId="2" xfId="1" applyFont="1" applyFill="1" applyBorder="1" applyAlignment="1">
      <alignment horizontal="left"/>
    </xf>
    <xf numFmtId="0" fontId="1" fillId="0" borderId="0" xfId="0" applyNumberFormat="1" applyFont="1" applyBorder="1"/>
    <xf numFmtId="0" fontId="8" fillId="0" borderId="7" xfId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0" fontId="8" fillId="0" borderId="2" xfId="1" applyFont="1" applyFill="1" applyBorder="1" applyAlignment="1">
      <alignment horizontal="right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12" fillId="0" borderId="7" xfId="0" applyFont="1" applyBorder="1" applyAlignment="1">
      <alignment vertical="center"/>
    </xf>
    <xf numFmtId="0" fontId="16" fillId="0" borderId="2" xfId="0" applyFont="1" applyBorder="1"/>
    <xf numFmtId="0" fontId="16" fillId="0" borderId="0" xfId="0" applyFont="1" applyBorder="1"/>
    <xf numFmtId="0" fontId="1" fillId="0" borderId="0" xfId="0" applyFont="1" applyBorder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5" xfId="0" applyNumberFormat="1" applyBorder="1" applyAlignment="1">
      <alignment horizontal="center" vertical="top"/>
    </xf>
    <xf numFmtId="165" fontId="0" fillId="0" borderId="9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top"/>
    </xf>
    <xf numFmtId="1" fontId="0" fillId="0" borderId="9" xfId="0" applyNumberFormat="1" applyBorder="1" applyAlignment="1">
      <alignment horizontal="center" vertical="top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3" fillId="0" borderId="0" xfId="0" applyFont="1"/>
    <xf numFmtId="0" fontId="25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5" xfId="0" applyFont="1" applyBorder="1"/>
    <xf numFmtId="0" fontId="30" fillId="0" borderId="5" xfId="0" applyFont="1" applyBorder="1"/>
    <xf numFmtId="0" fontId="31" fillId="0" borderId="0" xfId="0" applyFont="1"/>
    <xf numFmtId="0" fontId="32" fillId="0" borderId="0" xfId="0" applyFont="1"/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5" xfId="0" applyFill="1" applyBorder="1" applyAlignment="1">
      <alignment vertical="top"/>
    </xf>
    <xf numFmtId="0" fontId="0" fillId="0" borderId="5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22" fillId="0" borderId="0" xfId="0" applyFont="1" applyFill="1"/>
    <xf numFmtId="165" fontId="0" fillId="0" borderId="5" xfId="0" applyNumberFormat="1" applyFill="1" applyBorder="1" applyAlignment="1">
      <alignment horizontal="center" vertical="top"/>
    </xf>
    <xf numFmtId="0" fontId="1" fillId="0" borderId="0" xfId="0" applyFont="1" applyFill="1"/>
    <xf numFmtId="0" fontId="0" fillId="0" borderId="9" xfId="0" applyFill="1" applyBorder="1" applyAlignment="1">
      <alignment vertical="top"/>
    </xf>
    <xf numFmtId="165" fontId="0" fillId="0" borderId="9" xfId="0" applyNumberFormat="1" applyFill="1" applyBorder="1" applyAlignment="1">
      <alignment horizontal="center" vertical="top"/>
    </xf>
    <xf numFmtId="164" fontId="0" fillId="0" borderId="5" xfId="0" applyNumberFormat="1" applyFill="1" applyBorder="1" applyAlignment="1">
      <alignment vertical="top"/>
    </xf>
    <xf numFmtId="1" fontId="0" fillId="0" borderId="5" xfId="0" applyNumberFormat="1" applyFill="1" applyBorder="1" applyAlignment="1">
      <alignment horizontal="center" vertical="top"/>
    </xf>
    <xf numFmtId="1" fontId="0" fillId="0" borderId="6" xfId="0" applyNumberFormat="1" applyFill="1" applyBorder="1" applyAlignment="1">
      <alignment vertical="top"/>
    </xf>
    <xf numFmtId="0" fontId="0" fillId="0" borderId="0" xfId="0" applyFill="1"/>
    <xf numFmtId="0" fontId="0" fillId="0" borderId="2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164" fontId="0" fillId="0" borderId="9" xfId="0" applyNumberFormat="1" applyFill="1" applyBorder="1" applyAlignment="1">
      <alignment vertical="top"/>
    </xf>
    <xf numFmtId="1" fontId="0" fillId="0" borderId="9" xfId="0" applyNumberFormat="1" applyFill="1" applyBorder="1" applyAlignment="1">
      <alignment horizontal="center" vertical="top"/>
    </xf>
    <xf numFmtId="1" fontId="0" fillId="0" borderId="1" xfId="0" applyNumberFormat="1" applyFill="1" applyBorder="1" applyAlignment="1">
      <alignment vertical="top"/>
    </xf>
    <xf numFmtId="0" fontId="7" fillId="6" borderId="10" xfId="0" applyFont="1" applyFill="1" applyBorder="1" applyAlignment="1">
      <alignment horizontal="left" vertical="top"/>
    </xf>
    <xf numFmtId="0" fontId="7" fillId="6" borderId="11" xfId="0" applyFont="1" applyFill="1" applyBorder="1" applyAlignment="1">
      <alignment horizontal="left" vertical="top"/>
    </xf>
    <xf numFmtId="0" fontId="7" fillId="6" borderId="12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5" borderId="10" xfId="0" applyFont="1" applyFill="1" applyBorder="1" applyAlignment="1">
      <alignment horizontal="left" vertical="top"/>
    </xf>
    <xf numFmtId="0" fontId="7" fillId="5" borderId="11" xfId="0" applyFont="1" applyFill="1" applyBorder="1" applyAlignment="1">
      <alignment horizontal="left" vertical="top"/>
    </xf>
    <xf numFmtId="0" fontId="7" fillId="5" borderId="12" xfId="0" applyFont="1" applyFill="1" applyBorder="1" applyAlignment="1">
      <alignment horizontal="left" vertical="top"/>
    </xf>
    <xf numFmtId="0" fontId="10" fillId="10" borderId="14" xfId="0" applyFont="1" applyFill="1" applyBorder="1" applyAlignment="1" applyProtection="1">
      <alignment horizontal="center" vertical="center"/>
      <protection locked="0"/>
    </xf>
    <xf numFmtId="0" fontId="10" fillId="10" borderId="1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11" fillId="4" borderId="1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0" fontId="35" fillId="0" borderId="0" xfId="0" applyFont="1"/>
  </cellXfs>
  <cellStyles count="2">
    <cellStyle name="Normal" xfId="0" builtinId="0"/>
    <cellStyle name="Normal 2" xfId="1"/>
  </cellStyles>
  <dxfs count="19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h:mm\ AM/PM;@"/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h:mm\ AM/PM;@"/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relativeIndent="255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z val="11"/>
        <color auto="1"/>
        <name val="Calibri"/>
        <scheme val="minor"/>
      </font>
      <numFmt numFmtId="0" formatCode="General"/>
      <alignment horizontal="right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sz val="11"/>
        <color auto="1"/>
        <name val="Calibri"/>
        <scheme val="minor"/>
      </font>
      <numFmt numFmtId="0" formatCode="General"/>
      <alignment horizontal="right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9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'Dashboard - Master'!$D$14</c:f>
              <c:strCache>
                <c:ptCount val="1"/>
                <c:pt idx="0">
                  <c:v>Q1</c:v>
                </c:pt>
              </c:strCache>
            </c:strRef>
          </c:tx>
          <c:cat>
            <c:strRef>
              <c:f>'Dashboard - Master'!$C$15:$C$16</c:f>
              <c:strCache>
                <c:ptCount val="2"/>
                <c:pt idx="0">
                  <c:v>Target for the Year</c:v>
                </c:pt>
                <c:pt idx="1">
                  <c:v>Total Trained</c:v>
                </c:pt>
              </c:strCache>
            </c:strRef>
          </c:cat>
          <c:val>
            <c:numRef>
              <c:f>'Dashboard - Master'!$D$15:$D$16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'Dashboard - Master'!$E$14</c:f>
              <c:strCache>
                <c:ptCount val="1"/>
                <c:pt idx="0">
                  <c:v>Q2</c:v>
                </c:pt>
              </c:strCache>
            </c:strRef>
          </c:tx>
          <c:cat>
            <c:strRef>
              <c:f>'Dashboard - Master'!$C$15:$C$16</c:f>
              <c:strCache>
                <c:ptCount val="2"/>
                <c:pt idx="0">
                  <c:v>Target for the Year</c:v>
                </c:pt>
                <c:pt idx="1">
                  <c:v>Total Trained</c:v>
                </c:pt>
              </c:strCache>
            </c:strRef>
          </c:cat>
          <c:val>
            <c:numRef>
              <c:f>'Dashboard - Master'!$E$15:$E$16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'Dashboard - Master'!$F$14</c:f>
              <c:strCache>
                <c:ptCount val="1"/>
                <c:pt idx="0">
                  <c:v>Q3</c:v>
                </c:pt>
              </c:strCache>
            </c:strRef>
          </c:tx>
          <c:cat>
            <c:strRef>
              <c:f>'Dashboard - Master'!$C$15:$C$16</c:f>
              <c:strCache>
                <c:ptCount val="2"/>
                <c:pt idx="0">
                  <c:v>Target for the Year</c:v>
                </c:pt>
                <c:pt idx="1">
                  <c:v>Total Trained</c:v>
                </c:pt>
              </c:strCache>
            </c:strRef>
          </c:cat>
          <c:val>
            <c:numRef>
              <c:f>'Dashboard - Master'!$F$15:$F$16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'Dashboard - Master'!$G$14</c:f>
              <c:strCache>
                <c:ptCount val="1"/>
                <c:pt idx="0">
                  <c:v>Q4</c:v>
                </c:pt>
              </c:strCache>
            </c:strRef>
          </c:tx>
          <c:cat>
            <c:strRef>
              <c:f>'Dashboard - Master'!$C$15:$C$16</c:f>
              <c:strCache>
                <c:ptCount val="2"/>
                <c:pt idx="0">
                  <c:v>Target for the Year</c:v>
                </c:pt>
                <c:pt idx="1">
                  <c:v>Total Trained</c:v>
                </c:pt>
              </c:strCache>
            </c:strRef>
          </c:cat>
          <c:val>
            <c:numRef>
              <c:f>'Dashboard - Master'!$G$15:$G$16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</c:ser>
        <c:axId val="62787584"/>
        <c:axId val="62789120"/>
      </c:barChart>
      <c:catAx>
        <c:axId val="62787584"/>
        <c:scaling>
          <c:orientation val="minMax"/>
        </c:scaling>
        <c:axPos val="b"/>
        <c:tickLblPos val="nextTo"/>
        <c:crossAx val="62789120"/>
        <c:crosses val="autoZero"/>
        <c:auto val="1"/>
        <c:lblAlgn val="ctr"/>
        <c:lblOffset val="100"/>
      </c:catAx>
      <c:valAx>
        <c:axId val="62789120"/>
        <c:scaling>
          <c:orientation val="minMax"/>
        </c:scaling>
        <c:axPos val="l"/>
        <c:majorGridlines/>
        <c:numFmt formatCode="General" sourceLinked="1"/>
        <c:tickLblPos val="nextTo"/>
        <c:crossAx val="62787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130969</xdr:colOff>
      <xdr:row>13</xdr:row>
      <xdr:rowOff>51197</xdr:rowOff>
    </xdr:from>
    <xdr:to>
      <xdr:col>15</xdr:col>
      <xdr:colOff>59532</xdr:colOff>
      <xdr:row>18</xdr:row>
      <xdr:rowOff>166689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726281</xdr:colOff>
      <xdr:row>0</xdr:row>
      <xdr:rowOff>23813</xdr:rowOff>
    </xdr:from>
    <xdr:to>
      <xdr:col>2</xdr:col>
      <xdr:colOff>1527216</xdr:colOff>
      <xdr:row>6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0" y="23813"/>
          <a:ext cx="800935" cy="11191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0" name="Table3811" displayName="Table3811" ref="C34:P39" totalsRowShown="0" headerRowDxfId="190" headerRowBorderDxfId="189" tableBorderDxfId="188" totalsRowBorderDxfId="187">
  <tableColumns count="14">
    <tableColumn id="1" name="Material" dataDxfId="186"/>
    <tableColumn id="2" name="Jan" dataDxfId="185"/>
    <tableColumn id="3" name="Feb" dataDxfId="184"/>
    <tableColumn id="4" name="Mar" dataDxfId="183"/>
    <tableColumn id="5" name="Apr" dataDxfId="182"/>
    <tableColumn id="6" name="May" dataDxfId="181"/>
    <tableColumn id="7" name="Jun" dataDxfId="180"/>
    <tableColumn id="8" name="Jul" dataDxfId="179"/>
    <tableColumn id="9" name="Aug" dataDxfId="178"/>
    <tableColumn id="10" name="Sep" dataDxfId="177"/>
    <tableColumn id="11" name="Oct" dataDxfId="176"/>
    <tableColumn id="12" name="Nov" dataDxfId="175"/>
    <tableColumn id="13" name="Dec" dataDxfId="174"/>
    <tableColumn id="14" name="Total" dataDxfId="173">
      <calculatedColumnFormula>SUM(Table3811[[#This Row],[Jan]:[Dec]])</calculatedColumnFormula>
    </tableColumn>
  </tableColumns>
  <tableStyleInfo name="TableStyleMedium10" showFirstColumn="1" showLastColumn="0" showRowStripes="1" showColumnStripes="0"/>
</table>
</file>

<file path=xl/tables/table10.xml><?xml version="1.0" encoding="utf-8"?>
<table xmlns="http://schemas.openxmlformats.org/spreadsheetml/2006/main" id="1" name="Table1" displayName="Table1" ref="A4:U102" headerRowDxfId="28" dataDxfId="26" totalsRowDxfId="24" headerRowBorderDxfId="27" tableBorderDxfId="25">
  <tableColumns count="21">
    <tableColumn id="1" name="Sl. &#10;No." totalsRowLabel="Total" dataDxfId="23"/>
    <tableColumn id="2" name="Status" dataDxfId="22"/>
    <tableColumn id="3" name="Organizing Group" dataDxfId="21"/>
    <tableColumn id="4" name="Type of &#10;Organizer" dataDxfId="20"/>
    <tableColumn id="5" name="Date of&#10;Enquiry" dataDxfId="19"/>
    <tableColumn id="6" name="Contact Name" dataDxfId="18"/>
    <tableColumn id="7" name="Contact Phone" dataDxfId="17"/>
    <tableColumn id="8" name="Workshop Venue" dataDxfId="16"/>
    <tableColumn id="21" name="Workshop &#10;Type" dataDxfId="15"/>
    <tableColumn id="9" name="Workshop &#10;Date" dataDxfId="14"/>
    <tableColumn id="10" name="Time From" dataDxfId="13"/>
    <tableColumn id="17" name="Time To" dataDxfId="12"/>
    <tableColumn id="11" name="No. of &#10;Attendees" dataDxfId="11"/>
    <tableColumn id="12" name="Trainer" dataDxfId="10"/>
    <tableColumn id="13" name="Volunteer(s)" dataDxfId="9"/>
    <tableColumn id="14" name="Doctor" dataDxfId="8"/>
    <tableColumn id="15" name="No. of &#10;Certificates" dataDxfId="7"/>
    <tableColumn id="16" name="No. of &#10;Kits" totalsRowFunction="count" dataDxfId="6"/>
    <tableColumn id="18" name="No. of &#10;CD(s)" dataDxfId="5" totalsRowDxfId="4"/>
    <tableColumn id="19" name="No. of &#10;Manuals" dataDxfId="3" totalsRowDxfId="2"/>
    <tableColumn id="20" name="No. of &#10;Stickers" dataDxfId="1" totalsRow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14:H18" totalsRowShown="0" headerRowDxfId="172" dataDxfId="170" headerRowBorderDxfId="171" tableBorderDxfId="169" totalsRowBorderDxfId="168">
  <tableColumns count="6">
    <tableColumn id="1" name="Description" dataDxfId="167"/>
    <tableColumn id="2" name="Q1" dataDxfId="166"/>
    <tableColumn id="3" name="Q2" dataDxfId="165"/>
    <tableColumn id="4" name="Q3" dataDxfId="164">
      <calculatedColumnFormula>SUM('Dashboard - Attendee'!H120:'Dashboard - Attendee'!J120)</calculatedColumnFormula>
    </tableColumn>
    <tableColumn id="5" name="Q4" dataDxfId="163">
      <calculatedColumnFormula>SUM('Dashboard - Attendee'!K120:'Dashboard - Attendee'!M120)</calculatedColumnFormula>
    </tableColumn>
    <tableColumn id="6" name="Total" dataDxfId="162">
      <calculatedColumnFormula>SUM(Table5[[#This Row],[Q1]:[Q4]])</calculatedColumnFormula>
    </tableColumn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6" name="Table2127" displayName="Table2127" ref="C22:P30" totalsRowShown="0" headerRowDxfId="161" headerRowBorderDxfId="160" tableBorderDxfId="159" totalsRowBorderDxfId="158">
  <tableColumns count="14">
    <tableColumn id="1" name="Workshops Completed / Month" dataDxfId="157">
      <calculatedColumnFormula>DataSheet!G1</calculatedColumnFormula>
    </tableColumn>
    <tableColumn id="2" name="Jan" dataDxfId="156"/>
    <tableColumn id="3" name="Feb" dataDxfId="155"/>
    <tableColumn id="4" name="Mar" dataDxfId="154"/>
    <tableColumn id="5" name="Apr" dataDxfId="153"/>
    <tableColumn id="6" name="May" dataDxfId="152"/>
    <tableColumn id="7" name="Jun" dataDxfId="151"/>
    <tableColumn id="8" name="Jul" dataDxfId="150"/>
    <tableColumn id="9" name="Aug" dataDxfId="149"/>
    <tableColumn id="10" name="Sep" dataDxfId="148"/>
    <tableColumn id="11" name="Oct" dataDxfId="147"/>
    <tableColumn id="12" name="Nov" dataDxfId="146"/>
    <tableColumn id="13" name="Dec" dataDxfId="145"/>
    <tableColumn id="14" name="Total" dataDxfId="144">
      <calculatedColumnFormula>SUM(Table2127[[#This Row],[Jan]:[Dec]])</calculatedColumnFormula>
    </tableColumn>
  </tableColumns>
  <tableStyleInfo name="TableStyleMedium12" showFirstColumn="1" showLastColumn="0" showRowStripes="1" showColumnStripes="0"/>
</table>
</file>

<file path=xl/tables/table4.xml><?xml version="1.0" encoding="utf-8"?>
<table xmlns="http://schemas.openxmlformats.org/spreadsheetml/2006/main" id="11" name="Table212" displayName="Table212" ref="C8:P15" totalsRowShown="0" headerRowDxfId="140" headerRowBorderDxfId="139" tableBorderDxfId="138" totalsRowBorderDxfId="137">
  <tableColumns count="14">
    <tableColumn id="1" name="Status / Month" dataDxfId="136"/>
    <tableColumn id="2" name="Jan" dataDxfId="135"/>
    <tableColumn id="3" name="Feb" dataDxfId="134"/>
    <tableColumn id="4" name="Mar" dataDxfId="133"/>
    <tableColumn id="5" name="Apr" dataDxfId="132"/>
    <tableColumn id="6" name="May" dataDxfId="131"/>
    <tableColumn id="7" name="Jun" dataDxfId="130"/>
    <tableColumn id="8" name="Jul" dataDxfId="129"/>
    <tableColumn id="9" name="Aug" dataDxfId="128"/>
    <tableColumn id="10" name="Sep" dataDxfId="127"/>
    <tableColumn id="11" name="Oct" dataDxfId="126"/>
    <tableColumn id="12" name="Nov" dataDxfId="125"/>
    <tableColumn id="13" name="Dec" dataDxfId="124"/>
    <tableColumn id="14" name="Total" dataDxfId="123">
      <calculatedColumnFormula>SUM(Table212[[#This Row],[Jan]:[Dec]])</calculatedColumnFormula>
    </tableColumn>
  </tableColumns>
  <tableStyleInfo name="TableStyleMedium12" showFirstColumn="1" showLastColumn="0" showRowStripes="1" showColumnStripes="0"/>
</table>
</file>

<file path=xl/tables/table5.xml><?xml version="1.0" encoding="utf-8"?>
<table xmlns="http://schemas.openxmlformats.org/spreadsheetml/2006/main" id="12" name="Table313" displayName="Table313" ref="C19:P36" totalsRowShown="0" headerRowDxfId="122" headerRowBorderDxfId="121" tableBorderDxfId="120" totalsRowBorderDxfId="119">
  <tableColumns count="14">
    <tableColumn id="1" name="Attendee Type / Month" dataDxfId="118">
      <calculatedColumnFormula>DataSheet!C1</calculatedColumnFormula>
    </tableColumn>
    <tableColumn id="2" name="Jan" dataDxfId="117"/>
    <tableColumn id="3" name="Feb" dataDxfId="116"/>
    <tableColumn id="4" name="Mar" dataDxfId="115"/>
    <tableColumn id="5" name="Apr" dataDxfId="114"/>
    <tableColumn id="6" name="May" dataDxfId="113"/>
    <tableColumn id="7" name="Jun" dataDxfId="112"/>
    <tableColumn id="8" name="Jul" dataDxfId="111"/>
    <tableColumn id="9" name="Aug" dataDxfId="110"/>
    <tableColumn id="10" name="Sep" dataDxfId="109"/>
    <tableColumn id="11" name="Oct" dataDxfId="108"/>
    <tableColumn id="12" name="Nov" dataDxfId="107"/>
    <tableColumn id="13" name="Dec" dataDxfId="106"/>
    <tableColumn id="14" name="Total" dataDxfId="105">
      <calculatedColumnFormula>SUM(Table313[[#This Row],[Jan]:[Dec]])</calculatedColumnFormula>
    </tableColumn>
  </tableColumns>
  <tableStyleInfo name="TableStyleMedium10" showFirstColumn="1" showLastColumn="0" showRowStripes="1" showColumnStripes="0"/>
</table>
</file>

<file path=xl/tables/table6.xml><?xml version="1.0" encoding="utf-8"?>
<table xmlns="http://schemas.openxmlformats.org/spreadsheetml/2006/main" id="13" name="Table414" displayName="Table414" ref="C40:P77" totalsRowShown="0" headerRowDxfId="104" headerRowBorderDxfId="103" tableBorderDxfId="102" totalsRowBorderDxfId="101">
  <tableColumns count="14">
    <tableColumn id="1" name="Trainer / Month" dataDxfId="100" dataCellStyle="Normal 2"/>
    <tableColumn id="2" name="Jan" dataDxfId="99"/>
    <tableColumn id="3" name="Feb" dataDxfId="98"/>
    <tableColumn id="4" name="Mar" dataDxfId="97"/>
    <tableColumn id="5" name="Apr" dataDxfId="96"/>
    <tableColumn id="6" name="May" dataDxfId="95"/>
    <tableColumn id="7" name="Jun" dataDxfId="94"/>
    <tableColumn id="8" name="Jul" dataDxfId="93"/>
    <tableColumn id="9" name="Aug" dataDxfId="92"/>
    <tableColumn id="10" name="Sep" dataDxfId="91"/>
    <tableColumn id="11" name="Oct" dataDxfId="90"/>
    <tableColumn id="12" name="Nov" dataDxfId="89"/>
    <tableColumn id="13" name="Dec" dataDxfId="88"/>
    <tableColumn id="14" name="Total" dataDxfId="87" dataCellStyle="Normal 2">
      <calculatedColumnFormula>SUM(Table414[[#This Row],[Jan]:[Dec]])</calculatedColumnFormula>
    </tableColumn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id="2" name="Table2" displayName="Table2" ref="C8:P15" totalsRowShown="0" headerRowDxfId="82" headerRowBorderDxfId="81" tableBorderDxfId="80" totalsRowBorderDxfId="79">
  <tableColumns count="14">
    <tableColumn id="1" name="Status / Month" dataDxfId="78"/>
    <tableColumn id="2" name="Jan" dataDxfId="77"/>
    <tableColumn id="3" name="Feb" dataDxfId="76"/>
    <tableColumn id="4" name="Mar" dataDxfId="75"/>
    <tableColumn id="5" name="Apr" dataDxfId="74"/>
    <tableColumn id="6" name="May" dataDxfId="73"/>
    <tableColumn id="7" name="Jun" dataDxfId="72"/>
    <tableColumn id="8" name="Jul" dataDxfId="71"/>
    <tableColumn id="9" name="Aug" dataDxfId="70"/>
    <tableColumn id="10" name="Sep" dataDxfId="69"/>
    <tableColumn id="11" name="Oct" dataDxfId="68"/>
    <tableColumn id="12" name="Nov" dataDxfId="67"/>
    <tableColumn id="13" name="Dec" dataDxfId="66"/>
    <tableColumn id="14" name="Total" dataDxfId="65">
      <calculatedColumnFormula>SUM(Table2[[#This Row],[Jan]:[Dec]])</calculatedColumnFormula>
    </tableColumn>
  </tableColumns>
  <tableStyleInfo name="TableStyleMedium12" showFirstColumn="1" showLastColumn="0" showRowStripes="1" showColumnStripes="0"/>
</table>
</file>

<file path=xl/tables/table8.xml><?xml version="1.0" encoding="utf-8"?>
<table xmlns="http://schemas.openxmlformats.org/spreadsheetml/2006/main" id="3" name="Table3" displayName="Table3" ref="C19:P36" totalsRowShown="0" headerRowDxfId="64" headerRowBorderDxfId="63" tableBorderDxfId="62" totalsRowBorderDxfId="61">
  <tableColumns count="14">
    <tableColumn id="1" name="Attendee Type / Month" dataDxfId="60">
      <calculatedColumnFormula>DataSheet!C1</calculatedColumnFormula>
    </tableColumn>
    <tableColumn id="2" name="Jan" dataDxfId="59"/>
    <tableColumn id="3" name="Feb" dataDxfId="58"/>
    <tableColumn id="4" name="Mar" dataDxfId="57"/>
    <tableColumn id="5" name="Apr" dataDxfId="56"/>
    <tableColumn id="6" name="May" dataDxfId="55"/>
    <tableColumn id="7" name="Jun" dataDxfId="54"/>
    <tableColumn id="8" name="Jul" dataDxfId="53"/>
    <tableColumn id="9" name="Aug" dataDxfId="52"/>
    <tableColumn id="10" name="Sep" dataDxfId="51"/>
    <tableColumn id="11" name="Oct" dataDxfId="50"/>
    <tableColumn id="12" name="Nov" dataDxfId="49"/>
    <tableColumn id="13" name="Dec" dataDxfId="48"/>
    <tableColumn id="14" name="Total" dataDxfId="47">
      <calculatedColumnFormula>SUM(Table3[[#This Row],[Jan]:[Dec]])</calculatedColumnFormula>
    </tableColumn>
  </tableColumns>
  <tableStyleInfo name="TableStyleMedium10" showFirstColumn="1" showLastColumn="0" showRowStripes="1" showColumnStripes="0"/>
</table>
</file>

<file path=xl/tables/table9.xml><?xml version="1.0" encoding="utf-8"?>
<table xmlns="http://schemas.openxmlformats.org/spreadsheetml/2006/main" id="4" name="Table4" displayName="Table4" ref="C40:P72" totalsRowShown="0" headerRowDxfId="46" headerRowBorderDxfId="45" tableBorderDxfId="44" totalsRowBorderDxfId="43">
  <tableColumns count="14">
    <tableColumn id="1" name="Trainer / Month" dataDxfId="42" dataCellStyle="Normal 2">
      <calculatedColumnFormula>DataSheet!B1</calculatedColumnFormula>
    </tableColumn>
    <tableColumn id="2" name="Jan" dataDxfId="41"/>
    <tableColumn id="3" name="Feb" dataDxfId="40"/>
    <tableColumn id="4" name="Mar" dataDxfId="39"/>
    <tableColumn id="5" name="Apr" dataDxfId="38"/>
    <tableColumn id="6" name="May" dataDxfId="37"/>
    <tableColumn id="7" name="Jun" dataDxfId="36"/>
    <tableColumn id="8" name="Jul" dataDxfId="35"/>
    <tableColumn id="9" name="Aug" dataDxfId="34"/>
    <tableColumn id="10" name="Sep" dataDxfId="33"/>
    <tableColumn id="11" name="Oct" dataDxfId="32"/>
    <tableColumn id="12" name="Nov" dataDxfId="31"/>
    <tableColumn id="13" name="Dec" dataDxfId="30"/>
    <tableColumn id="14" name="Total" dataDxfId="29" dataCellStyle="Normal 2">
      <calculatedColumnFormula>SUM(Table4[[#This Row],[Jan]:[Dec]])</calculatedColumnFormula>
    </tableColumn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Q39"/>
  <sheetViews>
    <sheetView showGridLines="0" topLeftCell="A12" zoomScale="90" zoomScaleNormal="90" workbookViewId="0">
      <selection activeCell="D11" sqref="D11:E11"/>
    </sheetView>
  </sheetViews>
  <sheetFormatPr defaultRowHeight="15"/>
  <cols>
    <col min="1" max="1" width="9.140625" style="2"/>
    <col min="3" max="3" width="33.85546875" bestFit="1" customWidth="1"/>
  </cols>
  <sheetData>
    <row r="1" spans="2:17" s="2" customFormat="1">
      <c r="B1" s="120"/>
      <c r="C1" s="120"/>
      <c r="D1" s="121" t="s">
        <v>84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2:17" s="2" customFormat="1">
      <c r="B2" s="120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2:17" s="2" customFormat="1">
      <c r="B3" s="120"/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4" spans="2:17" s="2" customFormat="1">
      <c r="B4" s="120"/>
      <c r="C4" s="120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</row>
    <row r="5" spans="2:17" s="2" customFormat="1">
      <c r="B5" s="120"/>
      <c r="C5" s="120"/>
      <c r="D5" s="122" t="s">
        <v>82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</row>
    <row r="6" spans="2:17" s="2" customFormat="1">
      <c r="B6" s="120"/>
      <c r="C6" s="120"/>
      <c r="D6" s="122" t="s">
        <v>83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</row>
    <row r="7" spans="2:17" s="2" customFormat="1">
      <c r="B7" s="5"/>
      <c r="C7" s="5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</row>
    <row r="8" spans="2:17" ht="15.75" thickBot="1"/>
    <row r="9" spans="2:17" ht="19.5" thickBot="1">
      <c r="B9" s="123" t="s">
        <v>76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5"/>
    </row>
    <row r="10" spans="2:17" ht="15.75" thickBot="1"/>
    <row r="11" spans="2:17" s="2" customFormat="1" ht="19.5" thickBot="1">
      <c r="C11" s="37" t="s">
        <v>81</v>
      </c>
      <c r="D11" s="118">
        <v>2014</v>
      </c>
      <c r="E11" s="119"/>
      <c r="K11" s="126" t="s">
        <v>104</v>
      </c>
      <c r="L11" s="127"/>
      <c r="M11" s="127"/>
      <c r="N11" s="128" t="e">
        <f>'Dashboard - Attendee'!P11</f>
        <v>#VALUE!</v>
      </c>
      <c r="O11" s="129"/>
    </row>
    <row r="12" spans="2:17" s="2" customFormat="1" ht="15.75" thickBot="1"/>
    <row r="13" spans="2:17" s="2" customFormat="1" ht="15.75" thickBot="1">
      <c r="C13" s="109" t="s">
        <v>103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1"/>
    </row>
    <row r="14" spans="2:17" s="2" customFormat="1">
      <c r="C14" s="32" t="s">
        <v>55</v>
      </c>
      <c r="D14" s="33" t="s">
        <v>72</v>
      </c>
      <c r="E14" s="35" t="s">
        <v>73</v>
      </c>
      <c r="F14" s="35" t="s">
        <v>74</v>
      </c>
      <c r="G14" s="35" t="s">
        <v>75</v>
      </c>
      <c r="H14" s="35" t="s">
        <v>28</v>
      </c>
    </row>
    <row r="15" spans="2:17" s="2" customFormat="1" ht="30">
      <c r="C15" s="60" t="s">
        <v>52</v>
      </c>
      <c r="D15" s="59">
        <v>45</v>
      </c>
      <c r="E15" s="59">
        <v>45</v>
      </c>
      <c r="F15" s="59">
        <v>45</v>
      </c>
      <c r="G15" s="59">
        <v>45</v>
      </c>
      <c r="H15" s="53">
        <f>SUM(Table5[[#This Row],[Q1]:[Q4]])</f>
        <v>180</v>
      </c>
      <c r="I15" s="49" t="s">
        <v>79</v>
      </c>
      <c r="J15" s="50"/>
    </row>
    <row r="16" spans="2:17" s="2" customFormat="1" ht="30">
      <c r="C16" s="60" t="s">
        <v>71</v>
      </c>
      <c r="D16" s="52" t="e">
        <f>SUM('Dashboard - Attendee'!D121:'Dashboard - Attendee'!F121)</f>
        <v>#VALUE!</v>
      </c>
      <c r="E16" s="52" t="e">
        <f>SUM('Dashboard - Attendee'!G121:'Dashboard - Attendee'!I121)</f>
        <v>#VALUE!</v>
      </c>
      <c r="F16" s="52" t="e">
        <f>SUM('Dashboard - Attendee'!J121:'Dashboard - Attendee'!L121)</f>
        <v>#VALUE!</v>
      </c>
      <c r="G16" s="52" t="e">
        <f>SUM('Dashboard - Attendee'!M121:'Dashboard - Attendee'!O121)</f>
        <v>#VALUE!</v>
      </c>
      <c r="H16" s="54" t="e">
        <f>SUM(Table5[[#This Row],[Q1]:[Q4]])</f>
        <v>#VALUE!</v>
      </c>
      <c r="I16" s="49" t="s">
        <v>79</v>
      </c>
    </row>
    <row r="17" spans="3:16" s="2" customFormat="1">
      <c r="C17" s="51" t="s">
        <v>54</v>
      </c>
      <c r="D17" s="52" t="e">
        <f>IF(D16&gt;D15,0,(D15-D16))</f>
        <v>#VALUE!</v>
      </c>
      <c r="E17" s="52" t="e">
        <f>IF(E16&gt;E15,0,(E15-E16))</f>
        <v>#VALUE!</v>
      </c>
      <c r="F17" s="52" t="e">
        <f>IF(F16&gt;F15,0,(F15-F16))</f>
        <v>#VALUE!</v>
      </c>
      <c r="G17" s="52" t="e">
        <f>IF(G16&gt;G15,0,(G15-G16))</f>
        <v>#VALUE!</v>
      </c>
      <c r="H17" s="55" t="e">
        <f>SUM(Table5[[#This Row],[Q1]:[Q4]])</f>
        <v>#VALUE!</v>
      </c>
    </row>
    <row r="18" spans="3:16" s="2" customFormat="1">
      <c r="C18" s="56" t="s">
        <v>53</v>
      </c>
      <c r="D18" s="57" t="e">
        <f>IF(D15&gt;D16,0,(D16-D15))</f>
        <v>#VALUE!</v>
      </c>
      <c r="E18" s="57" t="e">
        <f>IF(E15&gt;E16,0,(E16-E15))</f>
        <v>#VALUE!</v>
      </c>
      <c r="F18" s="57" t="e">
        <f>IF(F15&gt;F16,0,(F16-F15))</f>
        <v>#VALUE!</v>
      </c>
      <c r="G18" s="57" t="e">
        <f>IF(G15&gt;G16,0,(G16-G15))</f>
        <v>#VALUE!</v>
      </c>
      <c r="H18" s="58" t="e">
        <f>SUM(Table5[[#This Row],[Q1]:[Q4]])</f>
        <v>#VALUE!</v>
      </c>
    </row>
    <row r="19" spans="3:16" s="2" customFormat="1">
      <c r="C19" s="6"/>
    </row>
    <row r="20" spans="3:16" s="2" customFormat="1" ht="15.75" thickBot="1">
      <c r="C20" s="6"/>
    </row>
    <row r="21" spans="3:16" s="2" customFormat="1" ht="15.75" thickBot="1">
      <c r="C21" s="112" t="s">
        <v>101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4"/>
    </row>
    <row r="22" spans="3:16" ht="25.5">
      <c r="C22" s="22" t="s">
        <v>80</v>
      </c>
      <c r="D22" s="21" t="s">
        <v>37</v>
      </c>
      <c r="E22" s="21" t="s">
        <v>38</v>
      </c>
      <c r="F22" s="21" t="s">
        <v>39</v>
      </c>
      <c r="G22" s="21" t="s">
        <v>40</v>
      </c>
      <c r="H22" s="21" t="s">
        <v>41</v>
      </c>
      <c r="I22" s="21" t="s">
        <v>42</v>
      </c>
      <c r="J22" s="21" t="s">
        <v>43</v>
      </c>
      <c r="K22" s="21" t="s">
        <v>44</v>
      </c>
      <c r="L22" s="21" t="s">
        <v>45</v>
      </c>
      <c r="M22" s="21" t="s">
        <v>46</v>
      </c>
      <c r="N22" s="21" t="s">
        <v>47</v>
      </c>
      <c r="O22" s="21" t="s">
        <v>48</v>
      </c>
      <c r="P22" s="22" t="s">
        <v>28</v>
      </c>
    </row>
    <row r="23" spans="3:16">
      <c r="C23" s="19" t="str">
        <f>DataSheet!G1</f>
        <v>Regular</v>
      </c>
      <c r="D23" s="3" t="e">
        <f>SUMPRODUCT(--(Roster_Status="Workshop Completed"),--(Roster_WorkshopType=$C$23),--(MONTH(Roster_WorkshopDate)=1),--(YEAR(Roster_WorkshopDate)=$D$11),Roster_NoOfAttendees)</f>
        <v>#VALUE!</v>
      </c>
      <c r="E23" s="3" t="e">
        <f>SUMPRODUCT(--(Roster_Status="Workshop Completed"),--(Roster_WorkshopType=$C$23),--(MONTH(Roster_WorkshopDate)=2),--(YEAR(Roster_WorkshopDate)=$D$11),Roster_NoOfAttendees)</f>
        <v>#VALUE!</v>
      </c>
      <c r="F23" s="3" t="e">
        <f>SUMPRODUCT(--(Roster_Status="Workshop Completed"),--(Roster_WorkshopType=$C$23),--(MONTH(Roster_WorkshopDate)=3),--(YEAR(Roster_WorkshopDate)=$D$11),Roster_NoOfAttendees)</f>
        <v>#VALUE!</v>
      </c>
      <c r="G23" s="3" t="e">
        <f>SUMPRODUCT(--(Roster_Status="Workshop Completed"),--(Roster_WorkshopType=$C$23),--(MONTH(Roster_WorkshopDate)=4),--(YEAR(Roster_WorkshopDate)=$D$11),Roster_NoOfAttendees)</f>
        <v>#VALUE!</v>
      </c>
      <c r="H23" s="3" t="e">
        <f>SUMPRODUCT(--(Roster_Status="Workshop Completed"),--(Roster_WorkshopType=$C$23),--(MONTH(Roster_WorkshopDate)=5),--(YEAR(Roster_WorkshopDate)=$D$11),Roster_NoOfAttendees)</f>
        <v>#VALUE!</v>
      </c>
      <c r="I23" s="3" t="e">
        <f>SUMPRODUCT(--(Roster_Status="Workshop Completed"),--(Roster_WorkshopType=$C$23),--(MONTH(Roster_WorkshopDate)=6),--(YEAR(Roster_WorkshopDate)=$D$11),Roster_NoOfAttendees)</f>
        <v>#VALUE!</v>
      </c>
      <c r="J23" s="3" t="e">
        <f>SUMPRODUCT(--(Roster_Status="Workshop Completed"),--(Roster_WorkshopType=$C$23),--(MONTH(Roster_WorkshopDate)=7),--(YEAR(Roster_WorkshopDate)=$D$11),Roster_NoOfAttendees)</f>
        <v>#VALUE!</v>
      </c>
      <c r="K23" s="3" t="e">
        <f>SUMPRODUCT(--(Roster_Status="Workshop Completed"),--(Roster_WorkshopType=$C$23),--(MONTH(Roster_WorkshopDate)=8),--(YEAR(Roster_WorkshopDate)=$D$11),Roster_NoOfAttendees)</f>
        <v>#VALUE!</v>
      </c>
      <c r="L23" s="3" t="e">
        <f>SUMPRODUCT(--(Roster_Status="Workshop Completed"),--(Roster_WorkshopType=$C$23),--(MONTH(Roster_WorkshopDate)=9),--(YEAR(Roster_WorkshopDate)=$D$11),Roster_NoOfAttendees)</f>
        <v>#VALUE!</v>
      </c>
      <c r="M23" s="3" t="e">
        <f>SUMPRODUCT(--(Roster_Status="Workshop Completed"),--(Roster_WorkshopType=$C$23),--(MONTH(Roster_WorkshopDate)=10),--(YEAR(Roster_WorkshopDate)=$D$11),Roster_NoOfAttendees)</f>
        <v>#VALUE!</v>
      </c>
      <c r="N23" s="3" t="e">
        <f>SUMPRODUCT(--(Roster_Status="Workshop Completed"),--(Roster_WorkshopType=$C$23),--(MONTH(Roster_WorkshopDate)=11),--(YEAR(Roster_WorkshopDate)=$D$11),Roster_NoOfAttendees)</f>
        <v>#VALUE!</v>
      </c>
      <c r="O23" s="3" t="e">
        <f>SUMPRODUCT(--(Roster_Status="Workshop Completed"),--(Roster_WorkshopType=$C$23),--(MONTH(Roster_WorkshopDate)=12),--(YEAR(Roster_WorkshopDate)=$D$11),Roster_NoOfAttendees)</f>
        <v>#VALUE!</v>
      </c>
      <c r="P23" s="30" t="e">
        <f>SUM(Table2127[[#This Row],[Jan]:[Dec]])</f>
        <v>#VALUE!</v>
      </c>
    </row>
    <row r="24" spans="3:16">
      <c r="C24" s="1" t="str">
        <f>DataSheet!G2</f>
        <v>Awareness</v>
      </c>
      <c r="D24" s="3" t="e">
        <f>SUMPRODUCT(--(Roster_Status="Workshop Completed"),--(Roster_WorkshopType=$C$24),--(MONTH(Roster_WorkshopDate)=1),--(YEAR(Roster_WorkshopDate)=$D$11),Roster_NoOfAttendees)</f>
        <v>#VALUE!</v>
      </c>
      <c r="E24" s="3" t="e">
        <f>SUMPRODUCT(--(Roster_Status="Workshop Completed"),--(Roster_WorkshopType=$C$24),--(MONTH(Roster_WorkshopDate)=2),--(YEAR(Roster_WorkshopDate)=$D$11),Roster_NoOfAttendees)</f>
        <v>#VALUE!</v>
      </c>
      <c r="F24" s="3" t="e">
        <f>SUMPRODUCT(--(Roster_Status="Workshop Completed"),--(Roster_WorkshopType=$C$24),--(MONTH(Roster_WorkshopDate)=3),--(YEAR(Roster_WorkshopDate)=$D$11),Roster_NoOfAttendees)</f>
        <v>#VALUE!</v>
      </c>
      <c r="G24" s="3" t="e">
        <f>SUMPRODUCT(--(Roster_Status="Workshop Completed"),--(Roster_WorkshopType=$C$24),--(MONTH(Roster_WorkshopDate)=4),--(YEAR(Roster_WorkshopDate)=$D$11),Roster_NoOfAttendees)</f>
        <v>#VALUE!</v>
      </c>
      <c r="H24" s="3" t="e">
        <f>SUMPRODUCT(--(Roster_Status="Workshop Completed"),--(Roster_WorkshopType=$C$24),--(MONTH(Roster_WorkshopDate)=5),--(YEAR(Roster_WorkshopDate)=$D$11),Roster_NoOfAttendees)</f>
        <v>#VALUE!</v>
      </c>
      <c r="I24" s="3" t="e">
        <f>SUMPRODUCT(--(Roster_Status="Workshop Completed"),--(Roster_WorkshopType=$C$24),--(MONTH(Roster_WorkshopDate)=6),--(YEAR(Roster_WorkshopDate)=$D$11),Roster_NoOfAttendees)</f>
        <v>#VALUE!</v>
      </c>
      <c r="J24" s="3" t="e">
        <f>SUMPRODUCT(--(Roster_Status="Workshop Completed"),--(Roster_WorkshopType=$C$24),--(MONTH(Roster_WorkshopDate)=7),--(YEAR(Roster_WorkshopDate)=$D$11),Roster_NoOfAttendees)</f>
        <v>#VALUE!</v>
      </c>
      <c r="K24" s="3" t="e">
        <f>SUMPRODUCT(--(Roster_Status="Workshop Completed"),--(Roster_WorkshopType=$C$24),--(MONTH(Roster_WorkshopDate)=8),--(YEAR(Roster_WorkshopDate)=$D$11),Roster_NoOfAttendees)</f>
        <v>#VALUE!</v>
      </c>
      <c r="L24" s="3" t="e">
        <f>SUMPRODUCT(--(Roster_Status="Workshop Completed"),--(Roster_WorkshopType=$C$24),--(MONTH(Roster_WorkshopDate)=9),--(YEAR(Roster_WorkshopDate)=$D$11),Roster_NoOfAttendees)</f>
        <v>#VALUE!</v>
      </c>
      <c r="M24" s="3" t="e">
        <f>SUMPRODUCT(--(Roster_Status="Workshop Completed"),--(Roster_WorkshopType=$C$24),--(MONTH(Roster_WorkshopDate)=10),--(YEAR(Roster_WorkshopDate)=$D$11),Roster_NoOfAttendees)</f>
        <v>#VALUE!</v>
      </c>
      <c r="N24" s="3" t="e">
        <f>SUMPRODUCT(--(Roster_Status="Workshop Completed"),--(Roster_WorkshopType=$C$24),--(MONTH(Roster_WorkshopDate)=11),--(YEAR(Roster_WorkshopDate)=$D$11),Roster_NoOfAttendees)</f>
        <v>#VALUE!</v>
      </c>
      <c r="O24" s="3" t="e">
        <f>SUMPRODUCT(--(Roster_Status="Workshop Completed"),--(Roster_WorkshopType=$C$24),--(MONTH(Roster_WorkshopDate)=12),--(YEAR(Roster_WorkshopDate)=$D$11),Roster_NoOfAttendees)</f>
        <v>#VALUE!</v>
      </c>
      <c r="P24" s="30" t="e">
        <f>SUM(Table2127[[#This Row],[Jan]:[Dec]])</f>
        <v>#VALUE!</v>
      </c>
    </row>
    <row r="25" spans="3:16">
      <c r="C25" s="19" t="str">
        <f>DataSheet!G3</f>
        <v>Sensitisation</v>
      </c>
      <c r="D25" s="4" t="e">
        <f>SUMPRODUCT(--(Roster_Status="Workshop Completed"),--(Roster_WorkshopType=$C$25),--(MONTH(Roster_WorkshopDate)=1),--(YEAR(Roster_WorkshopDate)=$D$11),Roster_NoOfAttendees)</f>
        <v>#VALUE!</v>
      </c>
      <c r="E25" s="4" t="e">
        <f>SUMPRODUCT(--(Roster_Status="Workshop Completed"),--(Roster_WorkshopType=$C$25),--(MONTH(Roster_WorkshopDate)=2),--(YEAR(Roster_WorkshopDate)=$D$11),Roster_NoOfAttendees)</f>
        <v>#VALUE!</v>
      </c>
      <c r="F25" s="4" t="e">
        <f>SUMPRODUCT(--(Roster_Status="Workshop Completed"),--(Roster_WorkshopType=$C$25),--(MONTH(Roster_WorkshopDate)=3),--(YEAR(Roster_WorkshopDate)=$D$11),Roster_NoOfAttendees)</f>
        <v>#VALUE!</v>
      </c>
      <c r="G25" s="4" t="e">
        <f>SUMPRODUCT(--(Roster_Status="Workshop Completed"),--(Roster_WorkshopType=$C$25),--(MONTH(Roster_WorkshopDate)=4),--(YEAR(Roster_WorkshopDate)=$D$11),Roster_NoOfAttendees)</f>
        <v>#VALUE!</v>
      </c>
      <c r="H25" s="4" t="e">
        <f>SUMPRODUCT(--(Roster_Status="Workshop Completed"),--(Roster_WorkshopType=$C$25),--(MONTH(Roster_WorkshopDate)=5),--(YEAR(Roster_WorkshopDate)=$D$11),Roster_NoOfAttendees)</f>
        <v>#VALUE!</v>
      </c>
      <c r="I25" s="4" t="e">
        <f>SUMPRODUCT(--(Roster_Status="Workshop Completed"),--(Roster_WorkshopType=$C$25),--(MONTH(Roster_WorkshopDate)=6),--(YEAR(Roster_WorkshopDate)=$D$11),Roster_NoOfAttendees)</f>
        <v>#VALUE!</v>
      </c>
      <c r="J25" s="4" t="e">
        <f>SUMPRODUCT(--(Roster_Status="Workshop Completed"),--(Roster_WorkshopType=$C$25),--(MONTH(Roster_WorkshopDate)=7),--(YEAR(Roster_WorkshopDate)=$D$11),Roster_NoOfAttendees)</f>
        <v>#VALUE!</v>
      </c>
      <c r="K25" s="4" t="e">
        <f>SUMPRODUCT(--(Roster_Status="Workshop Completed"),--(Roster_WorkshopType=$C$25),--(MONTH(Roster_WorkshopDate)=8),--(YEAR(Roster_WorkshopDate)=$D$11),Roster_NoOfAttendees)</f>
        <v>#VALUE!</v>
      </c>
      <c r="L25" s="4" t="e">
        <f>SUMPRODUCT(--(Roster_Status="Workshop Completed"),--(Roster_WorkshopType=$C$25),--(MONTH(Roster_WorkshopDate)=9),--(YEAR(Roster_WorkshopDate)=$D$11),Roster_NoOfAttendees)</f>
        <v>#VALUE!</v>
      </c>
      <c r="M25" s="4" t="e">
        <f>SUMPRODUCT(--(Roster_Status="Workshop Completed"),--(Roster_WorkshopType=$C$25),--(MONTH(Roster_WorkshopDate)=10),--(YEAR(Roster_WorkshopDate)=$D$11),Roster_NoOfAttendees)</f>
        <v>#VALUE!</v>
      </c>
      <c r="N25" s="4" t="e">
        <f>SUMPRODUCT(--(Roster_Status="Workshop Completed"),--(Roster_WorkshopType=$C$25),--(MONTH(Roster_WorkshopDate)=11),--(YEAR(Roster_WorkshopDate)=$D$11),Roster_NoOfAttendees)</f>
        <v>#VALUE!</v>
      </c>
      <c r="O25" s="4" t="e">
        <f>SUMPRODUCT(--(Roster_Status="Workshop Completed"),--(Roster_WorkshopType=$C$25),--(MONTH(Roster_WorkshopDate)=12),--(YEAR(Roster_WorkshopDate)=$D$11),Roster_NoOfAttendees)</f>
        <v>#VALUE!</v>
      </c>
      <c r="P25" s="30" t="e">
        <f>SUM(Table2127[[#This Row],[Jan]:[Dec]])</f>
        <v>#VALUE!</v>
      </c>
    </row>
    <row r="26" spans="3:16">
      <c r="C26" s="1" t="str">
        <f>DataSheet!G4</f>
        <v>Road Show</v>
      </c>
      <c r="D26" s="4" t="e">
        <f>SUMPRODUCT(--(Roster_Status="Workshop Completed"),--(Roster_WorkshopType=$C$26),--(MONTH(Roster_WorkshopDate)=1),--(YEAR(Roster_WorkshopDate)=$D$11),Roster_NoOfAttendees)</f>
        <v>#VALUE!</v>
      </c>
      <c r="E26" s="4" t="e">
        <f>SUMPRODUCT(--(Roster_Status="Workshop Completed"),--(Roster_WorkshopType=$C$26),--(MONTH(Roster_WorkshopDate)=2),--(YEAR(Roster_WorkshopDate)=$D$11),Roster_NoOfAttendees)</f>
        <v>#VALUE!</v>
      </c>
      <c r="F26" s="4" t="e">
        <f>SUMPRODUCT(--(Roster_Status="Workshop Completed"),--(Roster_WorkshopType=$C$26),--(MONTH(Roster_WorkshopDate)=3),--(YEAR(Roster_WorkshopDate)=$D$11),Roster_NoOfAttendees)</f>
        <v>#VALUE!</v>
      </c>
      <c r="G26" s="4" t="e">
        <f>SUMPRODUCT(--(Roster_Status="Workshop Completed"),--(Roster_WorkshopType=$C$26),--(MONTH(Roster_WorkshopDate)=4),--(YEAR(Roster_WorkshopDate)=$D$11),Roster_NoOfAttendees)</f>
        <v>#VALUE!</v>
      </c>
      <c r="H26" s="4" t="e">
        <f>SUMPRODUCT(--(Roster_Status="Workshop Completed"),--(Roster_WorkshopType=$C$26),--(MONTH(Roster_WorkshopDate)=5),--(YEAR(Roster_WorkshopDate)=$D$11),Roster_NoOfAttendees)</f>
        <v>#VALUE!</v>
      </c>
      <c r="I26" s="4" t="e">
        <f>SUMPRODUCT(--(Roster_Status="Workshop Completed"),--(Roster_WorkshopType=$C$26),--(MONTH(Roster_WorkshopDate)=6),--(YEAR(Roster_WorkshopDate)=$D$11),Roster_NoOfAttendees)</f>
        <v>#VALUE!</v>
      </c>
      <c r="J26" s="4" t="e">
        <f>SUMPRODUCT(--(Roster_Status="Workshop Completed"),--(Roster_WorkshopType=$C$26),--(MONTH(Roster_WorkshopDate)=7),--(YEAR(Roster_WorkshopDate)=$D$11),Roster_NoOfAttendees)</f>
        <v>#VALUE!</v>
      </c>
      <c r="K26" s="4" t="e">
        <f>SUMPRODUCT(--(Roster_Status="Workshop Completed"),--(Roster_WorkshopType=$C$26),--(MONTH(Roster_WorkshopDate)=8),--(YEAR(Roster_WorkshopDate)=$D$11),Roster_NoOfAttendees)</f>
        <v>#VALUE!</v>
      </c>
      <c r="L26" s="4" t="e">
        <f>SUMPRODUCT(--(Roster_Status="Workshop Completed"),--(Roster_WorkshopType=$C$26),--(MONTH(Roster_WorkshopDate)=9),--(YEAR(Roster_WorkshopDate)=$D$11),Roster_NoOfAttendees)</f>
        <v>#VALUE!</v>
      </c>
      <c r="M26" s="4" t="e">
        <f>SUMPRODUCT(--(Roster_Status="Workshop Completed"),--(Roster_WorkshopType=$C$26),--(MONTH(Roster_WorkshopDate)=10),--(YEAR(Roster_WorkshopDate)=$D$11),Roster_NoOfAttendees)</f>
        <v>#VALUE!</v>
      </c>
      <c r="N26" s="4" t="e">
        <f>SUMPRODUCT(--(Roster_Status="Workshop Completed"),--(Roster_WorkshopType=$C$26),--(MONTH(Roster_WorkshopDate)=11),--(YEAR(Roster_WorkshopDate)=$D$11),Roster_NoOfAttendees)</f>
        <v>#VALUE!</v>
      </c>
      <c r="O26" s="4" t="e">
        <f>SUMPRODUCT(--(Roster_Status="Workshop Completed"),--(Roster_WorkshopType=$C$26),--(MONTH(Roster_WorkshopDate)=12),--(YEAR(Roster_WorkshopDate)=$D$11),Roster_NoOfAttendees)</f>
        <v>#VALUE!</v>
      </c>
      <c r="P26" s="31" t="e">
        <f>SUM(Table2127[[#This Row],[Jan]:[Dec]])</f>
        <v>#VALUE!</v>
      </c>
    </row>
    <row r="27" spans="3:16">
      <c r="C27" s="20" t="str">
        <f>DataSheet!G5</f>
        <v>Golden Hour Fellow Programme</v>
      </c>
      <c r="D27" s="4" t="e">
        <f>SUMPRODUCT(--(Roster_Status="Workshop Completed"),--(Roster_WorkshopType=$C$27),--(MONTH(Roster_WorkshopDate)=1),--(YEAR(Roster_WorkshopDate)=$D$11),Roster_NoOfAttendees)</f>
        <v>#VALUE!</v>
      </c>
      <c r="E27" s="4" t="e">
        <f>SUMPRODUCT(--(Roster_Status="Workshop Completed"),--(Roster_WorkshopType=$C$27),--(MONTH(Roster_WorkshopDate)=2),--(YEAR(Roster_WorkshopDate)=$D$11),Roster_NoOfAttendees)</f>
        <v>#VALUE!</v>
      </c>
      <c r="F27" s="4" t="e">
        <f>SUMPRODUCT(--(Roster_Status="Workshop Completed"),--(Roster_WorkshopType=$C$27),--(MONTH(Roster_WorkshopDate)=3),--(YEAR(Roster_WorkshopDate)=$D$11),Roster_NoOfAttendees)</f>
        <v>#VALUE!</v>
      </c>
      <c r="G27" s="4" t="e">
        <f>SUMPRODUCT(--(Roster_Status="Workshop Completed"),--(Roster_WorkshopType=$C$27),--(MONTH(Roster_WorkshopDate)=4),--(YEAR(Roster_WorkshopDate)=$D$11),Roster_NoOfAttendees)</f>
        <v>#VALUE!</v>
      </c>
      <c r="H27" s="4" t="e">
        <f>SUMPRODUCT(--(Roster_Status="Workshop Completed"),--(Roster_WorkshopType=$C$27),--(MONTH(Roster_WorkshopDate)=5),--(YEAR(Roster_WorkshopDate)=$D$11),Roster_NoOfAttendees)</f>
        <v>#VALUE!</v>
      </c>
      <c r="I27" s="4" t="e">
        <f>SUMPRODUCT(--(Roster_Status="Workshop Completed"),--(Roster_WorkshopType=$C$27),--(MONTH(Roster_WorkshopDate)=6),--(YEAR(Roster_WorkshopDate)=$D$11),Roster_NoOfAttendees)</f>
        <v>#VALUE!</v>
      </c>
      <c r="J27" s="4" t="e">
        <f>SUMPRODUCT(--(Roster_Status="Workshop Completed"),--(Roster_WorkshopType=$C$27),--(MONTH(Roster_WorkshopDate)=7),--(YEAR(Roster_WorkshopDate)=$D$11),Roster_NoOfAttendees)</f>
        <v>#VALUE!</v>
      </c>
      <c r="K27" s="4" t="e">
        <f>SUMPRODUCT(--(Roster_Status="Workshop Completed"),--(Roster_WorkshopType=$C$27),--(MONTH(Roster_WorkshopDate)=8),--(YEAR(Roster_WorkshopDate)=$D$11),Roster_NoOfAttendees)</f>
        <v>#VALUE!</v>
      </c>
      <c r="L27" s="4" t="e">
        <f>SUMPRODUCT(--(Roster_Status="Workshop Completed"),--(Roster_WorkshopType=$C$27),--(MONTH(Roster_WorkshopDate)=9),--(YEAR(Roster_WorkshopDate)=$D$11),Roster_NoOfAttendees)</f>
        <v>#VALUE!</v>
      </c>
      <c r="M27" s="4" t="e">
        <f>SUMPRODUCT(--(Roster_Status="Workshop Completed"),--(Roster_WorkshopType=$C$27),--(MONTH(Roster_WorkshopDate)=10),--(YEAR(Roster_WorkshopDate)=$D$11),Roster_NoOfAttendees)</f>
        <v>#VALUE!</v>
      </c>
      <c r="N27" s="4" t="e">
        <f>SUMPRODUCT(--(Roster_Status="Workshop Completed"),--(Roster_WorkshopType=$C$27),--(MONTH(Roster_WorkshopDate)=11),--(YEAR(Roster_WorkshopDate)=$D$11),Roster_NoOfAttendees)</f>
        <v>#VALUE!</v>
      </c>
      <c r="O27" s="4" t="e">
        <f>SUMPRODUCT(--(Roster_Status="Workshop Completed"),--(Roster_WorkshopType=$C$27),--(MONTH(Roster_WorkshopDate)=12),--(YEAR(Roster_WorkshopDate)=$D$11),Roster_NoOfAttendees)</f>
        <v>#VALUE!</v>
      </c>
      <c r="P27" s="31" t="e">
        <f>SUM(Table2127[[#This Row],[Jan]:[Dec]])</f>
        <v>#VALUE!</v>
      </c>
    </row>
    <row r="28" spans="3:16" s="2" customFormat="1" hidden="1">
      <c r="C28" s="20">
        <f>DataSheet!G6</f>
        <v>0</v>
      </c>
      <c r="D28" s="4" t="e">
        <f>SUMPRODUCT(--(Roster_Status="Workshop Completed"),--(Roster_WorkshopType=$C$28),--(MONTH(Roster_WorkshopDate)=1),--(YEAR(Roster_WorkshopDate)=$D$11),Roster_NoOfAttendees)</f>
        <v>#VALUE!</v>
      </c>
      <c r="E28" s="4" t="e">
        <f>SUMPRODUCT(--(Roster_Status="Workshop Completed"),--(Roster_WorkshopType=$C$28),--(MONTH(Roster_WorkshopDate)=2),--(YEAR(Roster_WorkshopDate)=$D$11),Roster_NoOfAttendees)</f>
        <v>#VALUE!</v>
      </c>
      <c r="F28" s="4" t="e">
        <f>SUMPRODUCT(--(Roster_Status="Workshop Completed"),--(Roster_WorkshopType=$C$28),--(MONTH(Roster_WorkshopDate)=3),--(YEAR(Roster_WorkshopDate)=$D$11),Roster_NoOfAttendees)</f>
        <v>#VALUE!</v>
      </c>
      <c r="G28" s="4" t="e">
        <f>SUMPRODUCT(--(Roster_Status="Workshop Completed"),--(Roster_WorkshopType=$C$28),--(MONTH(Roster_WorkshopDate)=4),--(YEAR(Roster_WorkshopDate)=$D$11),Roster_NoOfAttendees)</f>
        <v>#VALUE!</v>
      </c>
      <c r="H28" s="4" t="e">
        <f>SUMPRODUCT(--(Roster_Status="Workshop Completed"),--(Roster_WorkshopType=$C$28),--(MONTH(Roster_WorkshopDate)=5),--(YEAR(Roster_WorkshopDate)=$D$11),Roster_NoOfAttendees)</f>
        <v>#VALUE!</v>
      </c>
      <c r="I28" s="4" t="e">
        <f>SUMPRODUCT(--(Roster_Status="Workshop Completed"),--(Roster_WorkshopType=$C$28),--(MONTH(Roster_WorkshopDate)=6),--(YEAR(Roster_WorkshopDate)=$D$11),Roster_NoOfAttendees)</f>
        <v>#VALUE!</v>
      </c>
      <c r="J28" s="4" t="e">
        <f>SUMPRODUCT(--(Roster_Status="Workshop Completed"),--(Roster_WorkshopType=$C$28),--(MONTH(Roster_WorkshopDate)=7),--(YEAR(Roster_WorkshopDate)=$D$11),Roster_NoOfAttendees)</f>
        <v>#VALUE!</v>
      </c>
      <c r="K28" s="4" t="e">
        <f>SUMPRODUCT(--(Roster_Status="Workshop Completed"),--(Roster_WorkshopType=$C$28),--(MONTH(Roster_WorkshopDate)=8),--(YEAR(Roster_WorkshopDate)=$D$11),Roster_NoOfAttendees)</f>
        <v>#VALUE!</v>
      </c>
      <c r="L28" s="4" t="e">
        <f>SUMPRODUCT(--(Roster_Status="Workshop Completed"),--(Roster_WorkshopType=$C$28),--(MONTH(Roster_WorkshopDate)=9),--(YEAR(Roster_WorkshopDate)=$D$11),Roster_NoOfAttendees)</f>
        <v>#VALUE!</v>
      </c>
      <c r="M28" s="4" t="e">
        <f>SUMPRODUCT(--(Roster_Status="Workshop Completed"),--(Roster_WorkshopType=$C$28),--(MONTH(Roster_WorkshopDate)=10),--(YEAR(Roster_WorkshopDate)=$D$11),Roster_NoOfAttendees)</f>
        <v>#VALUE!</v>
      </c>
      <c r="N28" s="4" t="e">
        <f>SUMPRODUCT(--(Roster_Status="Workshop Completed"),--(Roster_WorkshopType=$C$28),--(MONTH(Roster_WorkshopDate)=11),--(YEAR(Roster_WorkshopDate)=$D$11),Roster_NoOfAttendees)</f>
        <v>#VALUE!</v>
      </c>
      <c r="O28" s="4" t="e">
        <f>SUMPRODUCT(--(Roster_Status="Workshop Completed"),--(Roster_WorkshopType=$C$28),--(MONTH(Roster_WorkshopDate)=12),--(YEAR(Roster_WorkshopDate)=$D$11),Roster_NoOfAttendees)</f>
        <v>#VALUE!</v>
      </c>
      <c r="P28" s="31" t="e">
        <f>SUM(Table2127[[#This Row],[Jan]:[Dec]])</f>
        <v>#VALUE!</v>
      </c>
    </row>
    <row r="29" spans="3:16" s="2" customFormat="1" hidden="1">
      <c r="C29" s="20">
        <f>DataSheet!G7</f>
        <v>0</v>
      </c>
      <c r="D29" s="4" t="e">
        <f>SUMPRODUCT(--(Roster_Status="Workshop Completed"),--(Roster_WorkshopType=$C$29),--(MONTH(Roster_WorkshopDate)=1),--(YEAR(Roster_WorkshopDate)=$D$11),Roster_NoOfAttendees)</f>
        <v>#VALUE!</v>
      </c>
      <c r="E29" s="4" t="e">
        <f>SUMPRODUCT(--(Roster_Status="Workshop Completed"),--(Roster_WorkshopType=$C$29),--(MONTH(Roster_WorkshopDate)=2),--(YEAR(Roster_WorkshopDate)=$D$11),Roster_NoOfAttendees)</f>
        <v>#VALUE!</v>
      </c>
      <c r="F29" s="4" t="e">
        <f>SUMPRODUCT(--(Roster_Status="Workshop Completed"),--(Roster_WorkshopType=$C$29),--(MONTH(Roster_WorkshopDate)=3),--(YEAR(Roster_WorkshopDate)=$D$11),Roster_NoOfAttendees)</f>
        <v>#VALUE!</v>
      </c>
      <c r="G29" s="4" t="e">
        <f>SUMPRODUCT(--(Roster_Status="Workshop Completed"),--(Roster_WorkshopType=$C$29),--(MONTH(Roster_WorkshopDate)=4),--(YEAR(Roster_WorkshopDate)=$D$11),Roster_NoOfAttendees)</f>
        <v>#VALUE!</v>
      </c>
      <c r="H29" s="4" t="e">
        <f>SUMPRODUCT(--(Roster_Status="Workshop Completed"),--(Roster_WorkshopType=$C$29),--(MONTH(Roster_WorkshopDate)=5),--(YEAR(Roster_WorkshopDate)=$D$11),Roster_NoOfAttendees)</f>
        <v>#VALUE!</v>
      </c>
      <c r="I29" s="4" t="e">
        <f>SUMPRODUCT(--(Roster_Status="Workshop Completed"),--(Roster_WorkshopType=$C$29),--(MONTH(Roster_WorkshopDate)=6),--(YEAR(Roster_WorkshopDate)=$D$11),Roster_NoOfAttendees)</f>
        <v>#VALUE!</v>
      </c>
      <c r="J29" s="4" t="e">
        <f>SUMPRODUCT(--(Roster_Status="Workshop Completed"),--(Roster_WorkshopType=$C$29),--(MONTH(Roster_WorkshopDate)=7),--(YEAR(Roster_WorkshopDate)=$D$11),Roster_NoOfAttendees)</f>
        <v>#VALUE!</v>
      </c>
      <c r="K29" s="4" t="e">
        <f>SUMPRODUCT(--(Roster_Status="Workshop Completed"),--(Roster_WorkshopType=$C$29),--(MONTH(Roster_WorkshopDate)=8),--(YEAR(Roster_WorkshopDate)=$D$11),Roster_NoOfAttendees)</f>
        <v>#VALUE!</v>
      </c>
      <c r="L29" s="4" t="e">
        <f>SUMPRODUCT(--(Roster_Status="Workshop Completed"),--(Roster_WorkshopType=$C$29),--(MONTH(Roster_WorkshopDate)=9),--(YEAR(Roster_WorkshopDate)=$D$11),Roster_NoOfAttendees)</f>
        <v>#VALUE!</v>
      </c>
      <c r="M29" s="4" t="e">
        <f>SUMPRODUCT(--(Roster_Status="Workshop Completed"),--(Roster_WorkshopType=$C$29),--(MONTH(Roster_WorkshopDate)=10),--(YEAR(Roster_WorkshopDate)=$D$11),Roster_NoOfAttendees)</f>
        <v>#VALUE!</v>
      </c>
      <c r="N29" s="4" t="e">
        <f>SUMPRODUCT(--(Roster_Status="Workshop Completed"),--(Roster_WorkshopType=$C$29),--(MONTH(Roster_WorkshopDate)=11),--(YEAR(Roster_WorkshopDate)=$D$11),Roster_NoOfAttendees)</f>
        <v>#VALUE!</v>
      </c>
      <c r="O29" s="4" t="e">
        <f>SUMPRODUCT(--(Roster_Status="Workshop Completed"),--(Roster_WorkshopType=$C$29),--(MONTH(Roster_WorkshopDate)=12),--(YEAR(Roster_WorkshopDate)=$D$11),Roster_NoOfAttendees)</f>
        <v>#VALUE!</v>
      </c>
      <c r="P29" s="31" t="e">
        <f>SUM(Table2127[[#This Row],[Jan]:[Dec]])</f>
        <v>#VALUE!</v>
      </c>
    </row>
    <row r="30" spans="3:16" s="2" customFormat="1">
      <c r="C30" s="20">
        <f>DataSheet!G8</f>
        <v>0</v>
      </c>
      <c r="D30" s="4" t="e">
        <f>SUMPRODUCT(--(Roster_Status="Workshop Completed"),--(Roster_WorkshopType=$C$30),--(MONTH(Roster_WorkshopDate)=1),--(YEAR(Roster_WorkshopDate)=$D$11),Roster_NoOfAttendees)</f>
        <v>#VALUE!</v>
      </c>
      <c r="E30" s="4" t="e">
        <f>SUMPRODUCT(--(Roster_Status="Workshop Completed"),--(Roster_WorkshopType=$C$30),--(MONTH(Roster_WorkshopDate)=2),--(YEAR(Roster_WorkshopDate)=$D$11),Roster_NoOfAttendees)</f>
        <v>#VALUE!</v>
      </c>
      <c r="F30" s="4" t="e">
        <f>SUMPRODUCT(--(Roster_Status="Workshop Completed"),--(Roster_WorkshopType=$C$30),--(MONTH(Roster_WorkshopDate)=3),--(YEAR(Roster_WorkshopDate)=$D$11),Roster_NoOfAttendees)</f>
        <v>#VALUE!</v>
      </c>
      <c r="G30" s="4" t="e">
        <f>SUMPRODUCT(--(Roster_Status="Workshop Completed"),--(Roster_WorkshopType=$C$30),--(MONTH(Roster_WorkshopDate)=4),--(YEAR(Roster_WorkshopDate)=$D$11),Roster_NoOfAttendees)</f>
        <v>#VALUE!</v>
      </c>
      <c r="H30" s="4" t="e">
        <f>SUMPRODUCT(--(Roster_Status="Workshop Completed"),--(Roster_WorkshopType=$C$30),--(MONTH(Roster_WorkshopDate)=5),--(YEAR(Roster_WorkshopDate)=$D$11),Roster_NoOfAttendees)</f>
        <v>#VALUE!</v>
      </c>
      <c r="I30" s="4" t="e">
        <f>SUMPRODUCT(--(Roster_Status="Workshop Completed"),--(Roster_WorkshopType=$C$30),--(MONTH(Roster_WorkshopDate)=6),--(YEAR(Roster_WorkshopDate)=$D$11),Roster_NoOfAttendees)</f>
        <v>#VALUE!</v>
      </c>
      <c r="J30" s="4" t="e">
        <f>SUMPRODUCT(--(Roster_Status="Workshop Completed"),--(Roster_WorkshopType=$C$30),--(MONTH(Roster_WorkshopDate)=7),--(YEAR(Roster_WorkshopDate)=$D$11),Roster_NoOfAttendees)</f>
        <v>#VALUE!</v>
      </c>
      <c r="K30" s="4" t="e">
        <f>SUMPRODUCT(--(Roster_Status="Workshop Completed"),--(Roster_WorkshopType=$C$30),--(MONTH(Roster_WorkshopDate)=8),--(YEAR(Roster_WorkshopDate)=$D$11),Roster_NoOfAttendees)</f>
        <v>#VALUE!</v>
      </c>
      <c r="L30" s="4" t="e">
        <f>SUMPRODUCT(--(Roster_Status="Workshop Completed"),--(Roster_WorkshopType=$C$30),--(MONTH(Roster_WorkshopDate)=9),--(YEAR(Roster_WorkshopDate)=$D$11),Roster_NoOfAttendees)</f>
        <v>#VALUE!</v>
      </c>
      <c r="M30" s="4" t="e">
        <f>SUMPRODUCT(--(Roster_Status="Workshop Completed"),--(Roster_WorkshopType=$C$30),--(MONTH(Roster_WorkshopDate)=10),--(YEAR(Roster_WorkshopDate)=$D$11),Roster_NoOfAttendees)</f>
        <v>#VALUE!</v>
      </c>
      <c r="N30" s="4" t="e">
        <f>SUMPRODUCT(--(Roster_Status="Workshop Completed"),--(Roster_WorkshopType=$C$30),--(MONTH(Roster_WorkshopDate)=11),--(YEAR(Roster_WorkshopDate)=$D$11),Roster_NoOfAttendees)</f>
        <v>#VALUE!</v>
      </c>
      <c r="O30" s="4" t="e">
        <f>SUMPRODUCT(--(Roster_Status="Workshop Completed"),--(Roster_WorkshopType=$C$30),--(MONTH(Roster_WorkshopDate)=12),--(YEAR(Roster_WorkshopDate)=$D$11),Roster_NoOfAttendees)</f>
        <v>#VALUE!</v>
      </c>
      <c r="P30" s="31" t="e">
        <f>SUM(Table2127[[#This Row],[Jan]:[Dec]])</f>
        <v>#VALUE!</v>
      </c>
    </row>
    <row r="31" spans="3:16" s="2" customFormat="1"/>
    <row r="32" spans="3:16" s="2" customFormat="1" ht="15.75" thickBot="1"/>
    <row r="33" spans="3:16" ht="15.75" thickBot="1">
      <c r="C33" s="115" t="s">
        <v>102</v>
      </c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7"/>
    </row>
    <row r="34" spans="3:16" s="2" customFormat="1" ht="25.5">
      <c r="C34" s="23" t="s">
        <v>61</v>
      </c>
      <c r="D34" s="24" t="s">
        <v>37</v>
      </c>
      <c r="E34" s="24" t="s">
        <v>38</v>
      </c>
      <c r="F34" s="24" t="s">
        <v>39</v>
      </c>
      <c r="G34" s="24" t="s">
        <v>40</v>
      </c>
      <c r="H34" s="24" t="s">
        <v>41</v>
      </c>
      <c r="I34" s="24" t="s">
        <v>42</v>
      </c>
      <c r="J34" s="24" t="s">
        <v>43</v>
      </c>
      <c r="K34" s="24" t="s">
        <v>44</v>
      </c>
      <c r="L34" s="24" t="s">
        <v>45</v>
      </c>
      <c r="M34" s="24" t="s">
        <v>46</v>
      </c>
      <c r="N34" s="24" t="s">
        <v>47</v>
      </c>
      <c r="O34" s="24" t="s">
        <v>48</v>
      </c>
      <c r="P34" s="23" t="s">
        <v>28</v>
      </c>
    </row>
    <row r="35" spans="3:16" s="2" customFormat="1">
      <c r="C35" s="19" t="s">
        <v>63</v>
      </c>
      <c r="D35" s="3" t="e">
        <f>SUMPRODUCT(--(Roster_Status="Workshop Completed"),--(MONTH(Roster_WorkshopDate)=1),--(YEAR(Roster_WorkshopDate)=$D$11),Roster_NoOfCertificate)</f>
        <v>#VALUE!</v>
      </c>
      <c r="E35" s="3" t="e">
        <f>SUMPRODUCT(--(Roster_Status="Workshop Completed"),--(MONTH(Roster_WorkshopDate)=2),--(YEAR(Roster_WorkshopDate)=$D$11),Roster_NoOfCertificate)</f>
        <v>#VALUE!</v>
      </c>
      <c r="F35" s="3" t="e">
        <f>SUMPRODUCT(--(Roster_Status="Workshop Completed"),--(MONTH(Roster_WorkshopDate)=3),--(YEAR(Roster_WorkshopDate)=$D$11),Roster_NoOfCertificate)</f>
        <v>#VALUE!</v>
      </c>
      <c r="G35" s="3" t="e">
        <f>SUMPRODUCT(--(Roster_Status="Workshop Completed"),--(MONTH(Roster_WorkshopDate)=4),--(YEAR(Roster_WorkshopDate)=$D$11),Roster_NoOfCertificate)</f>
        <v>#VALUE!</v>
      </c>
      <c r="H35" s="3" t="e">
        <f>SUMPRODUCT(--(Roster_Status="Workshop Completed"),--(MONTH(Roster_WorkshopDate)=5),--(YEAR(Roster_WorkshopDate)=$D$11),Roster_NoOfCertificate)</f>
        <v>#VALUE!</v>
      </c>
      <c r="I35" s="3" t="e">
        <f>SUMPRODUCT(--(Roster_Status="Workshop Completed"),--(MONTH(Roster_WorkshopDate)=6),--(YEAR(Roster_WorkshopDate)=$D$11),Roster_NoOfCertificate)</f>
        <v>#VALUE!</v>
      </c>
      <c r="J35" s="3" t="e">
        <f>SUMPRODUCT(--(Roster_Status="Workshop Completed"),--(MONTH(Roster_WorkshopDate)=7),--(YEAR(Roster_WorkshopDate)=$D$11),Roster_NoOfCertificate)</f>
        <v>#VALUE!</v>
      </c>
      <c r="K35" s="3" t="e">
        <f>SUMPRODUCT(--(Roster_Status="Workshop Completed"),--(MONTH(Roster_WorkshopDate)=8),--(YEAR(Roster_WorkshopDate)=$D$11),Roster_NoOfCertificate)</f>
        <v>#VALUE!</v>
      </c>
      <c r="L35" s="3" t="e">
        <f>SUMPRODUCT(--(Roster_Status="Workshop Completed"),--(MONTH(Roster_WorkshopDate)=9),--(YEAR(Roster_WorkshopDate)=$D$11),Roster_NoOfCertificate)</f>
        <v>#VALUE!</v>
      </c>
      <c r="M35" s="3" t="e">
        <f>SUMPRODUCT(--(Roster_Status="Workshop Completed"),--(MONTH(Roster_WorkshopDate)=10),--(YEAR(Roster_WorkshopDate)=$D$11),Roster_NoOfCertificate)</f>
        <v>#VALUE!</v>
      </c>
      <c r="N35" s="3" t="e">
        <f>SUMPRODUCT(--(Roster_Status="Workshop Completed"),--(MONTH(Roster_WorkshopDate)=11),--(YEAR(Roster_WorkshopDate)=$D$11),Roster_NoOfCertificate)</f>
        <v>#VALUE!</v>
      </c>
      <c r="O35" s="3" t="e">
        <f>SUMPRODUCT(--(Roster_Status="Workshop Completed"),--(MONTH(Roster_WorkshopDate)=12),--(YEAR(Roster_WorkshopDate)=$D$11),Roster_NoOfCertificate)</f>
        <v>#VALUE!</v>
      </c>
      <c r="P35" s="30" t="e">
        <f>SUM(Table3811[[#This Row],[Jan]:[Dec]])</f>
        <v>#VALUE!</v>
      </c>
    </row>
    <row r="36" spans="3:16" s="2" customFormat="1">
      <c r="C36" s="19" t="s">
        <v>64</v>
      </c>
      <c r="D36" s="3" t="e">
        <f>SUMPRODUCT(--(Roster_Status="Workshop Completed"),--(MONTH(Roster_WorkshopDate)=1),--(YEAR(Roster_WorkshopDate)=$D$11),Roster_NoOfKits)</f>
        <v>#VALUE!</v>
      </c>
      <c r="E36" s="3" t="e">
        <f>SUMPRODUCT(--(Roster_Status="Workshop Completed"),--(MONTH(Roster_WorkshopDate)=2),--(YEAR(Roster_WorkshopDate)=$D$11),Roster_NoOfKits)</f>
        <v>#VALUE!</v>
      </c>
      <c r="F36" s="3" t="e">
        <f>SUMPRODUCT(--(Roster_Status="Workshop Completed"),--(MONTH(Roster_WorkshopDate)=3),--(YEAR(Roster_WorkshopDate)=$D$11),Roster_NoOfKits)</f>
        <v>#VALUE!</v>
      </c>
      <c r="G36" s="3" t="e">
        <f>SUMPRODUCT(--(Roster_Status="Workshop Completed"),--(MONTH(Roster_WorkshopDate)=4),--(YEAR(Roster_WorkshopDate)=$D$11),Roster_NoOfKits)</f>
        <v>#VALUE!</v>
      </c>
      <c r="H36" s="3" t="e">
        <f>SUMPRODUCT(--(Roster_Status="Workshop Completed"),--(MONTH(Roster_WorkshopDate)=5),--(YEAR(Roster_WorkshopDate)=$D$11),Roster_NoOfKits)</f>
        <v>#VALUE!</v>
      </c>
      <c r="I36" s="3" t="e">
        <f>SUMPRODUCT(--(Roster_Status="Workshop Completed"),--(MONTH(Roster_WorkshopDate)=6),--(YEAR(Roster_WorkshopDate)=$D$11),Roster_NoOfKits)</f>
        <v>#VALUE!</v>
      </c>
      <c r="J36" s="3" t="e">
        <f>SUMPRODUCT(--(Roster_Status="Workshop Completed"),--(MONTH(Roster_WorkshopDate)=7),--(YEAR(Roster_WorkshopDate)=$D$11),Roster_NoOfKits)</f>
        <v>#VALUE!</v>
      </c>
      <c r="K36" s="3" t="e">
        <f>SUMPRODUCT(--(Roster_Status="Workshop Completed"),--(MONTH(Roster_WorkshopDate)=8),--(YEAR(Roster_WorkshopDate)=$D$11),Roster_NoOfKits)</f>
        <v>#VALUE!</v>
      </c>
      <c r="L36" s="3" t="e">
        <f>SUMPRODUCT(--(Roster_Status="Workshop Completed"),--(MONTH(Roster_WorkshopDate)=9),--(YEAR(Roster_WorkshopDate)=$D$11),Roster_NoOfKits)</f>
        <v>#VALUE!</v>
      </c>
      <c r="M36" s="3" t="e">
        <f>SUMPRODUCT(--(Roster_Status="Workshop Completed"),--(MONTH(Roster_WorkshopDate)=10),--(YEAR(Roster_WorkshopDate)=$D$11),Roster_NoOfKits)</f>
        <v>#VALUE!</v>
      </c>
      <c r="N36" s="3" t="e">
        <f>SUMPRODUCT(--(Roster_Status="Workshop Completed"),--(MONTH(Roster_WorkshopDate)=11),--(YEAR(Roster_WorkshopDate)=$D$11),Roster_NoOfKits)</f>
        <v>#VALUE!</v>
      </c>
      <c r="O36" s="3" t="e">
        <f>SUMPRODUCT(--(Roster_Status="Workshop Completed"),--(MONTH(Roster_WorkshopDate)=12),--(YEAR(Roster_WorkshopDate)=$D$11),Roster_NoOfKits)</f>
        <v>#VALUE!</v>
      </c>
      <c r="P36" s="30" t="e">
        <f>SUM(Table3811[[#This Row],[Jan]:[Dec]])</f>
        <v>#VALUE!</v>
      </c>
    </row>
    <row r="37" spans="3:16" s="2" customFormat="1">
      <c r="C37" s="19" t="s">
        <v>62</v>
      </c>
      <c r="D37" s="3" t="e">
        <f>SUMPRODUCT(--(Roster_Status="Workshop Completed"),--(MONTH(Roster_WorkshopDate)=1),--(YEAR(Roster_WorkshopDate)=$D$11),Roster_NoOfCD)</f>
        <v>#VALUE!</v>
      </c>
      <c r="E37" s="3" t="e">
        <f>SUMPRODUCT(--(Roster_Status="Workshop Completed"),--(MONTH(Roster_WorkshopDate)=2),--(YEAR(Roster_WorkshopDate)=$D$11),Roster_NoOfCD)</f>
        <v>#VALUE!</v>
      </c>
      <c r="F37" s="3" t="e">
        <f>SUMPRODUCT(--(Roster_Status="Workshop Completed"),--(MONTH(Roster_WorkshopDate)=3),--(YEAR(Roster_WorkshopDate)=$D$11),Roster_NoOfCD)</f>
        <v>#VALUE!</v>
      </c>
      <c r="G37" s="3" t="e">
        <f>SUMPRODUCT(--(Roster_Status="Workshop Completed"),--(MONTH(Roster_WorkshopDate)=4),--(YEAR(Roster_WorkshopDate)=$D$11),Roster_NoOfCD)</f>
        <v>#VALUE!</v>
      </c>
      <c r="H37" s="3" t="e">
        <f>SUMPRODUCT(--(Roster_Status="Workshop Completed"),--(MONTH(Roster_WorkshopDate)=5),--(YEAR(Roster_WorkshopDate)=$D$11),Roster_NoOfCD)</f>
        <v>#VALUE!</v>
      </c>
      <c r="I37" s="3" t="e">
        <f>SUMPRODUCT(--(Roster_Status="Workshop Completed"),--(MONTH(Roster_WorkshopDate)=6),--(YEAR(Roster_WorkshopDate)=$D$11),Roster_NoOfCD)</f>
        <v>#VALUE!</v>
      </c>
      <c r="J37" s="3" t="e">
        <f>SUMPRODUCT(--(Roster_Status="Workshop Completed"),--(MONTH(Roster_WorkshopDate)=7),--(YEAR(Roster_WorkshopDate)=$D$11),Roster_NoOfCD)</f>
        <v>#VALUE!</v>
      </c>
      <c r="K37" s="3" t="e">
        <f>SUMPRODUCT(--(Roster_Status="Workshop Completed"),--(MONTH(Roster_WorkshopDate)=8),--(YEAR(Roster_WorkshopDate)=$D$11),Roster_NoOfCD)</f>
        <v>#VALUE!</v>
      </c>
      <c r="L37" s="3" t="e">
        <f>SUMPRODUCT(--(Roster_Status="Workshop Completed"),--(MONTH(Roster_WorkshopDate)=9),--(YEAR(Roster_WorkshopDate)=$D$11),Roster_NoOfCD)</f>
        <v>#VALUE!</v>
      </c>
      <c r="M37" s="3" t="e">
        <f>SUMPRODUCT(--(Roster_Status="Workshop Completed"),--(MONTH(Roster_WorkshopDate)=10),--(YEAR(Roster_WorkshopDate)=$D$11),Roster_NoOfCD)</f>
        <v>#VALUE!</v>
      </c>
      <c r="N37" s="3" t="e">
        <f>SUMPRODUCT(--(Roster_Status="Workshop Completed"),--(MONTH(Roster_WorkshopDate)=11),--(YEAR(Roster_WorkshopDate)=$D$11),Roster_NoOfCD)</f>
        <v>#VALUE!</v>
      </c>
      <c r="O37" s="3" t="e">
        <f>SUMPRODUCT(--(Roster_Status="Workshop Completed"),--(MONTH(Roster_WorkshopDate)=12),--(YEAR(Roster_WorkshopDate)=$D$11),Roster_NoOfCD)</f>
        <v>#VALUE!</v>
      </c>
      <c r="P37" s="30" t="e">
        <f>SUM(Table3811[[#This Row],[Jan]:[Dec]])</f>
        <v>#VALUE!</v>
      </c>
    </row>
    <row r="38" spans="3:16" s="2" customFormat="1">
      <c r="C38" s="19" t="s">
        <v>65</v>
      </c>
      <c r="D38" s="3" t="e">
        <f>SUMPRODUCT(--(Roster_Status="Workshop Completed"),--(MONTH(Roster_WorkshopDate)=1),--(YEAR(Roster_WorkshopDate)=$D$11),Roster_NoOfManuals)</f>
        <v>#VALUE!</v>
      </c>
      <c r="E38" s="3" t="e">
        <f>SUMPRODUCT(--(Roster_Status="Workshop Completed"),--(MONTH(Roster_WorkshopDate)=2),--(YEAR(Roster_WorkshopDate)=$D$11),Roster_NoOfManuals)</f>
        <v>#VALUE!</v>
      </c>
      <c r="F38" s="3" t="e">
        <f>SUMPRODUCT(--(Roster_Status="Workshop Completed"),--(MONTH(Roster_WorkshopDate)=3),--(YEAR(Roster_WorkshopDate)=$D$11),Roster_NoOfManuals)</f>
        <v>#VALUE!</v>
      </c>
      <c r="G38" s="3" t="e">
        <f>SUMPRODUCT(--(Roster_Status="Workshop Completed"),--(MONTH(Roster_WorkshopDate)=4),--(YEAR(Roster_WorkshopDate)=$D$11),Roster_NoOfManuals)</f>
        <v>#VALUE!</v>
      </c>
      <c r="H38" s="3" t="e">
        <f>SUMPRODUCT(--(Roster_Status="Workshop Completed"),--(MONTH(Roster_WorkshopDate)=5),--(YEAR(Roster_WorkshopDate)=$D$11),Roster_NoOfManuals)</f>
        <v>#VALUE!</v>
      </c>
      <c r="I38" s="3" t="e">
        <f>SUMPRODUCT(--(Roster_Status="Workshop Completed"),--(MONTH(Roster_WorkshopDate)=6),--(YEAR(Roster_WorkshopDate)=$D$11),Roster_NoOfManuals)</f>
        <v>#VALUE!</v>
      </c>
      <c r="J38" s="3" t="e">
        <f>SUMPRODUCT(--(Roster_Status="Workshop Completed"),--(MONTH(Roster_WorkshopDate)=7),--(YEAR(Roster_WorkshopDate)=$D$11),Roster_NoOfManuals)</f>
        <v>#VALUE!</v>
      </c>
      <c r="K38" s="3" t="e">
        <f>SUMPRODUCT(--(Roster_Status="Workshop Completed"),--(MONTH(Roster_WorkshopDate)=8),--(YEAR(Roster_WorkshopDate)=$D$11),Roster_NoOfManuals)</f>
        <v>#VALUE!</v>
      </c>
      <c r="L38" s="3" t="e">
        <f>SUMPRODUCT(--(Roster_Status="Workshop Completed"),--(MONTH(Roster_WorkshopDate)=9),--(YEAR(Roster_WorkshopDate)=$D$11),Roster_NoOfManuals)</f>
        <v>#VALUE!</v>
      </c>
      <c r="M38" s="3" t="e">
        <f>SUMPRODUCT(--(Roster_Status="Workshop Completed"),--(MONTH(Roster_WorkshopDate)=10),--(YEAR(Roster_WorkshopDate)=$D$11),Roster_NoOfManuals)</f>
        <v>#VALUE!</v>
      </c>
      <c r="N38" s="3" t="e">
        <f>SUMPRODUCT(--(Roster_Status="Workshop Completed"),--(MONTH(Roster_WorkshopDate)=11),--(YEAR(Roster_WorkshopDate)=$D$11),Roster_NoOfManuals)</f>
        <v>#VALUE!</v>
      </c>
      <c r="O38" s="3" t="e">
        <f>SUMPRODUCT(--(Roster_Status="Workshop Completed"),--(MONTH(Roster_WorkshopDate)=12),--(YEAR(Roster_WorkshopDate)=$D$11),Roster_NoOfManuals)</f>
        <v>#VALUE!</v>
      </c>
      <c r="P38" s="30" t="e">
        <f>SUM(Table3811[[#This Row],[Jan]:[Dec]])</f>
        <v>#VALUE!</v>
      </c>
    </row>
    <row r="39" spans="3:16" s="2" customFormat="1">
      <c r="C39" s="19" t="s">
        <v>66</v>
      </c>
      <c r="D39" s="3" t="e">
        <f>SUMPRODUCT(--(Roster_Status="Workshop Completed"),--(MONTH(Roster_WorkshopDate)=1),--(YEAR(Roster_WorkshopDate)=$D$11),Roster_NoOfStickers)</f>
        <v>#VALUE!</v>
      </c>
      <c r="E39" s="3" t="e">
        <f>SUMPRODUCT(--(Roster_Status="Workshop Completed"),--(MONTH(Roster_WorkshopDate)=2),--(YEAR(Roster_WorkshopDate)=$D$11),Roster_NoOfStickers)</f>
        <v>#VALUE!</v>
      </c>
      <c r="F39" s="3" t="e">
        <f>SUMPRODUCT(--(Roster_Status="Workshop Completed"),--(MONTH(Roster_WorkshopDate)=3),--(YEAR(Roster_WorkshopDate)=$D$11),Roster_NoOfStickers)</f>
        <v>#VALUE!</v>
      </c>
      <c r="G39" s="3" t="e">
        <f>SUMPRODUCT(--(Roster_Status="Workshop Completed"),--(MONTH(Roster_WorkshopDate)=4),--(YEAR(Roster_WorkshopDate)=$D$11),Roster_NoOfStickers)</f>
        <v>#VALUE!</v>
      </c>
      <c r="H39" s="3" t="e">
        <f>SUMPRODUCT(--(Roster_Status="Workshop Completed"),--(MONTH(Roster_WorkshopDate)=5),--(YEAR(Roster_WorkshopDate)=$D$11),Roster_NoOfStickers)</f>
        <v>#VALUE!</v>
      </c>
      <c r="I39" s="3" t="e">
        <f>SUMPRODUCT(--(Roster_Status="Workshop Completed"),--(MONTH(Roster_WorkshopDate)=6),--(YEAR(Roster_WorkshopDate)=$D$11),Roster_NoOfStickers)</f>
        <v>#VALUE!</v>
      </c>
      <c r="J39" s="3" t="e">
        <f>SUMPRODUCT(--(Roster_Status="Workshop Completed"),--(MONTH(Roster_WorkshopDate)=7),--(YEAR(Roster_WorkshopDate)=$D$11),Roster_NoOfStickers)</f>
        <v>#VALUE!</v>
      </c>
      <c r="K39" s="3" t="e">
        <f>SUMPRODUCT(--(Roster_Status="Workshop Completed"),--(MONTH(Roster_WorkshopDate)=8),--(YEAR(Roster_WorkshopDate)=$D$11),Roster_NoOfStickers)</f>
        <v>#VALUE!</v>
      </c>
      <c r="L39" s="3" t="e">
        <f>SUMPRODUCT(--(Roster_Status="Workshop Completed"),--(MONTH(Roster_WorkshopDate)=9),--(YEAR(Roster_WorkshopDate)=$D$11),Roster_NoOfStickers)</f>
        <v>#VALUE!</v>
      </c>
      <c r="M39" s="3" t="e">
        <f>SUMPRODUCT(--(Roster_Status="Workshop Completed"),--(MONTH(Roster_WorkshopDate)=10),--(YEAR(Roster_WorkshopDate)=$D$11),Roster_NoOfStickers)</f>
        <v>#VALUE!</v>
      </c>
      <c r="N39" s="3" t="e">
        <f>SUMPRODUCT(--(Roster_Status="Workshop Completed"),--(MONTH(Roster_WorkshopDate)=11),--(YEAR(Roster_WorkshopDate)=$D$11),Roster_NoOfStickers)</f>
        <v>#VALUE!</v>
      </c>
      <c r="O39" s="3" t="e">
        <f>SUMPRODUCT(--(Roster_Status="Workshop Completed"),--(MONTH(Roster_WorkshopDate)=12),--(YEAR(Roster_WorkshopDate)=$D$11),Roster_NoOfStickers)</f>
        <v>#VALUE!</v>
      </c>
      <c r="P39" s="30" t="e">
        <f>SUM(Table3811[[#This Row],[Jan]:[Dec]])</f>
        <v>#VALUE!</v>
      </c>
    </row>
  </sheetData>
  <sheetProtection password="E3F9" sheet="1" objects="1" scenarios="1" selectLockedCells="1"/>
  <mergeCells count="11">
    <mergeCell ref="C13:P13"/>
    <mergeCell ref="C21:P21"/>
    <mergeCell ref="C33:P33"/>
    <mergeCell ref="D11:E11"/>
    <mergeCell ref="B1:C6"/>
    <mergeCell ref="D1:P4"/>
    <mergeCell ref="D5:P5"/>
    <mergeCell ref="D6:P6"/>
    <mergeCell ref="B9:Q9"/>
    <mergeCell ref="K11:M11"/>
    <mergeCell ref="N11:O11"/>
  </mergeCells>
  <conditionalFormatting sqref="D15:H18">
    <cfRule type="cellIs" dxfId="193" priority="3" operator="equal">
      <formula>0</formula>
    </cfRule>
  </conditionalFormatting>
  <conditionalFormatting sqref="D23:P30">
    <cfRule type="cellIs" dxfId="192" priority="2" operator="equal">
      <formula>0</formula>
    </cfRule>
  </conditionalFormatting>
  <conditionalFormatting sqref="D35:P39">
    <cfRule type="cellIs" dxfId="191" priority="1" operator="equal">
      <formula>0</formula>
    </cfRule>
  </conditionalFormatting>
  <printOptions horizontalCentered="1" verticalCentered="1"/>
  <pageMargins left="0.2" right="0.2" top="0.25" bottom="0.25" header="0.3" footer="0.3"/>
  <pageSetup scale="75" orientation="landscape" horizontalDpi="300" verticalDpi="300" r:id="rId1"/>
  <ignoredErrors>
    <ignoredError sqref="F16:G16 F17:G18" calculatedColumn="1"/>
  </ignoredErrors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  <pageSetUpPr fitToPage="1"/>
  </sheetPr>
  <dimension ref="B1:Q77"/>
  <sheetViews>
    <sheetView showGridLines="0" topLeftCell="A15" zoomScale="70" zoomScaleNormal="70" workbookViewId="0">
      <selection activeCell="D4" sqref="D4:E4"/>
    </sheetView>
  </sheetViews>
  <sheetFormatPr defaultRowHeight="15"/>
  <cols>
    <col min="1" max="1" width="5.42578125" style="2" customWidth="1"/>
    <col min="2" max="2" width="9.140625" style="2"/>
    <col min="3" max="3" width="36.28515625" style="6" bestFit="1" customWidth="1"/>
    <col min="4" max="15" width="10.28515625" style="2" bestFit="1" customWidth="1"/>
    <col min="16" max="16384" width="9.140625" style="2"/>
  </cols>
  <sheetData>
    <row r="1" spans="2:17" ht="15.75" thickBot="1"/>
    <row r="2" spans="2:17" ht="19.5" thickBot="1">
      <c r="B2" s="123" t="s">
        <v>60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5"/>
    </row>
    <row r="3" spans="2:17" ht="15.75" thickBot="1"/>
    <row r="4" spans="2:17" ht="19.5" thickBot="1">
      <c r="C4" s="37" t="s">
        <v>81</v>
      </c>
      <c r="D4" s="118">
        <v>2014</v>
      </c>
      <c r="E4" s="119"/>
    </row>
    <row r="5" spans="2:17" ht="19.5" thickBot="1">
      <c r="C5" s="37" t="s">
        <v>78</v>
      </c>
      <c r="D5" s="118" t="s">
        <v>68</v>
      </c>
      <c r="E5" s="119"/>
    </row>
    <row r="6" spans="2:17" ht="15.75" thickBot="1"/>
    <row r="7" spans="2:17" ht="16.5" thickBot="1">
      <c r="C7" s="133" t="s">
        <v>98</v>
      </c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17" ht="25.5">
      <c r="C8" s="22" t="s">
        <v>49</v>
      </c>
      <c r="D8" s="21" t="s">
        <v>37</v>
      </c>
      <c r="E8" s="21" t="s">
        <v>38</v>
      </c>
      <c r="F8" s="21" t="s">
        <v>39</v>
      </c>
      <c r="G8" s="21" t="s">
        <v>40</v>
      </c>
      <c r="H8" s="21" t="s">
        <v>41</v>
      </c>
      <c r="I8" s="21" t="s">
        <v>42</v>
      </c>
      <c r="J8" s="21" t="s">
        <v>43</v>
      </c>
      <c r="K8" s="21" t="s">
        <v>44</v>
      </c>
      <c r="L8" s="21" t="s">
        <v>45</v>
      </c>
      <c r="M8" s="21" t="s">
        <v>46</v>
      </c>
      <c r="N8" s="21" t="s">
        <v>47</v>
      </c>
      <c r="O8" s="21" t="s">
        <v>48</v>
      </c>
      <c r="P8" s="22" t="s">
        <v>28</v>
      </c>
    </row>
    <row r="9" spans="2:17">
      <c r="C9" s="19" t="s">
        <v>16</v>
      </c>
      <c r="D9" s="3" t="e">
        <f>SUMPRODUCT(--(Roster_WorkshopType=$D$5),--(MONTH(Roster_EnquiryDate)=1),--(YEAR(Roster_EnquiryDate)=$D$4))</f>
        <v>#VALUE!</v>
      </c>
      <c r="E9" s="3" t="e">
        <f>SUMPRODUCT(--(Roster_WorkshopType=$D$5),--(MONTH(Roster_EnquiryDate)=2),--(YEAR(Roster_EnquiryDate)=$D$4))</f>
        <v>#VALUE!</v>
      </c>
      <c r="F9" s="3" t="e">
        <f>SUMPRODUCT(--(Roster_WorkshopType=$D$5),--(MONTH(Roster_EnquiryDate)=3),--(YEAR(Roster_EnquiryDate)=$D$4))</f>
        <v>#VALUE!</v>
      </c>
      <c r="G9" s="3" t="e">
        <f>SUMPRODUCT(--(Roster_WorkshopType=$D$5),--(MONTH(Roster_EnquiryDate)=4),--(YEAR(Roster_EnquiryDate)=$D$4))</f>
        <v>#VALUE!</v>
      </c>
      <c r="H9" s="3" t="e">
        <f>SUMPRODUCT(--(Roster_WorkshopType=$D$5),--(MONTH(Roster_EnquiryDate)=5),--(YEAR(Roster_EnquiryDate)=$D$4))</f>
        <v>#VALUE!</v>
      </c>
      <c r="I9" s="3" t="e">
        <f>SUMPRODUCT(--(Roster_WorkshopType=$D$5),--(MONTH(Roster_EnquiryDate)=6),--(YEAR(Roster_EnquiryDate)=$D$4))</f>
        <v>#VALUE!</v>
      </c>
      <c r="J9" s="3" t="e">
        <f>SUMPRODUCT(--(Roster_WorkshopType=$D$5),--(MONTH(Roster_EnquiryDate)=7),--(YEAR(Roster_EnquiryDate)=$D$4))</f>
        <v>#VALUE!</v>
      </c>
      <c r="K9" s="3" t="e">
        <f>SUMPRODUCT(--(Roster_WorkshopType=$D$5),--(MONTH(Roster_EnquiryDate)=8),--(YEAR(Roster_EnquiryDate)=$D$4))</f>
        <v>#VALUE!</v>
      </c>
      <c r="L9" s="3" t="e">
        <f>SUMPRODUCT(--(Roster_WorkshopType=$D$5),--(MONTH(Roster_EnquiryDate)=9),--(YEAR(Roster_EnquiryDate)=$D$4))</f>
        <v>#VALUE!</v>
      </c>
      <c r="M9" s="3" t="e">
        <f>SUMPRODUCT(--(Roster_WorkshopType=$D$5),--(MONTH(Roster_EnquiryDate)=10),--(YEAR(Roster_EnquiryDate)=$D$4))</f>
        <v>#VALUE!</v>
      </c>
      <c r="N9" s="3" t="e">
        <f>SUMPRODUCT(--(Roster_WorkshopType=$D$5),--(MONTH(Roster_EnquiryDate)=11),--(YEAR(Roster_EnquiryDate)=$D$4))</f>
        <v>#VALUE!</v>
      </c>
      <c r="O9" s="3" t="e">
        <f>SUMPRODUCT(--(Roster_WorkshopType=$D$5),--(MONTH(Roster_EnquiryDate)=12),--(YEAR(Roster_EnquiryDate)=$D$4))</f>
        <v>#VALUE!</v>
      </c>
      <c r="P9" s="30" t="e">
        <f>SUM(Table212[[#This Row],[Jan]:[Dec]])</f>
        <v>#VALUE!</v>
      </c>
    </row>
    <row r="10" spans="2:17">
      <c r="C10" s="19" t="s">
        <v>17</v>
      </c>
      <c r="D10" s="3" t="e">
        <f>SUMPRODUCT(--(Roster_Status=$C$10),--(Roster_WorkshopType=$D$5),--(MONTH(Roster_WorkshopDate)=1),--(YEAR(Roster_WorkshopDate)=$D$4))</f>
        <v>#VALUE!</v>
      </c>
      <c r="E10" s="3" t="e">
        <f>SUMPRODUCT(--(Roster_Status=$C$10),--(Roster_WorkshopType=$D$5),--(MONTH(Roster_WorkshopDate)=2),--(YEAR(Roster_WorkshopDate)=$D$4))</f>
        <v>#VALUE!</v>
      </c>
      <c r="F10" s="3" t="e">
        <f>SUMPRODUCT(--(Roster_Status=$C$10),--(Roster_WorkshopType=$D$5),--(MONTH(Roster_WorkshopDate)=3),--(YEAR(Roster_WorkshopDate)=$D$4))</f>
        <v>#VALUE!</v>
      </c>
      <c r="G10" s="3" t="e">
        <f>SUMPRODUCT(--(Roster_Status=$C$10),--(Roster_WorkshopType=$D$5),--(MONTH(Roster_WorkshopDate)=4),--(YEAR(Roster_WorkshopDate)=$D$4))</f>
        <v>#VALUE!</v>
      </c>
      <c r="H10" s="3" t="e">
        <f>SUMPRODUCT(--(Roster_Status=$C$10),--(Roster_WorkshopType=$D$5),--(MONTH(Roster_WorkshopDate)=5),--(YEAR(Roster_WorkshopDate)=$D$4))</f>
        <v>#VALUE!</v>
      </c>
      <c r="I10" s="3" t="e">
        <f>SUMPRODUCT(--(Roster_Status=$C$10),--(Roster_WorkshopType=$D$5),--(MONTH(Roster_WorkshopDate)=6),--(YEAR(Roster_WorkshopDate)=$D$4))</f>
        <v>#VALUE!</v>
      </c>
      <c r="J10" s="3" t="e">
        <f>SUMPRODUCT(--(Roster_Status=$C$10),--(Roster_WorkshopType=$D$5),--(MONTH(Roster_WorkshopDate)=7),--(YEAR(Roster_WorkshopDate)=$D$4))</f>
        <v>#VALUE!</v>
      </c>
      <c r="K10" s="3" t="e">
        <f>SUMPRODUCT(--(Roster_Status=$C$10),--(Roster_WorkshopType=$D$5),--(MONTH(Roster_WorkshopDate)=8),--(YEAR(Roster_WorkshopDate)=$D$4))</f>
        <v>#VALUE!</v>
      </c>
      <c r="L10" s="3" t="e">
        <f>SUMPRODUCT(--(Roster_Status=$C$10),--(Roster_WorkshopType=$D$5),--(MONTH(Roster_WorkshopDate)=9),--(YEAR(Roster_WorkshopDate)=$D$4))</f>
        <v>#VALUE!</v>
      </c>
      <c r="M10" s="3" t="e">
        <f>SUMPRODUCT(--(Roster_Status=$C$10),--(Roster_WorkshopType=$D$5),--(MONTH(Roster_WorkshopDate)=10),--(YEAR(Roster_WorkshopDate)=$D$4))</f>
        <v>#VALUE!</v>
      </c>
      <c r="N10" s="3" t="e">
        <f>SUMPRODUCT(--(Roster_Status=$C$10),--(Roster_WorkshopType=$D$5),--(MONTH(Roster_WorkshopDate)=11),--(YEAR(Roster_WorkshopDate)=$D$4))</f>
        <v>#VALUE!</v>
      </c>
      <c r="O10" s="3" t="e">
        <f>SUMPRODUCT(--(Roster_Status=$C$10),--(Roster_WorkshopType=$D$5),--(MONTH(Roster_WorkshopDate)=12),--(YEAR(Roster_WorkshopDate)=$D$4))</f>
        <v>#VALUE!</v>
      </c>
      <c r="P10" s="30" t="e">
        <f>SUM(Table212[[#This Row],[Jan]:[Dec]])</f>
        <v>#VALUE!</v>
      </c>
    </row>
    <row r="11" spans="2:17">
      <c r="C11" s="20" t="s">
        <v>18</v>
      </c>
      <c r="D11" s="4" t="e">
        <f>SUMPRODUCT(--(Roster_Status=$C$11),--(Roster_WorkshopType=$D$5),--(MONTH(Roster_WorkshopDate)=1),--(YEAR(Roster_WorkshopDate)=$D$4))</f>
        <v>#VALUE!</v>
      </c>
      <c r="E11" s="4" t="e">
        <f>SUMPRODUCT(--(Roster_Status=$C$11),--(Roster_WorkshopType=$D$5),--(MONTH(Roster_WorkshopDate)=2),--(YEAR(Roster_WorkshopDate)=$D$4))</f>
        <v>#VALUE!</v>
      </c>
      <c r="F11" s="4" t="e">
        <f>SUMPRODUCT(--(Roster_Status=$C$11),--(Roster_WorkshopType=$D$5),--(MONTH(Roster_WorkshopDate)=3),--(YEAR(Roster_WorkshopDate)=$D$4))</f>
        <v>#VALUE!</v>
      </c>
      <c r="G11" s="4" t="e">
        <f>SUMPRODUCT(--(Roster_Status=$C$11),--(Roster_WorkshopType=$D$5),--(MONTH(Roster_WorkshopDate)=4),--(YEAR(Roster_WorkshopDate)=$D$4))</f>
        <v>#VALUE!</v>
      </c>
      <c r="H11" s="4" t="e">
        <f>SUMPRODUCT(--(Roster_Status=$C$11),--(Roster_WorkshopType=$D$5),--(MONTH(Roster_WorkshopDate)=5),--(YEAR(Roster_WorkshopDate)=$D$4))</f>
        <v>#VALUE!</v>
      </c>
      <c r="I11" s="4" t="e">
        <f>SUMPRODUCT(--(Roster_Status=$C$11),--(Roster_WorkshopType=$D$5),--(MONTH(Roster_WorkshopDate)=6),--(YEAR(Roster_WorkshopDate)=$D$4))</f>
        <v>#VALUE!</v>
      </c>
      <c r="J11" s="4" t="e">
        <f>SUMPRODUCT(--(Roster_Status=$C$11),--(Roster_WorkshopType=$D$5),--(MONTH(Roster_WorkshopDate)=7),--(YEAR(Roster_WorkshopDate)=$D$4))</f>
        <v>#VALUE!</v>
      </c>
      <c r="K11" s="4" t="e">
        <f>SUMPRODUCT(--(Roster_Status=$C$11),--(Roster_WorkshopType=$D$5),--(MONTH(Roster_WorkshopDate)=8),--(YEAR(Roster_WorkshopDate)=$D$4))</f>
        <v>#VALUE!</v>
      </c>
      <c r="L11" s="4" t="e">
        <f>SUMPRODUCT(--(Roster_Status=$C$11),--(Roster_WorkshopType=$D$5),--(MONTH(Roster_WorkshopDate)=9),--(YEAR(Roster_WorkshopDate)=$D$4))</f>
        <v>#VALUE!</v>
      </c>
      <c r="M11" s="4" t="e">
        <f>SUMPRODUCT(--(Roster_Status=$C$11),--(Roster_WorkshopType=$D$5),--(MONTH(Roster_WorkshopDate)=10),--(YEAR(Roster_WorkshopDate)=$D$4))</f>
        <v>#VALUE!</v>
      </c>
      <c r="N11" s="4" t="e">
        <f>SUMPRODUCT(--(Roster_Status=$C$11),--(Roster_WorkshopType=$D$5),--(MONTH(Roster_WorkshopDate)=11),--(YEAR(Roster_WorkshopDate)=$D$4))</f>
        <v>#VALUE!</v>
      </c>
      <c r="O11" s="4" t="e">
        <f>SUMPRODUCT(--(Roster_Status=$C$11),--(Roster_WorkshopType=$D$5),--(MONTH(Roster_WorkshopDate)=12),--(YEAR(Roster_WorkshopDate)=$D$4))</f>
        <v>#VALUE!</v>
      </c>
      <c r="P11" s="30" t="e">
        <f>SUM(Table212[[#This Row],[Jan]:[Dec]])</f>
        <v>#VALUE!</v>
      </c>
    </row>
    <row r="12" spans="2:17">
      <c r="C12" s="61"/>
      <c r="D12" s="4" t="e">
        <f>SUMPRODUCT(--(Roster_Status=$C$12),--(Roster_WorkshopType=$D$5),--(MONTH(Roster_WorkshopDate)=1),--(YEAR(Roster_WorkshopDate)=$D$4))</f>
        <v>#VALUE!</v>
      </c>
      <c r="E12" s="4" t="e">
        <f>SUMPRODUCT(--(Roster_Status=$C$12),--(Roster_WorkshopType=$D$5),--(MONTH(Roster_WorkshopDate)=2),--(YEAR(Roster_WorkshopDate)=$D$4))</f>
        <v>#VALUE!</v>
      </c>
      <c r="F12" s="4" t="e">
        <f>SUMPRODUCT(--(Roster_Status=$C$12),--(Roster_WorkshopType=$D$5),--(MONTH(Roster_WorkshopDate)=3),--(YEAR(Roster_WorkshopDate)=$D$4))</f>
        <v>#VALUE!</v>
      </c>
      <c r="G12" s="4" t="e">
        <f>SUMPRODUCT(--(Roster_Status=$C$12),--(Roster_WorkshopType=$D$5),--(MONTH(Roster_WorkshopDate)=4),--(YEAR(Roster_WorkshopDate)=$D$4))</f>
        <v>#VALUE!</v>
      </c>
      <c r="H12" s="4" t="e">
        <f>SUMPRODUCT(--(Roster_Status=$C$12),--(Roster_WorkshopType=$D$5),--(MONTH(Roster_WorkshopDate)=5),--(YEAR(Roster_WorkshopDate)=$D$4))</f>
        <v>#VALUE!</v>
      </c>
      <c r="I12" s="4" t="e">
        <f>SUMPRODUCT(--(Roster_Status=$C$12),--(Roster_WorkshopType=$D$5),--(MONTH(Roster_WorkshopDate)=6),--(YEAR(Roster_WorkshopDate)=$D$4))</f>
        <v>#VALUE!</v>
      </c>
      <c r="J12" s="4" t="e">
        <f>SUMPRODUCT(--(Roster_Status=$C$12),--(Roster_WorkshopType=$D$5),--(MONTH(Roster_WorkshopDate)=7),--(YEAR(Roster_WorkshopDate)=$D$4))</f>
        <v>#VALUE!</v>
      </c>
      <c r="K12" s="4" t="e">
        <f>SUMPRODUCT(--(Roster_Status=$C$12),--(Roster_WorkshopType=$D$5),--(MONTH(Roster_WorkshopDate)=8),--(YEAR(Roster_WorkshopDate)=$D$4))</f>
        <v>#VALUE!</v>
      </c>
      <c r="L12" s="4" t="e">
        <f>SUMPRODUCT(--(Roster_Status=$C$12),--(Roster_WorkshopType=$D$5),--(MONTH(Roster_WorkshopDate)=9),--(YEAR(Roster_WorkshopDate)=$D$4))</f>
        <v>#VALUE!</v>
      </c>
      <c r="M12" s="4" t="e">
        <f>SUMPRODUCT(--(Roster_Status=$C$12),--(Roster_WorkshopType=$D$5),--(MONTH(Roster_WorkshopDate)=10),--(YEAR(Roster_WorkshopDate)=$D$4))</f>
        <v>#VALUE!</v>
      </c>
      <c r="N12" s="4" t="e">
        <f>SUMPRODUCT(--(Roster_Status=$C$12),--(Roster_WorkshopType=$D$5),--(MONTH(Roster_WorkshopDate)=11),--(YEAR(Roster_WorkshopDate)=$D$4))</f>
        <v>#VALUE!</v>
      </c>
      <c r="O12" s="4" t="e">
        <f>SUMPRODUCT(--(Roster_Status=$C$12),--(Roster_WorkshopType=$D$5),--(MONTH(Roster_WorkshopDate)=12),--(YEAR(Roster_WorkshopDate)=$D$4))</f>
        <v>#VALUE!</v>
      </c>
      <c r="P12" s="31" t="e">
        <f>SUM(Table212[[#This Row],[Jan]:[Dec]])</f>
        <v>#VALUE!</v>
      </c>
    </row>
    <row r="13" spans="2:17">
      <c r="C13" s="61"/>
      <c r="D13" s="4" t="e">
        <f>SUMPRODUCT(--(Roster_Status=$C$13),--(Roster_WorkshopType=$D$5),--(MONTH(Roster_WorkshopDate)=1),--(YEAR(Roster_WorkshopDate)=$D$4))</f>
        <v>#VALUE!</v>
      </c>
      <c r="E13" s="4" t="e">
        <f>SUMPRODUCT(--(Roster_Status=$C$13),--(Roster_WorkshopType=$D$5),--(MONTH(Roster_WorkshopDate)=2),--(YEAR(Roster_WorkshopDate)=$D$4))</f>
        <v>#VALUE!</v>
      </c>
      <c r="F13" s="4" t="e">
        <f>SUMPRODUCT(--(Roster_Status=$C$13),--(Roster_WorkshopType=$D$5),--(MONTH(Roster_WorkshopDate)=3),--(YEAR(Roster_WorkshopDate)=$D$4))</f>
        <v>#VALUE!</v>
      </c>
      <c r="G13" s="4" t="e">
        <f>SUMPRODUCT(--(Roster_Status=$C$13),--(Roster_WorkshopType=$D$5),--(MONTH(Roster_WorkshopDate)=4),--(YEAR(Roster_WorkshopDate)=$D$4))</f>
        <v>#VALUE!</v>
      </c>
      <c r="H13" s="4" t="e">
        <f>SUMPRODUCT(--(Roster_Status=$C$13),--(Roster_WorkshopType=$D$5),--(MONTH(Roster_WorkshopDate)=5),--(YEAR(Roster_WorkshopDate)=$D$4))</f>
        <v>#VALUE!</v>
      </c>
      <c r="I13" s="4" t="e">
        <f>SUMPRODUCT(--(Roster_Status=$C$13),--(Roster_WorkshopType=$D$5),--(MONTH(Roster_WorkshopDate)=6),--(YEAR(Roster_WorkshopDate)=$D$4))</f>
        <v>#VALUE!</v>
      </c>
      <c r="J13" s="4" t="e">
        <f>SUMPRODUCT(--(Roster_Status=$C$13),--(Roster_WorkshopType=$D$5),--(MONTH(Roster_WorkshopDate)=7),--(YEAR(Roster_WorkshopDate)=$D$4))</f>
        <v>#VALUE!</v>
      </c>
      <c r="K13" s="4" t="e">
        <f>SUMPRODUCT(--(Roster_Status=$C$13),--(Roster_WorkshopType=$D$5),--(MONTH(Roster_WorkshopDate)=8),--(YEAR(Roster_WorkshopDate)=$D$4))</f>
        <v>#VALUE!</v>
      </c>
      <c r="L13" s="4" t="e">
        <f>SUMPRODUCT(--(Roster_Status=$C$13),--(Roster_WorkshopType=$D$5),--(MONTH(Roster_WorkshopDate)=9),--(YEAR(Roster_WorkshopDate)=$D$4))</f>
        <v>#VALUE!</v>
      </c>
      <c r="M13" s="4" t="e">
        <f>SUMPRODUCT(--(Roster_Status=$C$13),--(Roster_WorkshopType=$D$5),--(MONTH(Roster_WorkshopDate)=10),--(YEAR(Roster_WorkshopDate)=$D$4))</f>
        <v>#VALUE!</v>
      </c>
      <c r="N13" s="4" t="e">
        <f>SUMPRODUCT(--(Roster_Status=$C$13),--(Roster_WorkshopType=$D$5),--(MONTH(Roster_WorkshopDate)=11),--(YEAR(Roster_WorkshopDate)=$D$4))</f>
        <v>#VALUE!</v>
      </c>
      <c r="O13" s="4" t="e">
        <f>SUMPRODUCT(--(Roster_Status=$C$13),--(Roster_WorkshopType=$D$5),--(MONTH(Roster_WorkshopDate)=12),--(YEAR(Roster_WorkshopDate)=$D$4))</f>
        <v>#VALUE!</v>
      </c>
      <c r="P13" s="31" t="e">
        <f>SUM(Table212[[#This Row],[Jan]:[Dec]])</f>
        <v>#VALUE!</v>
      </c>
    </row>
    <row r="14" spans="2:17">
      <c r="C14" s="61"/>
      <c r="D14" s="4" t="e">
        <f>SUMPRODUCT(--(Roster_Status=$C$14),--(Roster_WorkshopType=$D$5),--(MONTH(Roster_WorkshopDate)=1),--(YEAR(Roster_WorkshopDate)=$D$4))</f>
        <v>#VALUE!</v>
      </c>
      <c r="E14" s="4" t="e">
        <f>SUMPRODUCT(--(Roster_Status=$C$14),--(Roster_WorkshopType=$D$5),--(MONTH(Roster_WorkshopDate)=2),--(YEAR(Roster_WorkshopDate)=$D$4))</f>
        <v>#VALUE!</v>
      </c>
      <c r="F14" s="4" t="e">
        <f>SUMPRODUCT(--(Roster_Status=$C$14),--(Roster_WorkshopType=$D$5),--(MONTH(Roster_WorkshopDate)=3),--(YEAR(Roster_WorkshopDate)=$D$4))</f>
        <v>#VALUE!</v>
      </c>
      <c r="G14" s="4" t="e">
        <f>SUMPRODUCT(--(Roster_Status=$C$14),--(Roster_WorkshopType=$D$5),--(MONTH(Roster_WorkshopDate)=4),--(YEAR(Roster_WorkshopDate)=$D$4))</f>
        <v>#VALUE!</v>
      </c>
      <c r="H14" s="4" t="e">
        <f>SUMPRODUCT(--(Roster_Status=$C$14),--(Roster_WorkshopType=$D$5),--(MONTH(Roster_WorkshopDate)=5),--(YEAR(Roster_WorkshopDate)=$D$4))</f>
        <v>#VALUE!</v>
      </c>
      <c r="I14" s="4" t="e">
        <f>SUMPRODUCT(--(Roster_Status=$C$14),--(Roster_WorkshopType=$D$5),--(MONTH(Roster_WorkshopDate)=6),--(YEAR(Roster_WorkshopDate)=$D$4))</f>
        <v>#VALUE!</v>
      </c>
      <c r="J14" s="4" t="e">
        <f>SUMPRODUCT(--(Roster_Status=$C$14),--(Roster_WorkshopType=$D$5),--(MONTH(Roster_WorkshopDate)=7),--(YEAR(Roster_WorkshopDate)=$D$4))</f>
        <v>#VALUE!</v>
      </c>
      <c r="K14" s="4" t="e">
        <f>SUMPRODUCT(--(Roster_Status=$C$14),--(Roster_WorkshopType=$D$5),--(MONTH(Roster_WorkshopDate)=8),--(YEAR(Roster_WorkshopDate)=$D$4))</f>
        <v>#VALUE!</v>
      </c>
      <c r="L14" s="4" t="e">
        <f>SUMPRODUCT(--(Roster_Status=$C$14),--(Roster_WorkshopType=$D$5),--(MONTH(Roster_WorkshopDate)=9),--(YEAR(Roster_WorkshopDate)=$D$4))</f>
        <v>#VALUE!</v>
      </c>
      <c r="M14" s="4" t="e">
        <f>SUMPRODUCT(--(Roster_Status=$C$14),--(Roster_WorkshopType=$D$5),--(MONTH(Roster_WorkshopDate)=10),--(YEAR(Roster_WorkshopDate)=$D$4))</f>
        <v>#VALUE!</v>
      </c>
      <c r="N14" s="4" t="e">
        <f>SUMPRODUCT(--(Roster_Status=$C$14),--(Roster_WorkshopType=$D$5),--(MONTH(Roster_WorkshopDate)=11),--(YEAR(Roster_WorkshopDate)=$D$4))</f>
        <v>#VALUE!</v>
      </c>
      <c r="O14" s="4" t="e">
        <f>SUMPRODUCT(--(Roster_Status=$C$14),--(Roster_WorkshopType=$D$5),--(MONTH(Roster_WorkshopDate)=12),--(YEAR(Roster_WorkshopDate)=$D$4))</f>
        <v>#VALUE!</v>
      </c>
      <c r="P14" s="31" t="e">
        <f>SUM(Table212[[#This Row],[Jan]:[Dec]])</f>
        <v>#VALUE!</v>
      </c>
    </row>
    <row r="15" spans="2:17">
      <c r="C15" s="61"/>
      <c r="D15" s="4" t="e">
        <f>SUMPRODUCT(--(Roster_Status=$C$15),--(Roster_WorkshopType=$D$5),--(MONTH(Roster_WorkshopDate)=1),--(YEAR(Roster_WorkshopDate)=$D$4))</f>
        <v>#VALUE!</v>
      </c>
      <c r="E15" s="4" t="e">
        <f>SUMPRODUCT(--(Roster_Status=$C$15),--(Roster_WorkshopType=$D$5),--(MONTH(Roster_WorkshopDate)=2),--(YEAR(Roster_WorkshopDate)=$D$4))</f>
        <v>#VALUE!</v>
      </c>
      <c r="F15" s="4" t="e">
        <f>SUMPRODUCT(--(Roster_Status=$C$15),--(Roster_WorkshopType=$D$5),--(MONTH(Roster_WorkshopDate)=3),--(YEAR(Roster_WorkshopDate)=$D$4))</f>
        <v>#VALUE!</v>
      </c>
      <c r="G15" s="4" t="e">
        <f>SUMPRODUCT(--(Roster_Status=$C$15),--(Roster_WorkshopType=$D$5),--(MONTH(Roster_WorkshopDate)=4),--(YEAR(Roster_WorkshopDate)=$D$4))</f>
        <v>#VALUE!</v>
      </c>
      <c r="H15" s="4" t="e">
        <f>SUMPRODUCT(--(Roster_Status=$C$15),--(Roster_WorkshopType=$D$5),--(MONTH(Roster_WorkshopDate)=5),--(YEAR(Roster_WorkshopDate)=$D$4))</f>
        <v>#VALUE!</v>
      </c>
      <c r="I15" s="4" t="e">
        <f>SUMPRODUCT(--(Roster_Status=$C$15),--(Roster_WorkshopType=$D$5),--(MONTH(Roster_WorkshopDate)=6),--(YEAR(Roster_WorkshopDate)=$D$4))</f>
        <v>#VALUE!</v>
      </c>
      <c r="J15" s="4" t="e">
        <f>SUMPRODUCT(--(Roster_Status=$C$15),--(Roster_WorkshopType=$D$5),--(MONTH(Roster_WorkshopDate)=7),--(YEAR(Roster_WorkshopDate)=$D$4))</f>
        <v>#VALUE!</v>
      </c>
      <c r="K15" s="4" t="e">
        <f>SUMPRODUCT(--(Roster_Status=$C$15),--(Roster_WorkshopType=$D$5),--(MONTH(Roster_WorkshopDate)=8),--(YEAR(Roster_WorkshopDate)=$D$4))</f>
        <v>#VALUE!</v>
      </c>
      <c r="L15" s="4" t="e">
        <f>SUMPRODUCT(--(Roster_Status=$C$15),--(Roster_WorkshopType=$D$5),--(MONTH(Roster_WorkshopDate)=9),--(YEAR(Roster_WorkshopDate)=$D$4))</f>
        <v>#VALUE!</v>
      </c>
      <c r="M15" s="4" t="e">
        <f>SUMPRODUCT(--(Roster_Status=$C$15),--(Roster_WorkshopType=$D$5),--(MONTH(Roster_WorkshopDate)=10),--(YEAR(Roster_WorkshopDate)=$D$4))</f>
        <v>#VALUE!</v>
      </c>
      <c r="N15" s="4" t="e">
        <f>SUMPRODUCT(--(Roster_Status=$C$15),--(Roster_WorkshopType=$D$5),--(MONTH(Roster_WorkshopDate)=11),--(YEAR(Roster_WorkshopDate)=$D$4))</f>
        <v>#VALUE!</v>
      </c>
      <c r="O15" s="4" t="e">
        <f>SUMPRODUCT(--(Roster_Status=$C$15),--(Roster_WorkshopType=$D$5),--(MONTH(Roster_WorkshopDate)=12),--(YEAR(Roster_WorkshopDate)=$D$4))</f>
        <v>#VALUE!</v>
      </c>
      <c r="P15" s="31" t="e">
        <f>SUM(Table212[[#This Row],[Jan]:[Dec]])</f>
        <v>#VALUE!</v>
      </c>
    </row>
    <row r="16" spans="2:17">
      <c r="C16" s="62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63"/>
    </row>
    <row r="17" spans="3:16" ht="15.75" thickBot="1">
      <c r="C17" s="62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63"/>
    </row>
    <row r="18" spans="3:16" ht="16.5" thickBot="1">
      <c r="C18" s="136" t="s">
        <v>99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8"/>
    </row>
    <row r="19" spans="3:16" ht="25.5">
      <c r="C19" s="23" t="s">
        <v>50</v>
      </c>
      <c r="D19" s="24" t="s">
        <v>37</v>
      </c>
      <c r="E19" s="24" t="s">
        <v>38</v>
      </c>
      <c r="F19" s="24" t="s">
        <v>39</v>
      </c>
      <c r="G19" s="24" t="s">
        <v>40</v>
      </c>
      <c r="H19" s="24" t="s">
        <v>41</v>
      </c>
      <c r="I19" s="24" t="s">
        <v>42</v>
      </c>
      <c r="J19" s="24" t="s">
        <v>43</v>
      </c>
      <c r="K19" s="24" t="s">
        <v>44</v>
      </c>
      <c r="L19" s="24" t="s">
        <v>45</v>
      </c>
      <c r="M19" s="24" t="s">
        <v>46</v>
      </c>
      <c r="N19" s="24" t="s">
        <v>47</v>
      </c>
      <c r="O19" s="24" t="s">
        <v>48</v>
      </c>
      <c r="P19" s="23" t="s">
        <v>28</v>
      </c>
    </row>
    <row r="20" spans="3:16">
      <c r="C20" s="19" t="str">
        <f>DataSheet!C1</f>
        <v>Students - Govt School</v>
      </c>
      <c r="D20" s="3" t="e">
        <f>SUMPRODUCT(--(Roster_TypeOfOrganizer=$C$20),--(Roster_WorkshopType=$D$5),--(MONTH(Roster_WorkshopDate)=1),--(YEAR(Roster_WorkshopDate)=$D$4))</f>
        <v>#VALUE!</v>
      </c>
      <c r="E20" s="3" t="e">
        <f>SUMPRODUCT(--(Roster_TypeOfOrganizer=$C$20),--(Roster_WorkshopType=$D$5),--(MONTH(Roster_WorkshopDate)=2),--(YEAR(Roster_WorkshopDate)=$D$4))</f>
        <v>#VALUE!</v>
      </c>
      <c r="F20" s="3" t="e">
        <f>SUMPRODUCT(--(Roster_TypeOfOrganizer=$C$20),--(Roster_WorkshopType=$D$5),--(MONTH(Roster_WorkshopDate)=3),--(YEAR(Roster_WorkshopDate)=$D$4))</f>
        <v>#VALUE!</v>
      </c>
      <c r="G20" s="3" t="e">
        <f>SUMPRODUCT(--(Roster_TypeOfOrganizer=$C$20),--(Roster_WorkshopType=$D$5),--(MONTH(Roster_WorkshopDate)=4),--(YEAR(Roster_WorkshopDate)=$D$4))</f>
        <v>#VALUE!</v>
      </c>
      <c r="H20" s="3" t="e">
        <f>SUMPRODUCT(--(Roster_TypeOfOrganizer=$C$20),--(Roster_WorkshopType=$D$5),--(MONTH(Roster_WorkshopDate)=5),--(YEAR(Roster_WorkshopDate)=$D$4))</f>
        <v>#VALUE!</v>
      </c>
      <c r="I20" s="3" t="e">
        <f>SUMPRODUCT(--(Roster_TypeOfOrganizer=$C$20),--(Roster_WorkshopType=$D$5),--(MONTH(Roster_WorkshopDate)=6),--(YEAR(Roster_WorkshopDate)=$D$4))</f>
        <v>#VALUE!</v>
      </c>
      <c r="J20" s="3" t="e">
        <f>SUMPRODUCT(--(Roster_TypeOfOrganizer=$C$20),--(Roster_WorkshopType=$D$5),--(MONTH(Roster_WorkshopDate)=7),--(YEAR(Roster_WorkshopDate)=$D$4))</f>
        <v>#VALUE!</v>
      </c>
      <c r="K20" s="3" t="e">
        <f>SUMPRODUCT(--(Roster_TypeOfOrganizer=$C$20),--(Roster_WorkshopType=$D$5),--(MONTH(Roster_WorkshopDate)=8),--(YEAR(Roster_WorkshopDate)=$D$4))</f>
        <v>#VALUE!</v>
      </c>
      <c r="L20" s="3" t="e">
        <f>SUMPRODUCT(--(Roster_TypeOfOrganizer=$C$20),--(Roster_WorkshopType=$D$5),--(MONTH(Roster_WorkshopDate)=9),--(YEAR(Roster_WorkshopDate)=$D$4))</f>
        <v>#VALUE!</v>
      </c>
      <c r="M20" s="3" t="e">
        <f>SUMPRODUCT(--(Roster_TypeOfOrganizer=$C$20),--(Roster_WorkshopType=$D$5),--(MONTH(Roster_WorkshopDate)=10),--(YEAR(Roster_WorkshopDate)=$D$4))</f>
        <v>#VALUE!</v>
      </c>
      <c r="N20" s="3" t="e">
        <f>SUMPRODUCT(--(Roster_TypeOfOrganizer=$C$20),--(Roster_WorkshopType=$D$5),--(MONTH(Roster_WorkshopDate)=11),--(YEAR(Roster_WorkshopDate)=$D$4))</f>
        <v>#VALUE!</v>
      </c>
      <c r="O20" s="3" t="e">
        <f>SUMPRODUCT(--(Roster_TypeOfOrganizer=$C$20),--(Roster_WorkshopType=$D$5),--(MONTH(Roster_WorkshopDate)=12),--(YEAR(Roster_WorkshopDate)=$D$4))</f>
        <v>#VALUE!</v>
      </c>
      <c r="P20" s="30" t="e">
        <f>SUM(Table313[[#This Row],[Jan]:[Dec]])</f>
        <v>#VALUE!</v>
      </c>
    </row>
    <row r="21" spans="3:16">
      <c r="C21" s="19" t="str">
        <f>DataSheet!C2</f>
        <v>Students - Pvt School</v>
      </c>
      <c r="D21" s="3" t="e">
        <f>SUMPRODUCT(--(Roster_TypeOfOrganizer=$C$21),--(Roster_WorkshopType=$D$5),--(MONTH(Roster_WorkshopDate)=1),--(YEAR(Roster_WorkshopDate)=$D$4))</f>
        <v>#VALUE!</v>
      </c>
      <c r="E21" s="3" t="e">
        <f>SUMPRODUCT(--(Roster_TypeOfOrganizer=$C$21),--(Roster_WorkshopType=$D$5),--(MONTH(Roster_WorkshopDate)=2),--(YEAR(Roster_WorkshopDate)=$D$4))</f>
        <v>#VALUE!</v>
      </c>
      <c r="F21" s="3" t="e">
        <f>SUMPRODUCT(--(Roster_TypeOfOrganizer=$C$21),--(Roster_WorkshopType=$D$5),--(MONTH(Roster_WorkshopDate)=3),--(YEAR(Roster_WorkshopDate)=$D$4))</f>
        <v>#VALUE!</v>
      </c>
      <c r="G21" s="3" t="e">
        <f>SUMPRODUCT(--(Roster_TypeOfOrganizer=$C$21),--(Roster_WorkshopType=$D$5),--(MONTH(Roster_WorkshopDate)=4),--(YEAR(Roster_WorkshopDate)=$D$4))</f>
        <v>#VALUE!</v>
      </c>
      <c r="H21" s="3" t="e">
        <f>SUMPRODUCT(--(Roster_TypeOfOrganizer=$C$21),--(Roster_WorkshopType=$D$5),--(MONTH(Roster_WorkshopDate)=5),--(YEAR(Roster_WorkshopDate)=$D$4))</f>
        <v>#VALUE!</v>
      </c>
      <c r="I21" s="3" t="e">
        <f>SUMPRODUCT(--(Roster_TypeOfOrganizer=$C$21),--(Roster_WorkshopType=$D$5),--(MONTH(Roster_WorkshopDate)=6),--(YEAR(Roster_WorkshopDate)=$D$4))</f>
        <v>#VALUE!</v>
      </c>
      <c r="J21" s="3" t="e">
        <f>SUMPRODUCT(--(Roster_TypeOfOrganizer=$C$21),--(Roster_WorkshopType=$D$5),--(MONTH(Roster_WorkshopDate)=7),--(YEAR(Roster_WorkshopDate)=$D$4))</f>
        <v>#VALUE!</v>
      </c>
      <c r="K21" s="3" t="e">
        <f>SUMPRODUCT(--(Roster_TypeOfOrganizer=$C$21),--(Roster_WorkshopType=$D$5),--(MONTH(Roster_WorkshopDate)=8),--(YEAR(Roster_WorkshopDate)=$D$4))</f>
        <v>#VALUE!</v>
      </c>
      <c r="L21" s="3" t="e">
        <f>SUMPRODUCT(--(Roster_TypeOfOrganizer=$C$21),--(Roster_WorkshopType=$D$5),--(MONTH(Roster_WorkshopDate)=9),--(YEAR(Roster_WorkshopDate)=$D$4))</f>
        <v>#VALUE!</v>
      </c>
      <c r="M21" s="3" t="e">
        <f>SUMPRODUCT(--(Roster_TypeOfOrganizer=$C$21),--(Roster_WorkshopType=$D$5),--(MONTH(Roster_WorkshopDate)=10),--(YEAR(Roster_WorkshopDate)=$D$4))</f>
        <v>#VALUE!</v>
      </c>
      <c r="N21" s="3" t="e">
        <f>SUMPRODUCT(--(Roster_TypeOfOrganizer=$C$21),--(Roster_WorkshopType=$D$5),--(MONTH(Roster_WorkshopDate)=11),--(YEAR(Roster_WorkshopDate)=$D$4))</f>
        <v>#VALUE!</v>
      </c>
      <c r="O21" s="3" t="e">
        <f>SUMPRODUCT(--(Roster_TypeOfOrganizer=$C$21),--(Roster_WorkshopType=$D$5),--(MONTH(Roster_WorkshopDate)=12),--(YEAR(Roster_WorkshopDate)=$D$4))</f>
        <v>#VALUE!</v>
      </c>
      <c r="P21" s="30" t="e">
        <f>SUM(Table313[[#This Row],[Jan]:[Dec]])</f>
        <v>#VALUE!</v>
      </c>
    </row>
    <row r="22" spans="3:16">
      <c r="C22" s="19" t="str">
        <f>DataSheet!C3</f>
        <v>Students - Govt College / University</v>
      </c>
      <c r="D22" s="3" t="e">
        <f>SUMPRODUCT(--(Roster_TypeOfOrganizer=$C$22),--(Roster_WorkshopType=$D$5),--(MONTH(Roster_WorkshopDate)=1),--(YEAR(Roster_WorkshopDate)=$D$4))</f>
        <v>#VALUE!</v>
      </c>
      <c r="E22" s="3" t="e">
        <f>SUMPRODUCT(--(Roster_TypeOfOrganizer=$C$22),--(Roster_WorkshopType=$D$5),--(MONTH(Roster_WorkshopDate)=2),--(YEAR(Roster_WorkshopDate)=$D$4))</f>
        <v>#VALUE!</v>
      </c>
      <c r="F22" s="3" t="e">
        <f>SUMPRODUCT(--(Roster_TypeOfOrganizer=$C$22),--(Roster_WorkshopType=$D$5),--(MONTH(Roster_WorkshopDate)=3),--(YEAR(Roster_WorkshopDate)=$D$4))</f>
        <v>#VALUE!</v>
      </c>
      <c r="G22" s="3" t="e">
        <f>SUMPRODUCT(--(Roster_TypeOfOrganizer=$C$22),--(Roster_WorkshopType=$D$5),--(MONTH(Roster_WorkshopDate)=4),--(YEAR(Roster_WorkshopDate)=$D$4))</f>
        <v>#VALUE!</v>
      </c>
      <c r="H22" s="3" t="e">
        <f>SUMPRODUCT(--(Roster_TypeOfOrganizer=$C$22),--(Roster_WorkshopType=$D$5),--(MONTH(Roster_WorkshopDate)=5),--(YEAR(Roster_WorkshopDate)=$D$4))</f>
        <v>#VALUE!</v>
      </c>
      <c r="I22" s="3" t="e">
        <f>SUMPRODUCT(--(Roster_TypeOfOrganizer=$C$22),--(Roster_WorkshopType=$D$5),--(MONTH(Roster_WorkshopDate)=6),--(YEAR(Roster_WorkshopDate)=$D$4))</f>
        <v>#VALUE!</v>
      </c>
      <c r="J22" s="3" t="e">
        <f>SUMPRODUCT(--(Roster_TypeOfOrganizer=$C$22),--(Roster_WorkshopType=$D$5),--(MONTH(Roster_WorkshopDate)=7),--(YEAR(Roster_WorkshopDate)=$D$4))</f>
        <v>#VALUE!</v>
      </c>
      <c r="K22" s="3" t="e">
        <f>SUMPRODUCT(--(Roster_TypeOfOrganizer=$C$22),--(Roster_WorkshopType=$D$5),--(MONTH(Roster_WorkshopDate)=8),--(YEAR(Roster_WorkshopDate)=$D$4))</f>
        <v>#VALUE!</v>
      </c>
      <c r="L22" s="3" t="e">
        <f>SUMPRODUCT(--(Roster_TypeOfOrganizer=$C$22),--(Roster_WorkshopType=$D$5),--(MONTH(Roster_WorkshopDate)=9),--(YEAR(Roster_WorkshopDate)=$D$4))</f>
        <v>#VALUE!</v>
      </c>
      <c r="M22" s="3" t="e">
        <f>SUMPRODUCT(--(Roster_TypeOfOrganizer=$C$22),--(Roster_WorkshopType=$D$5),--(MONTH(Roster_WorkshopDate)=10),--(YEAR(Roster_WorkshopDate)=$D$4))</f>
        <v>#VALUE!</v>
      </c>
      <c r="N22" s="3" t="e">
        <f>SUMPRODUCT(--(Roster_TypeOfOrganizer=$C$22),--(Roster_WorkshopType=$D$5),--(MONTH(Roster_WorkshopDate)=11),--(YEAR(Roster_WorkshopDate)=$D$4))</f>
        <v>#VALUE!</v>
      </c>
      <c r="O22" s="3" t="e">
        <f>SUMPRODUCT(--(Roster_TypeOfOrganizer=$C$22),--(Roster_WorkshopType=$D$5),--(MONTH(Roster_WorkshopDate)=12),--(YEAR(Roster_WorkshopDate)=$D$4))</f>
        <v>#VALUE!</v>
      </c>
      <c r="P22" s="30" t="e">
        <f>SUM(Table313[[#This Row],[Jan]:[Dec]])</f>
        <v>#VALUE!</v>
      </c>
    </row>
    <row r="23" spans="3:16">
      <c r="C23" s="19" t="str">
        <f>DataSheet!C4</f>
        <v>Students - Pvt College / University</v>
      </c>
      <c r="D23" s="3" t="e">
        <f>SUMPRODUCT(--(Roster_TypeOfOrganizer=$C$23),--(Roster_WorkshopType=$D$5),--(MONTH(Roster_WorkshopDate)=1),--(YEAR(Roster_WorkshopDate)=$D$4))</f>
        <v>#VALUE!</v>
      </c>
      <c r="E23" s="3" t="e">
        <f>SUMPRODUCT(--(Roster_TypeOfOrganizer=$C$23),--(Roster_WorkshopType=$D$5),--(MONTH(Roster_WorkshopDate)=2),--(YEAR(Roster_WorkshopDate)=$D$4))</f>
        <v>#VALUE!</v>
      </c>
      <c r="F23" s="3" t="e">
        <f>SUMPRODUCT(--(Roster_TypeOfOrganizer=$C$23),--(Roster_WorkshopType=$D$5),--(MONTH(Roster_WorkshopDate)=3),--(YEAR(Roster_WorkshopDate)=$D$4))</f>
        <v>#VALUE!</v>
      </c>
      <c r="G23" s="3" t="e">
        <f>SUMPRODUCT(--(Roster_TypeOfOrganizer=$C$23),--(Roster_WorkshopType=$D$5),--(MONTH(Roster_WorkshopDate)=4),--(YEAR(Roster_WorkshopDate)=$D$4))</f>
        <v>#VALUE!</v>
      </c>
      <c r="H23" s="3" t="e">
        <f>SUMPRODUCT(--(Roster_TypeOfOrganizer=$C$23),--(Roster_WorkshopType=$D$5),--(MONTH(Roster_WorkshopDate)=5),--(YEAR(Roster_WorkshopDate)=$D$4))</f>
        <v>#VALUE!</v>
      </c>
      <c r="I23" s="3" t="e">
        <f>SUMPRODUCT(--(Roster_TypeOfOrganizer=$C$23),--(Roster_WorkshopType=$D$5),--(MONTH(Roster_WorkshopDate)=6),--(YEAR(Roster_WorkshopDate)=$D$4))</f>
        <v>#VALUE!</v>
      </c>
      <c r="J23" s="3" t="e">
        <f>SUMPRODUCT(--(Roster_TypeOfOrganizer=$C$23),--(Roster_WorkshopType=$D$5),--(MONTH(Roster_WorkshopDate)=7),--(YEAR(Roster_WorkshopDate)=$D$4))</f>
        <v>#VALUE!</v>
      </c>
      <c r="K23" s="3" t="e">
        <f>SUMPRODUCT(--(Roster_TypeOfOrganizer=$C$23),--(Roster_WorkshopType=$D$5),--(MONTH(Roster_WorkshopDate)=8),--(YEAR(Roster_WorkshopDate)=$D$4))</f>
        <v>#VALUE!</v>
      </c>
      <c r="L23" s="3" t="e">
        <f>SUMPRODUCT(--(Roster_TypeOfOrganizer=$C$23),--(Roster_WorkshopType=$D$5),--(MONTH(Roster_WorkshopDate)=9),--(YEAR(Roster_WorkshopDate)=$D$4))</f>
        <v>#VALUE!</v>
      </c>
      <c r="M23" s="3" t="e">
        <f>SUMPRODUCT(--(Roster_TypeOfOrganizer=$C$23),--(Roster_WorkshopType=$D$5),--(MONTH(Roster_WorkshopDate)=10),--(YEAR(Roster_WorkshopDate)=$D$4))</f>
        <v>#VALUE!</v>
      </c>
      <c r="N23" s="3" t="e">
        <f>SUMPRODUCT(--(Roster_TypeOfOrganizer=$C$23),--(Roster_WorkshopType=$D$5),--(MONTH(Roster_WorkshopDate)=11),--(YEAR(Roster_WorkshopDate)=$D$4))</f>
        <v>#VALUE!</v>
      </c>
      <c r="O23" s="3" t="e">
        <f>SUMPRODUCT(--(Roster_TypeOfOrganizer=$C$23),--(Roster_WorkshopType=$D$5),--(MONTH(Roster_WorkshopDate)=12),--(YEAR(Roster_WorkshopDate)=$D$4))</f>
        <v>#VALUE!</v>
      </c>
      <c r="P23" s="30" t="e">
        <f>SUM(Table313[[#This Row],[Jan]:[Dec]])</f>
        <v>#VALUE!</v>
      </c>
    </row>
    <row r="24" spans="3:16">
      <c r="C24" s="19" t="str">
        <f>DataSheet!C5</f>
        <v>Govt Organization</v>
      </c>
      <c r="D24" s="3" t="e">
        <f>SUMPRODUCT(--(Roster_TypeOfOrganizer=$C$24),--(Roster_WorkshopType=$D$5),--(MONTH(Roster_WorkshopDate)=1),--(YEAR(Roster_WorkshopDate)=$D$4))</f>
        <v>#VALUE!</v>
      </c>
      <c r="E24" s="3" t="e">
        <f>SUMPRODUCT(--(Roster_TypeOfOrganizer=$C$24),--(Roster_WorkshopType=$D$5),--(MONTH(Roster_WorkshopDate)=2),--(YEAR(Roster_WorkshopDate)=$D$4))</f>
        <v>#VALUE!</v>
      </c>
      <c r="F24" s="3" t="e">
        <f>SUMPRODUCT(--(Roster_TypeOfOrganizer=$C$24),--(Roster_WorkshopType=$D$5),--(MONTH(Roster_WorkshopDate)=3),--(YEAR(Roster_WorkshopDate)=$D$4))</f>
        <v>#VALUE!</v>
      </c>
      <c r="G24" s="3" t="e">
        <f>SUMPRODUCT(--(Roster_TypeOfOrganizer=$C$24),--(Roster_WorkshopType=$D$5),--(MONTH(Roster_WorkshopDate)=4),--(YEAR(Roster_WorkshopDate)=$D$4))</f>
        <v>#VALUE!</v>
      </c>
      <c r="H24" s="3" t="e">
        <f>SUMPRODUCT(--(Roster_TypeOfOrganizer=$C$24),--(Roster_WorkshopType=$D$5),--(MONTH(Roster_WorkshopDate)=5),--(YEAR(Roster_WorkshopDate)=$D$4))</f>
        <v>#VALUE!</v>
      </c>
      <c r="I24" s="3" t="e">
        <f>SUMPRODUCT(--(Roster_TypeOfOrganizer=$C$24),--(Roster_WorkshopType=$D$5),--(MONTH(Roster_WorkshopDate)=6),--(YEAR(Roster_WorkshopDate)=$D$4))</f>
        <v>#VALUE!</v>
      </c>
      <c r="J24" s="3" t="e">
        <f>SUMPRODUCT(--(Roster_TypeOfOrganizer=$C$24),--(Roster_WorkshopType=$D$5),--(MONTH(Roster_WorkshopDate)=7),--(YEAR(Roster_WorkshopDate)=$D$4))</f>
        <v>#VALUE!</v>
      </c>
      <c r="K24" s="3" t="e">
        <f>SUMPRODUCT(--(Roster_TypeOfOrganizer=$C$24),--(Roster_WorkshopType=$D$5),--(MONTH(Roster_WorkshopDate)=8),--(YEAR(Roster_WorkshopDate)=$D$4))</f>
        <v>#VALUE!</v>
      </c>
      <c r="L24" s="3" t="e">
        <f>SUMPRODUCT(--(Roster_TypeOfOrganizer=$C$24),--(Roster_WorkshopType=$D$5),--(MONTH(Roster_WorkshopDate)=9),--(YEAR(Roster_WorkshopDate)=$D$4))</f>
        <v>#VALUE!</v>
      </c>
      <c r="M24" s="3" t="e">
        <f>SUMPRODUCT(--(Roster_TypeOfOrganizer=$C$24),--(Roster_WorkshopType=$D$5),--(MONTH(Roster_WorkshopDate)=10),--(YEAR(Roster_WorkshopDate)=$D$4))</f>
        <v>#VALUE!</v>
      </c>
      <c r="N24" s="3" t="e">
        <f>SUMPRODUCT(--(Roster_TypeOfOrganizer=$C$24),--(Roster_WorkshopType=$D$5),--(MONTH(Roster_WorkshopDate)=11),--(YEAR(Roster_WorkshopDate)=$D$4))</f>
        <v>#VALUE!</v>
      </c>
      <c r="O24" s="3" t="e">
        <f>SUMPRODUCT(--(Roster_TypeOfOrganizer=$C$24),--(Roster_WorkshopType=$D$5),--(MONTH(Roster_WorkshopDate)=12),--(YEAR(Roster_WorkshopDate)=$D$4))</f>
        <v>#VALUE!</v>
      </c>
      <c r="P24" s="30" t="e">
        <f>SUM(Table313[[#This Row],[Jan]:[Dec]])</f>
        <v>#VALUE!</v>
      </c>
    </row>
    <row r="25" spans="3:16">
      <c r="C25" s="19" t="str">
        <f>DataSheet!C6</f>
        <v>Corporates</v>
      </c>
      <c r="D25" s="3" t="e">
        <f>SUMPRODUCT(--(Roster_TypeOfOrganizer=$C$25),--(Roster_WorkshopType=$D$5),--(MONTH(Roster_WorkshopDate)=1),--(YEAR(Roster_WorkshopDate)=$D$4))</f>
        <v>#VALUE!</v>
      </c>
      <c r="E25" s="3" t="e">
        <f>SUMPRODUCT(--(Roster_TypeOfOrganizer=$C$25),--(Roster_WorkshopType=$D$5),--(MONTH(Roster_WorkshopDate)=2),--(YEAR(Roster_WorkshopDate)=$D$4))</f>
        <v>#VALUE!</v>
      </c>
      <c r="F25" s="3" t="e">
        <f>SUMPRODUCT(--(Roster_TypeOfOrganizer=$C$25),--(Roster_WorkshopType=$D$5),--(MONTH(Roster_WorkshopDate)=3),--(YEAR(Roster_WorkshopDate)=$D$4))</f>
        <v>#VALUE!</v>
      </c>
      <c r="G25" s="3" t="e">
        <f>SUMPRODUCT(--(Roster_TypeOfOrganizer=$C$25),--(Roster_WorkshopType=$D$5),--(MONTH(Roster_WorkshopDate)=4),--(YEAR(Roster_WorkshopDate)=$D$4))</f>
        <v>#VALUE!</v>
      </c>
      <c r="H25" s="3" t="e">
        <f>SUMPRODUCT(--(Roster_TypeOfOrganizer=$C$25),--(Roster_WorkshopType=$D$5),--(MONTH(Roster_WorkshopDate)=5),--(YEAR(Roster_WorkshopDate)=$D$4))</f>
        <v>#VALUE!</v>
      </c>
      <c r="I25" s="3" t="e">
        <f>SUMPRODUCT(--(Roster_TypeOfOrganizer=$C$25),--(Roster_WorkshopType=$D$5),--(MONTH(Roster_WorkshopDate)=6),--(YEAR(Roster_WorkshopDate)=$D$4))</f>
        <v>#VALUE!</v>
      </c>
      <c r="J25" s="3" t="e">
        <f>SUMPRODUCT(--(Roster_TypeOfOrganizer=$C$25),--(Roster_WorkshopType=$D$5),--(MONTH(Roster_WorkshopDate)=7),--(YEAR(Roster_WorkshopDate)=$D$4))</f>
        <v>#VALUE!</v>
      </c>
      <c r="K25" s="3" t="e">
        <f>SUMPRODUCT(--(Roster_TypeOfOrganizer=$C$25),--(Roster_WorkshopType=$D$5),--(MONTH(Roster_WorkshopDate)=8),--(YEAR(Roster_WorkshopDate)=$D$4))</f>
        <v>#VALUE!</v>
      </c>
      <c r="L25" s="3" t="e">
        <f>SUMPRODUCT(--(Roster_TypeOfOrganizer=$C$25),--(Roster_WorkshopType=$D$5),--(MONTH(Roster_WorkshopDate)=9),--(YEAR(Roster_WorkshopDate)=$D$4))</f>
        <v>#VALUE!</v>
      </c>
      <c r="M25" s="3" t="e">
        <f>SUMPRODUCT(--(Roster_TypeOfOrganizer=$C$25),--(Roster_WorkshopType=$D$5),--(MONTH(Roster_WorkshopDate)=10),--(YEAR(Roster_WorkshopDate)=$D$4))</f>
        <v>#VALUE!</v>
      </c>
      <c r="N25" s="3" t="e">
        <f>SUMPRODUCT(--(Roster_TypeOfOrganizer=$C$25),--(Roster_WorkshopType=$D$5),--(MONTH(Roster_WorkshopDate)=11),--(YEAR(Roster_WorkshopDate)=$D$4))</f>
        <v>#VALUE!</v>
      </c>
      <c r="O25" s="3" t="e">
        <f>SUMPRODUCT(--(Roster_TypeOfOrganizer=$C$25),--(Roster_WorkshopType=$D$5),--(MONTH(Roster_WorkshopDate)=12),--(YEAR(Roster_WorkshopDate)=$D$4))</f>
        <v>#VALUE!</v>
      </c>
      <c r="P25" s="30" t="e">
        <f>SUM(Table313[[#This Row],[Jan]:[Dec]])</f>
        <v>#VALUE!</v>
      </c>
    </row>
    <row r="26" spans="3:16">
      <c r="C26" s="19" t="str">
        <f>DataSheet!C7</f>
        <v>Auto Drivers</v>
      </c>
      <c r="D26" s="3" t="e">
        <f>SUMPRODUCT(--(Roster_TypeOfOrganizer=$C$26),--(Roster_WorkshopType=$D$5),--(MONTH(Roster_WorkshopDate)=1),--(YEAR(Roster_WorkshopDate)=$D$4))</f>
        <v>#VALUE!</v>
      </c>
      <c r="E26" s="3" t="e">
        <f>SUMPRODUCT(--(Roster_TypeOfOrganizer=$C$26),--(Roster_WorkshopType=$D$5),--(MONTH(Roster_WorkshopDate)=2),--(YEAR(Roster_WorkshopDate)=$D$4))</f>
        <v>#VALUE!</v>
      </c>
      <c r="F26" s="3" t="e">
        <f>SUMPRODUCT(--(Roster_TypeOfOrganizer=$C$26),--(Roster_WorkshopType=$D$5),--(MONTH(Roster_WorkshopDate)=3),--(YEAR(Roster_WorkshopDate)=$D$4))</f>
        <v>#VALUE!</v>
      </c>
      <c r="G26" s="3" t="e">
        <f>SUMPRODUCT(--(Roster_TypeOfOrganizer=$C$26),--(Roster_WorkshopType=$D$5),--(MONTH(Roster_WorkshopDate)=4),--(YEAR(Roster_WorkshopDate)=$D$4))</f>
        <v>#VALUE!</v>
      </c>
      <c r="H26" s="3" t="e">
        <f>SUMPRODUCT(--(Roster_TypeOfOrganizer=$C$26),--(Roster_WorkshopType=$D$5),--(MONTH(Roster_WorkshopDate)=5),--(YEAR(Roster_WorkshopDate)=$D$4))</f>
        <v>#VALUE!</v>
      </c>
      <c r="I26" s="3" t="e">
        <f>SUMPRODUCT(--(Roster_TypeOfOrganizer=$C$26),--(Roster_WorkshopType=$D$5),--(MONTH(Roster_WorkshopDate)=6),--(YEAR(Roster_WorkshopDate)=$D$4))</f>
        <v>#VALUE!</v>
      </c>
      <c r="J26" s="3" t="e">
        <f>SUMPRODUCT(--(Roster_TypeOfOrganizer=$C$26),--(Roster_WorkshopType=$D$5),--(MONTH(Roster_WorkshopDate)=7),--(YEAR(Roster_WorkshopDate)=$D$4))</f>
        <v>#VALUE!</v>
      </c>
      <c r="K26" s="3" t="e">
        <f>SUMPRODUCT(--(Roster_TypeOfOrganizer=$C$26),--(Roster_WorkshopType=$D$5),--(MONTH(Roster_WorkshopDate)=8),--(YEAR(Roster_WorkshopDate)=$D$4))</f>
        <v>#VALUE!</v>
      </c>
      <c r="L26" s="3" t="e">
        <f>SUMPRODUCT(--(Roster_TypeOfOrganizer=$C$26),--(Roster_WorkshopType=$D$5),--(MONTH(Roster_WorkshopDate)=9),--(YEAR(Roster_WorkshopDate)=$D$4))</f>
        <v>#VALUE!</v>
      </c>
      <c r="M26" s="3" t="e">
        <f>SUMPRODUCT(--(Roster_TypeOfOrganizer=$C$26),--(Roster_WorkshopType=$D$5),--(MONTH(Roster_WorkshopDate)=10),--(YEAR(Roster_WorkshopDate)=$D$4))</f>
        <v>#VALUE!</v>
      </c>
      <c r="N26" s="3" t="e">
        <f>SUMPRODUCT(--(Roster_TypeOfOrganizer=$C$26),--(Roster_WorkshopType=$D$5),--(MONTH(Roster_WorkshopDate)=11),--(YEAR(Roster_WorkshopDate)=$D$4))</f>
        <v>#VALUE!</v>
      </c>
      <c r="O26" s="3" t="e">
        <f>SUMPRODUCT(--(Roster_TypeOfOrganizer=$C$26),--(Roster_WorkshopType=$D$5),--(MONTH(Roster_WorkshopDate)=12),--(YEAR(Roster_WorkshopDate)=$D$4))</f>
        <v>#VALUE!</v>
      </c>
      <c r="P26" s="30" t="e">
        <f>SUM(Table313[[#This Row],[Jan]:[Dec]])</f>
        <v>#VALUE!</v>
      </c>
    </row>
    <row r="27" spans="3:16">
      <c r="C27" s="19" t="str">
        <f>DataSheet!C8</f>
        <v>Cab Drivers</v>
      </c>
      <c r="D27" s="3" t="e">
        <f>SUMPRODUCT(--(Roster_TypeOfOrganizer=$C$27),--(Roster_WorkshopType=$D$5),--(MONTH(Roster_WorkshopDate)=1),--(YEAR(Roster_WorkshopDate)=$D$4))</f>
        <v>#VALUE!</v>
      </c>
      <c r="E27" s="3" t="e">
        <f>SUMPRODUCT(--(Roster_TypeOfOrganizer=$C$27),--(Roster_WorkshopType=$D$5),--(MONTH(Roster_WorkshopDate)=2),--(YEAR(Roster_WorkshopDate)=$D$4))</f>
        <v>#VALUE!</v>
      </c>
      <c r="F27" s="3" t="e">
        <f>SUMPRODUCT(--(Roster_TypeOfOrganizer=$C$27),--(Roster_WorkshopType=$D$5),--(MONTH(Roster_WorkshopDate)=3),--(YEAR(Roster_WorkshopDate)=$D$4))</f>
        <v>#VALUE!</v>
      </c>
      <c r="G27" s="3" t="e">
        <f>SUMPRODUCT(--(Roster_TypeOfOrganizer=$C$27),--(Roster_WorkshopType=$D$5),--(MONTH(Roster_WorkshopDate)=4),--(YEAR(Roster_WorkshopDate)=$D$4))</f>
        <v>#VALUE!</v>
      </c>
      <c r="H27" s="3" t="e">
        <f>SUMPRODUCT(--(Roster_TypeOfOrganizer=$C$27),--(Roster_WorkshopType=$D$5),--(MONTH(Roster_WorkshopDate)=5),--(YEAR(Roster_WorkshopDate)=$D$4))</f>
        <v>#VALUE!</v>
      </c>
      <c r="I27" s="3" t="e">
        <f>SUMPRODUCT(--(Roster_TypeOfOrganizer=$C$27),--(Roster_WorkshopType=$D$5),--(MONTH(Roster_WorkshopDate)=6),--(YEAR(Roster_WorkshopDate)=$D$4))</f>
        <v>#VALUE!</v>
      </c>
      <c r="J27" s="3" t="e">
        <f>SUMPRODUCT(--(Roster_TypeOfOrganizer=$C$27),--(Roster_WorkshopType=$D$5),--(MONTH(Roster_WorkshopDate)=7),--(YEAR(Roster_WorkshopDate)=$D$4))</f>
        <v>#VALUE!</v>
      </c>
      <c r="K27" s="3" t="e">
        <f>SUMPRODUCT(--(Roster_TypeOfOrganizer=$C$27),--(Roster_WorkshopType=$D$5),--(MONTH(Roster_WorkshopDate)=8),--(YEAR(Roster_WorkshopDate)=$D$4))</f>
        <v>#VALUE!</v>
      </c>
      <c r="L27" s="3" t="e">
        <f>SUMPRODUCT(--(Roster_TypeOfOrganizer=$C$27),--(Roster_WorkshopType=$D$5),--(MONTH(Roster_WorkshopDate)=9),--(YEAR(Roster_WorkshopDate)=$D$4))</f>
        <v>#VALUE!</v>
      </c>
      <c r="M27" s="3" t="e">
        <f>SUMPRODUCT(--(Roster_TypeOfOrganizer=$C$27),--(Roster_WorkshopType=$D$5),--(MONTH(Roster_WorkshopDate)=10),--(YEAR(Roster_WorkshopDate)=$D$4))</f>
        <v>#VALUE!</v>
      </c>
      <c r="N27" s="3" t="e">
        <f>SUMPRODUCT(--(Roster_TypeOfOrganizer=$C$27),--(Roster_WorkshopType=$D$5),--(MONTH(Roster_WorkshopDate)=11),--(YEAR(Roster_WorkshopDate)=$D$4))</f>
        <v>#VALUE!</v>
      </c>
      <c r="O27" s="3" t="e">
        <f>SUMPRODUCT(--(Roster_TypeOfOrganizer=$C$27),--(Roster_WorkshopType=$D$5),--(MONTH(Roster_WorkshopDate)=12),--(YEAR(Roster_WorkshopDate)=$D$4))</f>
        <v>#VALUE!</v>
      </c>
      <c r="P27" s="30" t="e">
        <f>SUM(Table313[[#This Row],[Jan]:[Dec]])</f>
        <v>#VALUE!</v>
      </c>
    </row>
    <row r="28" spans="3:16">
      <c r="C28" s="19" t="str">
        <f>DataSheet!C9</f>
        <v>Club</v>
      </c>
      <c r="D28" s="3" t="e">
        <f>SUMPRODUCT(--(Roster_TypeOfOrganizer=$C$28),--(Roster_WorkshopType=$D$5),--(MONTH(Roster_WorkshopDate)=1),--(YEAR(Roster_WorkshopDate)=$D$4))</f>
        <v>#VALUE!</v>
      </c>
      <c r="E28" s="3" t="e">
        <f>SUMPRODUCT(--(Roster_TypeOfOrganizer=$C$28),--(Roster_WorkshopType=$D$5),--(MONTH(Roster_WorkshopDate)=2),--(YEAR(Roster_WorkshopDate)=$D$4))</f>
        <v>#VALUE!</v>
      </c>
      <c r="F28" s="3" t="e">
        <f>SUMPRODUCT(--(Roster_TypeOfOrganizer=$C$28),--(Roster_WorkshopType=$D$5),--(MONTH(Roster_WorkshopDate)=3),--(YEAR(Roster_WorkshopDate)=$D$4))</f>
        <v>#VALUE!</v>
      </c>
      <c r="G28" s="3" t="e">
        <f>SUMPRODUCT(--(Roster_TypeOfOrganizer=$C$28),--(Roster_WorkshopType=$D$5),--(MONTH(Roster_WorkshopDate)=4),--(YEAR(Roster_WorkshopDate)=$D$4))</f>
        <v>#VALUE!</v>
      </c>
      <c r="H28" s="3" t="e">
        <f>SUMPRODUCT(--(Roster_TypeOfOrganizer=$C$28),--(Roster_WorkshopType=$D$5),--(MONTH(Roster_WorkshopDate)=5),--(YEAR(Roster_WorkshopDate)=$D$4))</f>
        <v>#VALUE!</v>
      </c>
      <c r="I28" s="3" t="e">
        <f>SUMPRODUCT(--(Roster_TypeOfOrganizer=$C$28),--(Roster_WorkshopType=$D$5),--(MONTH(Roster_WorkshopDate)=6),--(YEAR(Roster_WorkshopDate)=$D$4))</f>
        <v>#VALUE!</v>
      </c>
      <c r="J28" s="3" t="e">
        <f>SUMPRODUCT(--(Roster_TypeOfOrganizer=$C$28),--(Roster_WorkshopType=$D$5),--(MONTH(Roster_WorkshopDate)=7),--(YEAR(Roster_WorkshopDate)=$D$4))</f>
        <v>#VALUE!</v>
      </c>
      <c r="K28" s="3" t="e">
        <f>SUMPRODUCT(--(Roster_TypeOfOrganizer=$C$28),--(Roster_WorkshopType=$D$5),--(MONTH(Roster_WorkshopDate)=8),--(YEAR(Roster_WorkshopDate)=$D$4))</f>
        <v>#VALUE!</v>
      </c>
      <c r="L28" s="3" t="e">
        <f>SUMPRODUCT(--(Roster_TypeOfOrganizer=$C$28),--(Roster_WorkshopType=$D$5),--(MONTH(Roster_WorkshopDate)=9),--(YEAR(Roster_WorkshopDate)=$D$4))</f>
        <v>#VALUE!</v>
      </c>
      <c r="M28" s="3" t="e">
        <f>SUMPRODUCT(--(Roster_TypeOfOrganizer=$C$28),--(Roster_WorkshopType=$D$5),--(MONTH(Roster_WorkshopDate)=10),--(YEAR(Roster_WorkshopDate)=$D$4))</f>
        <v>#VALUE!</v>
      </c>
      <c r="N28" s="3" t="e">
        <f>SUMPRODUCT(--(Roster_TypeOfOrganizer=$C$28),--(Roster_WorkshopType=$D$5),--(MONTH(Roster_WorkshopDate)=11),--(YEAR(Roster_WorkshopDate)=$D$4))</f>
        <v>#VALUE!</v>
      </c>
      <c r="O28" s="3" t="e">
        <f>SUMPRODUCT(--(Roster_TypeOfOrganizer=$C$28),--(Roster_WorkshopType=$D$5),--(MONTH(Roster_WorkshopDate)=12),--(YEAR(Roster_WorkshopDate)=$D$4))</f>
        <v>#VALUE!</v>
      </c>
      <c r="P28" s="30" t="e">
        <f>SUM(Table313[[#This Row],[Jan]:[Dec]])</f>
        <v>#VALUE!</v>
      </c>
    </row>
    <row r="29" spans="3:16">
      <c r="C29" s="19" t="str">
        <f>DataSheet!C10</f>
        <v>ALERT Volunteer(s)</v>
      </c>
      <c r="D29" s="3" t="e">
        <f>SUMPRODUCT(--(Roster_TypeOfOrganizer=$C$29),--(Roster_WorkshopType=$D$5),--(MONTH(Roster_WorkshopDate)=1),--(YEAR(Roster_WorkshopDate)=$D$4))</f>
        <v>#VALUE!</v>
      </c>
      <c r="E29" s="3" t="e">
        <f>SUMPRODUCT(--(Roster_TypeOfOrganizer=$C$29),--(Roster_WorkshopType=$D$5),--(MONTH(Roster_WorkshopDate)=2),--(YEAR(Roster_WorkshopDate)=$D$4))</f>
        <v>#VALUE!</v>
      </c>
      <c r="F29" s="3" t="e">
        <f>SUMPRODUCT(--(Roster_TypeOfOrganizer=$C$29),--(Roster_WorkshopType=$D$5),--(MONTH(Roster_WorkshopDate)=3),--(YEAR(Roster_WorkshopDate)=$D$4))</f>
        <v>#VALUE!</v>
      </c>
      <c r="G29" s="3" t="e">
        <f>SUMPRODUCT(--(Roster_TypeOfOrganizer=$C$29),--(Roster_WorkshopType=$D$5),--(MONTH(Roster_WorkshopDate)=4),--(YEAR(Roster_WorkshopDate)=$D$4))</f>
        <v>#VALUE!</v>
      </c>
      <c r="H29" s="3" t="e">
        <f>SUMPRODUCT(--(Roster_TypeOfOrganizer=$C$29),--(Roster_WorkshopType=$D$5),--(MONTH(Roster_WorkshopDate)=5),--(YEAR(Roster_WorkshopDate)=$D$4))</f>
        <v>#VALUE!</v>
      </c>
      <c r="I29" s="3" t="e">
        <f>SUMPRODUCT(--(Roster_TypeOfOrganizer=$C$29),--(Roster_WorkshopType=$D$5),--(MONTH(Roster_WorkshopDate)=6),--(YEAR(Roster_WorkshopDate)=$D$4))</f>
        <v>#VALUE!</v>
      </c>
      <c r="J29" s="3" t="e">
        <f>SUMPRODUCT(--(Roster_TypeOfOrganizer=$C$29),--(Roster_WorkshopType=$D$5),--(MONTH(Roster_WorkshopDate)=7),--(YEAR(Roster_WorkshopDate)=$D$4))</f>
        <v>#VALUE!</v>
      </c>
      <c r="K29" s="3" t="e">
        <f>SUMPRODUCT(--(Roster_TypeOfOrganizer=$C$29),--(Roster_WorkshopType=$D$5),--(MONTH(Roster_WorkshopDate)=8),--(YEAR(Roster_WorkshopDate)=$D$4))</f>
        <v>#VALUE!</v>
      </c>
      <c r="L29" s="3" t="e">
        <f>SUMPRODUCT(--(Roster_TypeOfOrganizer=$C$29),--(Roster_WorkshopType=$D$5),--(MONTH(Roster_WorkshopDate)=9),--(YEAR(Roster_WorkshopDate)=$D$4))</f>
        <v>#VALUE!</v>
      </c>
      <c r="M29" s="3" t="e">
        <f>SUMPRODUCT(--(Roster_TypeOfOrganizer=$C$29),--(Roster_WorkshopType=$D$5),--(MONTH(Roster_WorkshopDate)=10),--(YEAR(Roster_WorkshopDate)=$D$4))</f>
        <v>#VALUE!</v>
      </c>
      <c r="N29" s="3" t="e">
        <f>SUMPRODUCT(--(Roster_TypeOfOrganizer=$C$29),--(Roster_WorkshopType=$D$5),--(MONTH(Roster_WorkshopDate)=11),--(YEAR(Roster_WorkshopDate)=$D$4))</f>
        <v>#VALUE!</v>
      </c>
      <c r="O29" s="3" t="e">
        <f>SUMPRODUCT(--(Roster_TypeOfOrganizer=$C$29),--(Roster_WorkshopType=$D$5),--(MONTH(Roster_WorkshopDate)=12),--(YEAR(Roster_WorkshopDate)=$D$4))</f>
        <v>#VALUE!</v>
      </c>
      <c r="P29" s="30" t="e">
        <f>SUM(Table313[[#This Row],[Jan]:[Dec]])</f>
        <v>#VALUE!</v>
      </c>
    </row>
    <row r="30" spans="3:16">
      <c r="C30" s="19" t="str">
        <f>DataSheet!C11</f>
        <v>Hotel</v>
      </c>
      <c r="D30" s="3" t="e">
        <f>SUMPRODUCT(--(Roster_TypeOfOrganizer=$C$30),--(Roster_WorkshopType=$D$5),--(MONTH(Roster_WorkshopDate)=1),--(YEAR(Roster_WorkshopDate)=$D$4))</f>
        <v>#VALUE!</v>
      </c>
      <c r="E30" s="3" t="e">
        <f>SUMPRODUCT(--(Roster_TypeOfOrganizer=$C$30),--(Roster_WorkshopType=$D$5),--(MONTH(Roster_WorkshopDate)=2),--(YEAR(Roster_WorkshopDate)=$D$4))</f>
        <v>#VALUE!</v>
      </c>
      <c r="F30" s="3" t="e">
        <f>SUMPRODUCT(--(Roster_TypeOfOrganizer=$C$30),--(Roster_WorkshopType=$D$5),--(MONTH(Roster_WorkshopDate)=3),--(YEAR(Roster_WorkshopDate)=$D$4))</f>
        <v>#VALUE!</v>
      </c>
      <c r="G30" s="3" t="e">
        <f>SUMPRODUCT(--(Roster_TypeOfOrganizer=$C$30),--(Roster_WorkshopType=$D$5),--(MONTH(Roster_WorkshopDate)=4),--(YEAR(Roster_WorkshopDate)=$D$4))</f>
        <v>#VALUE!</v>
      </c>
      <c r="H30" s="3" t="e">
        <f>SUMPRODUCT(--(Roster_TypeOfOrganizer=$C$30),--(Roster_WorkshopType=$D$5),--(MONTH(Roster_WorkshopDate)=5),--(YEAR(Roster_WorkshopDate)=$D$4))</f>
        <v>#VALUE!</v>
      </c>
      <c r="I30" s="3" t="e">
        <f>SUMPRODUCT(--(Roster_TypeOfOrganizer=$C$30),--(Roster_WorkshopType=$D$5),--(MONTH(Roster_WorkshopDate)=6),--(YEAR(Roster_WorkshopDate)=$D$4))</f>
        <v>#VALUE!</v>
      </c>
      <c r="J30" s="3" t="e">
        <f>SUMPRODUCT(--(Roster_TypeOfOrganizer=$C$30),--(Roster_WorkshopType=$D$5),--(MONTH(Roster_WorkshopDate)=7),--(YEAR(Roster_WorkshopDate)=$D$4))</f>
        <v>#VALUE!</v>
      </c>
      <c r="K30" s="3" t="e">
        <f>SUMPRODUCT(--(Roster_TypeOfOrganizer=$C$30),--(Roster_WorkshopType=$D$5),--(MONTH(Roster_WorkshopDate)=8),--(YEAR(Roster_WorkshopDate)=$D$4))</f>
        <v>#VALUE!</v>
      </c>
      <c r="L30" s="3" t="e">
        <f>SUMPRODUCT(--(Roster_TypeOfOrganizer=$C$30),--(Roster_WorkshopType=$D$5),--(MONTH(Roster_WorkshopDate)=9),--(YEAR(Roster_WorkshopDate)=$D$4))</f>
        <v>#VALUE!</v>
      </c>
      <c r="M30" s="3" t="e">
        <f>SUMPRODUCT(--(Roster_TypeOfOrganizer=$C$30),--(Roster_WorkshopType=$D$5),--(MONTH(Roster_WorkshopDate)=10),--(YEAR(Roster_WorkshopDate)=$D$4))</f>
        <v>#VALUE!</v>
      </c>
      <c r="N30" s="3" t="e">
        <f>SUMPRODUCT(--(Roster_TypeOfOrganizer=$C$30),--(Roster_WorkshopType=$D$5),--(MONTH(Roster_WorkshopDate)=11),--(YEAR(Roster_WorkshopDate)=$D$4))</f>
        <v>#VALUE!</v>
      </c>
      <c r="O30" s="3" t="e">
        <f>SUMPRODUCT(--(Roster_TypeOfOrganizer=$C$30),--(Roster_WorkshopType=$D$5),--(MONTH(Roster_WorkshopDate)=12),--(YEAR(Roster_WorkshopDate)=$D$4))</f>
        <v>#VALUE!</v>
      </c>
      <c r="P30" s="30" t="e">
        <f>SUM(Table313[[#This Row],[Jan]:[Dec]])</f>
        <v>#VALUE!</v>
      </c>
    </row>
    <row r="31" spans="3:16">
      <c r="C31" s="19" t="str">
        <f>DataSheet!C12</f>
        <v>Cinema</v>
      </c>
      <c r="D31" s="3" t="e">
        <f>SUMPRODUCT(--(Roster_TypeOfOrganizer=$C$31),--(Roster_WorkshopType=$D$5),--(MONTH(Roster_WorkshopDate)=1),--(YEAR(Roster_WorkshopDate)=$D$4))</f>
        <v>#VALUE!</v>
      </c>
      <c r="E31" s="3" t="e">
        <f>SUMPRODUCT(--(Roster_TypeOfOrganizer=$C$31),--(Roster_WorkshopType=$D$5),--(MONTH(Roster_WorkshopDate)=2),--(YEAR(Roster_WorkshopDate)=$D$4))</f>
        <v>#VALUE!</v>
      </c>
      <c r="F31" s="3" t="e">
        <f>SUMPRODUCT(--(Roster_TypeOfOrganizer=$C$31),--(Roster_WorkshopType=$D$5),--(MONTH(Roster_WorkshopDate)=3),--(YEAR(Roster_WorkshopDate)=$D$4))</f>
        <v>#VALUE!</v>
      </c>
      <c r="G31" s="3" t="e">
        <f>SUMPRODUCT(--(Roster_TypeOfOrganizer=$C$31),--(Roster_WorkshopType=$D$5),--(MONTH(Roster_WorkshopDate)=4),--(YEAR(Roster_WorkshopDate)=$D$4))</f>
        <v>#VALUE!</v>
      </c>
      <c r="H31" s="3" t="e">
        <f>SUMPRODUCT(--(Roster_TypeOfOrganizer=$C$31),--(Roster_WorkshopType=$D$5),--(MONTH(Roster_WorkshopDate)=5),--(YEAR(Roster_WorkshopDate)=$D$4))</f>
        <v>#VALUE!</v>
      </c>
      <c r="I31" s="3" t="e">
        <f>SUMPRODUCT(--(Roster_TypeOfOrganizer=$C$31),--(Roster_WorkshopType=$D$5),--(MONTH(Roster_WorkshopDate)=6),--(YEAR(Roster_WorkshopDate)=$D$4))</f>
        <v>#VALUE!</v>
      </c>
      <c r="J31" s="3" t="e">
        <f>SUMPRODUCT(--(Roster_TypeOfOrganizer=$C$31),--(Roster_WorkshopType=$D$5),--(MONTH(Roster_WorkshopDate)=7),--(YEAR(Roster_WorkshopDate)=$D$4))</f>
        <v>#VALUE!</v>
      </c>
      <c r="K31" s="3" t="e">
        <f>SUMPRODUCT(--(Roster_TypeOfOrganizer=$C$31),--(Roster_WorkshopType=$D$5),--(MONTH(Roster_WorkshopDate)=8),--(YEAR(Roster_WorkshopDate)=$D$4))</f>
        <v>#VALUE!</v>
      </c>
      <c r="L31" s="3" t="e">
        <f>SUMPRODUCT(--(Roster_TypeOfOrganizer=$C$31),--(Roster_WorkshopType=$D$5),--(MONTH(Roster_WorkshopDate)=9),--(YEAR(Roster_WorkshopDate)=$D$4))</f>
        <v>#VALUE!</v>
      </c>
      <c r="M31" s="3" t="e">
        <f>SUMPRODUCT(--(Roster_TypeOfOrganizer=$C$31),--(Roster_WorkshopType=$D$5),--(MONTH(Roster_WorkshopDate)=10),--(YEAR(Roster_WorkshopDate)=$D$4))</f>
        <v>#VALUE!</v>
      </c>
      <c r="N31" s="3" t="e">
        <f>SUMPRODUCT(--(Roster_TypeOfOrganizer=$C$31),--(Roster_WorkshopType=$D$5),--(MONTH(Roster_WorkshopDate)=11),--(YEAR(Roster_WorkshopDate)=$D$4))</f>
        <v>#VALUE!</v>
      </c>
      <c r="O31" s="3" t="e">
        <f>SUMPRODUCT(--(Roster_TypeOfOrganizer=$C$31),--(Roster_WorkshopType=$D$5),--(MONTH(Roster_WorkshopDate)=12),--(YEAR(Roster_WorkshopDate)=$D$4))</f>
        <v>#VALUE!</v>
      </c>
      <c r="P31" s="30" t="e">
        <f>SUM(Table313[[#This Row],[Jan]:[Dec]])</f>
        <v>#VALUE!</v>
      </c>
    </row>
    <row r="32" spans="3:16">
      <c r="C32" s="20" t="str">
        <f>DataSheet!C13</f>
        <v>Others</v>
      </c>
      <c r="D32" s="4" t="e">
        <f>SUMPRODUCT(--(Roster_TypeOfOrganizer=$C$32),--(Roster_WorkshopType=$D$5),--(MONTH(Roster_WorkshopDate)=1),--(YEAR(Roster_WorkshopDate)=$D$4))</f>
        <v>#VALUE!</v>
      </c>
      <c r="E32" s="4" t="e">
        <f>SUMPRODUCT(--(Roster_TypeOfOrganizer=$C$32),--(Roster_WorkshopType=$D$5),--(MONTH(Roster_WorkshopDate)=2),--(YEAR(Roster_WorkshopDate)=$D$4))</f>
        <v>#VALUE!</v>
      </c>
      <c r="F32" s="4" t="e">
        <f>SUMPRODUCT(--(Roster_TypeOfOrganizer=$C$32),--(Roster_WorkshopType=$D$5),--(MONTH(Roster_WorkshopDate)=3),--(YEAR(Roster_WorkshopDate)=$D$4))</f>
        <v>#VALUE!</v>
      </c>
      <c r="G32" s="4" t="e">
        <f>SUMPRODUCT(--(Roster_TypeOfOrganizer=$C$32),--(Roster_WorkshopType=$D$5),--(MONTH(Roster_WorkshopDate)=4),--(YEAR(Roster_WorkshopDate)=$D$4))</f>
        <v>#VALUE!</v>
      </c>
      <c r="H32" s="4" t="e">
        <f>SUMPRODUCT(--(Roster_TypeOfOrganizer=$C$32),--(Roster_WorkshopType=$D$5),--(MONTH(Roster_WorkshopDate)=5),--(YEAR(Roster_WorkshopDate)=$D$4))</f>
        <v>#VALUE!</v>
      </c>
      <c r="I32" s="4" t="e">
        <f>SUMPRODUCT(--(Roster_TypeOfOrganizer=$C$32),--(Roster_WorkshopType=$D$5),--(MONTH(Roster_WorkshopDate)=6),--(YEAR(Roster_WorkshopDate)=$D$4))</f>
        <v>#VALUE!</v>
      </c>
      <c r="J32" s="4" t="e">
        <f>SUMPRODUCT(--(Roster_TypeOfOrganizer=$C$32),--(Roster_WorkshopType=$D$5),--(MONTH(Roster_WorkshopDate)=7),--(YEAR(Roster_WorkshopDate)=$D$4))</f>
        <v>#VALUE!</v>
      </c>
      <c r="K32" s="4" t="e">
        <f>SUMPRODUCT(--(Roster_TypeOfOrganizer=$C$32),--(Roster_WorkshopType=$D$5),--(MONTH(Roster_WorkshopDate)=8),--(YEAR(Roster_WorkshopDate)=$D$4))</f>
        <v>#VALUE!</v>
      </c>
      <c r="L32" s="4" t="e">
        <f>SUMPRODUCT(--(Roster_TypeOfOrganizer=$C$32),--(Roster_WorkshopType=$D$5),--(MONTH(Roster_WorkshopDate)=9),--(YEAR(Roster_WorkshopDate)=$D$4))</f>
        <v>#VALUE!</v>
      </c>
      <c r="M32" s="4" t="e">
        <f>SUMPRODUCT(--(Roster_TypeOfOrganizer=$C$32),--(Roster_WorkshopType=$D$5),--(MONTH(Roster_WorkshopDate)=10),--(YEAR(Roster_WorkshopDate)=$D$4))</f>
        <v>#VALUE!</v>
      </c>
      <c r="N32" s="4" t="e">
        <f>SUMPRODUCT(--(Roster_TypeOfOrganizer=$C$32),--(Roster_WorkshopType=$D$5),--(MONTH(Roster_WorkshopDate)=11),--(YEAR(Roster_WorkshopDate)=$D$4))</f>
        <v>#VALUE!</v>
      </c>
      <c r="O32" s="4" t="e">
        <f>SUMPRODUCT(--(Roster_TypeOfOrganizer=$C$32),--(Roster_WorkshopType=$D$5),--(MONTH(Roster_WorkshopDate)=12),--(YEAR(Roster_WorkshopDate)=$D$4))</f>
        <v>#VALUE!</v>
      </c>
      <c r="P32" s="31" t="e">
        <f>SUM(Table313[[#This Row],[Jan]:[Dec]])</f>
        <v>#VALUE!</v>
      </c>
    </row>
    <row r="33" spans="3:16">
      <c r="C33" s="61">
        <f>DataSheet!C14</f>
        <v>0</v>
      </c>
      <c r="D33" s="4" t="e">
        <f>SUMPRODUCT(--(Roster_TypeOfOrganizer=$C$33),--(Roster_WorkshopType=$D$5),--(MONTH(Roster_WorkshopDate)=1),--(YEAR(Roster_WorkshopDate)=$D$4))</f>
        <v>#VALUE!</v>
      </c>
      <c r="E33" s="4" t="e">
        <f>SUMPRODUCT(--(Roster_TypeOfOrganizer=$C$33),--(Roster_WorkshopType=$D$5),--(MONTH(Roster_WorkshopDate)=2),--(YEAR(Roster_WorkshopDate)=$D$4))</f>
        <v>#VALUE!</v>
      </c>
      <c r="F33" s="4" t="e">
        <f>SUMPRODUCT(--(Roster_TypeOfOrganizer=$C$33),--(Roster_WorkshopType=$D$5),--(MONTH(Roster_WorkshopDate)=3),--(YEAR(Roster_WorkshopDate)=$D$4))</f>
        <v>#VALUE!</v>
      </c>
      <c r="G33" s="4" t="e">
        <f>SUMPRODUCT(--(Roster_TypeOfOrganizer=$C$33),--(Roster_WorkshopType=$D$5),--(MONTH(Roster_WorkshopDate)=4),--(YEAR(Roster_WorkshopDate)=$D$4))</f>
        <v>#VALUE!</v>
      </c>
      <c r="H33" s="4" t="e">
        <f>SUMPRODUCT(--(Roster_TypeOfOrganizer=$C$33),--(Roster_WorkshopType=$D$5),--(MONTH(Roster_WorkshopDate)=5),--(YEAR(Roster_WorkshopDate)=$D$4))</f>
        <v>#VALUE!</v>
      </c>
      <c r="I33" s="4" t="e">
        <f>SUMPRODUCT(--(Roster_TypeOfOrganizer=$C$33),--(Roster_WorkshopType=$D$5),--(MONTH(Roster_WorkshopDate)=6),--(YEAR(Roster_WorkshopDate)=$D$4))</f>
        <v>#VALUE!</v>
      </c>
      <c r="J33" s="4" t="e">
        <f>SUMPRODUCT(--(Roster_TypeOfOrganizer=$C$33),--(Roster_WorkshopType=$D$5),--(MONTH(Roster_WorkshopDate)=7),--(YEAR(Roster_WorkshopDate)=$D$4))</f>
        <v>#VALUE!</v>
      </c>
      <c r="K33" s="4" t="e">
        <f>SUMPRODUCT(--(Roster_TypeOfOrganizer=$C$33),--(Roster_WorkshopType=$D$5),--(MONTH(Roster_WorkshopDate)=8),--(YEAR(Roster_WorkshopDate)=$D$4))</f>
        <v>#VALUE!</v>
      </c>
      <c r="L33" s="4" t="e">
        <f>SUMPRODUCT(--(Roster_TypeOfOrganizer=$C$33),--(Roster_WorkshopType=$D$5),--(MONTH(Roster_WorkshopDate)=9),--(YEAR(Roster_WorkshopDate)=$D$4))</f>
        <v>#VALUE!</v>
      </c>
      <c r="M33" s="4" t="e">
        <f>SUMPRODUCT(--(Roster_TypeOfOrganizer=$C$33),--(Roster_WorkshopType=$D$5),--(MONTH(Roster_WorkshopDate)=10),--(YEAR(Roster_WorkshopDate)=$D$4))</f>
        <v>#VALUE!</v>
      </c>
      <c r="N33" s="4" t="e">
        <f>SUMPRODUCT(--(Roster_TypeOfOrganizer=$C$33),--(Roster_WorkshopType=$D$5),--(MONTH(Roster_WorkshopDate)=11),--(YEAR(Roster_WorkshopDate)=$D$4))</f>
        <v>#VALUE!</v>
      </c>
      <c r="O33" s="4" t="e">
        <f>SUMPRODUCT(--(Roster_TypeOfOrganizer=$C$33),--(Roster_WorkshopType=$D$5),--(MONTH(Roster_WorkshopDate)=12),--(YEAR(Roster_WorkshopDate)=$D$4))</f>
        <v>#VALUE!</v>
      </c>
      <c r="P33" s="31" t="e">
        <f>SUM(Table313[[#This Row],[Jan]:[Dec]])</f>
        <v>#VALUE!</v>
      </c>
    </row>
    <row r="34" spans="3:16">
      <c r="C34" s="61">
        <f>DataSheet!C15</f>
        <v>0</v>
      </c>
      <c r="D34" s="4" t="e">
        <f>SUMPRODUCT(--(Roster_TypeOfOrganizer=$C$34),--(Roster_WorkshopType=$D$5),--(MONTH(Roster_WorkshopDate)=1),--(YEAR(Roster_WorkshopDate)=$D$4))</f>
        <v>#VALUE!</v>
      </c>
      <c r="E34" s="4" t="e">
        <f>SUMPRODUCT(--(Roster_TypeOfOrganizer=$C$34),--(Roster_WorkshopType=$D$5),--(MONTH(Roster_WorkshopDate)=2),--(YEAR(Roster_WorkshopDate)=$D$4))</f>
        <v>#VALUE!</v>
      </c>
      <c r="F34" s="4" t="e">
        <f>SUMPRODUCT(--(Roster_TypeOfOrganizer=$C$34),--(Roster_WorkshopType=$D$5),--(MONTH(Roster_WorkshopDate)=3),--(YEAR(Roster_WorkshopDate)=$D$4))</f>
        <v>#VALUE!</v>
      </c>
      <c r="G34" s="4" t="e">
        <f>SUMPRODUCT(--(Roster_TypeOfOrganizer=$C$34),--(Roster_WorkshopType=$D$5),--(MONTH(Roster_WorkshopDate)=4),--(YEAR(Roster_WorkshopDate)=$D$4))</f>
        <v>#VALUE!</v>
      </c>
      <c r="H34" s="4" t="e">
        <f>SUMPRODUCT(--(Roster_TypeOfOrganizer=$C$34),--(Roster_WorkshopType=$D$5),--(MONTH(Roster_WorkshopDate)=5),--(YEAR(Roster_WorkshopDate)=$D$4))</f>
        <v>#VALUE!</v>
      </c>
      <c r="I34" s="4" t="e">
        <f>SUMPRODUCT(--(Roster_TypeOfOrganizer=$C$34),--(Roster_WorkshopType=$D$5),--(MONTH(Roster_WorkshopDate)=6),--(YEAR(Roster_WorkshopDate)=$D$4))</f>
        <v>#VALUE!</v>
      </c>
      <c r="J34" s="4" t="e">
        <f>SUMPRODUCT(--(Roster_TypeOfOrganizer=$C$34),--(Roster_WorkshopType=$D$5),--(MONTH(Roster_WorkshopDate)=7),--(YEAR(Roster_WorkshopDate)=$D$4))</f>
        <v>#VALUE!</v>
      </c>
      <c r="K34" s="4" t="e">
        <f>SUMPRODUCT(--(Roster_TypeOfOrganizer=$C$34),--(Roster_WorkshopType=$D$5),--(MONTH(Roster_WorkshopDate)=8),--(YEAR(Roster_WorkshopDate)=$D$4))</f>
        <v>#VALUE!</v>
      </c>
      <c r="L34" s="4" t="e">
        <f>SUMPRODUCT(--(Roster_TypeOfOrganizer=$C$34),--(Roster_WorkshopType=$D$5),--(MONTH(Roster_WorkshopDate)=9),--(YEAR(Roster_WorkshopDate)=$D$4))</f>
        <v>#VALUE!</v>
      </c>
      <c r="M34" s="4" t="e">
        <f>SUMPRODUCT(--(Roster_TypeOfOrganizer=$C$34),--(Roster_WorkshopType=$D$5),--(MONTH(Roster_WorkshopDate)=10),--(YEAR(Roster_WorkshopDate)=$D$4))</f>
        <v>#VALUE!</v>
      </c>
      <c r="N34" s="4" t="e">
        <f>SUMPRODUCT(--(Roster_TypeOfOrganizer=$C$34),--(Roster_WorkshopType=$D$5),--(MONTH(Roster_WorkshopDate)=11),--(YEAR(Roster_WorkshopDate)=$D$4))</f>
        <v>#VALUE!</v>
      </c>
      <c r="O34" s="4" t="e">
        <f>SUMPRODUCT(--(Roster_TypeOfOrganizer=$C$34),--(Roster_WorkshopType=$D$5),--(MONTH(Roster_WorkshopDate)=12),--(YEAR(Roster_WorkshopDate)=$D$4))</f>
        <v>#VALUE!</v>
      </c>
      <c r="P34" s="31" t="e">
        <f>SUM(Table313[[#This Row],[Jan]:[Dec]])</f>
        <v>#VALUE!</v>
      </c>
    </row>
    <row r="35" spans="3:16">
      <c r="C35" s="61">
        <f>DataSheet!C16</f>
        <v>0</v>
      </c>
      <c r="D35" s="4" t="e">
        <f>SUMPRODUCT(--(Roster_TypeOfOrganizer=$C$35),--(Roster_WorkshopType=$D$5),--(MONTH(Roster_WorkshopDate)=1),--(YEAR(Roster_WorkshopDate)=$D$4))</f>
        <v>#VALUE!</v>
      </c>
      <c r="E35" s="4" t="e">
        <f>SUMPRODUCT(--(Roster_TypeOfOrganizer=$C$35),--(Roster_WorkshopType=$D$5),--(MONTH(Roster_WorkshopDate)=2),--(YEAR(Roster_WorkshopDate)=$D$4))</f>
        <v>#VALUE!</v>
      </c>
      <c r="F35" s="4" t="e">
        <f>SUMPRODUCT(--(Roster_TypeOfOrganizer=$C$35),--(Roster_WorkshopType=$D$5),--(MONTH(Roster_WorkshopDate)=3),--(YEAR(Roster_WorkshopDate)=$D$4))</f>
        <v>#VALUE!</v>
      </c>
      <c r="G35" s="4" t="e">
        <f>SUMPRODUCT(--(Roster_TypeOfOrganizer=$C$35),--(Roster_WorkshopType=$D$5),--(MONTH(Roster_WorkshopDate)=4),--(YEAR(Roster_WorkshopDate)=$D$4))</f>
        <v>#VALUE!</v>
      </c>
      <c r="H35" s="4" t="e">
        <f>SUMPRODUCT(--(Roster_TypeOfOrganizer=$C$35),--(Roster_WorkshopType=$D$5),--(MONTH(Roster_WorkshopDate)=5),--(YEAR(Roster_WorkshopDate)=$D$4))</f>
        <v>#VALUE!</v>
      </c>
      <c r="I35" s="4" t="e">
        <f>SUMPRODUCT(--(Roster_TypeOfOrganizer=$C$35),--(Roster_WorkshopType=$D$5),--(MONTH(Roster_WorkshopDate)=6),--(YEAR(Roster_WorkshopDate)=$D$4))</f>
        <v>#VALUE!</v>
      </c>
      <c r="J35" s="4" t="e">
        <f>SUMPRODUCT(--(Roster_TypeOfOrganizer=$C$35),--(Roster_WorkshopType=$D$5),--(MONTH(Roster_WorkshopDate)=7),--(YEAR(Roster_WorkshopDate)=$D$4))</f>
        <v>#VALUE!</v>
      </c>
      <c r="K35" s="4" t="e">
        <f>SUMPRODUCT(--(Roster_TypeOfOrganizer=$C$35),--(Roster_WorkshopType=$D$5),--(MONTH(Roster_WorkshopDate)=8),--(YEAR(Roster_WorkshopDate)=$D$4))</f>
        <v>#VALUE!</v>
      </c>
      <c r="L35" s="4" t="e">
        <f>SUMPRODUCT(--(Roster_TypeOfOrganizer=$C$35),--(Roster_WorkshopType=$D$5),--(MONTH(Roster_WorkshopDate)=9),--(YEAR(Roster_WorkshopDate)=$D$4))</f>
        <v>#VALUE!</v>
      </c>
      <c r="M35" s="4" t="e">
        <f>SUMPRODUCT(--(Roster_TypeOfOrganizer=$C$35),--(Roster_WorkshopType=$D$5),--(MONTH(Roster_WorkshopDate)=10),--(YEAR(Roster_WorkshopDate)=$D$4))</f>
        <v>#VALUE!</v>
      </c>
      <c r="N35" s="4" t="e">
        <f>SUMPRODUCT(--(Roster_TypeOfOrganizer=$C$35),--(Roster_WorkshopType=$D$5),--(MONTH(Roster_WorkshopDate)=11),--(YEAR(Roster_WorkshopDate)=$D$4))</f>
        <v>#VALUE!</v>
      </c>
      <c r="O35" s="4" t="e">
        <f>SUMPRODUCT(--(Roster_TypeOfOrganizer=$C$35),--(Roster_WorkshopType=$D$5),--(MONTH(Roster_WorkshopDate)=12),--(YEAR(Roster_WorkshopDate)=$D$4))</f>
        <v>#VALUE!</v>
      </c>
      <c r="P35" s="31" t="e">
        <f>SUM(Table313[[#This Row],[Jan]:[Dec]])</f>
        <v>#VALUE!</v>
      </c>
    </row>
    <row r="36" spans="3:16">
      <c r="C36" s="61">
        <f>DataSheet!C17</f>
        <v>0</v>
      </c>
      <c r="D36" s="4" t="e">
        <f>SUMPRODUCT(--(Roster_TypeOfOrganizer=$C$36),--(Roster_WorkshopType=$D$5),--(MONTH(Roster_WorkshopDate)=1),--(YEAR(Roster_WorkshopDate)=$D$4))</f>
        <v>#VALUE!</v>
      </c>
      <c r="E36" s="4" t="e">
        <f>SUMPRODUCT(--(Roster_TypeOfOrganizer=$C$36),--(Roster_WorkshopType=$D$5),--(MONTH(Roster_WorkshopDate)=2),--(YEAR(Roster_WorkshopDate)=$D$4))</f>
        <v>#VALUE!</v>
      </c>
      <c r="F36" s="4" t="e">
        <f>SUMPRODUCT(--(Roster_TypeOfOrganizer=$C$36),--(Roster_WorkshopType=$D$5),--(MONTH(Roster_WorkshopDate)=3),--(YEAR(Roster_WorkshopDate)=$D$4))</f>
        <v>#VALUE!</v>
      </c>
      <c r="G36" s="4" t="e">
        <f>SUMPRODUCT(--(Roster_TypeOfOrganizer=$C$36),--(Roster_WorkshopType=$D$5),--(MONTH(Roster_WorkshopDate)=4),--(YEAR(Roster_WorkshopDate)=$D$4))</f>
        <v>#VALUE!</v>
      </c>
      <c r="H36" s="4" t="e">
        <f>SUMPRODUCT(--(Roster_TypeOfOrganizer=$C$36),--(Roster_WorkshopType=$D$5),--(MONTH(Roster_WorkshopDate)=5),--(YEAR(Roster_WorkshopDate)=$D$4))</f>
        <v>#VALUE!</v>
      </c>
      <c r="I36" s="4" t="e">
        <f>SUMPRODUCT(--(Roster_TypeOfOrganizer=$C$36),--(Roster_WorkshopType=$D$5),--(MONTH(Roster_WorkshopDate)=6),--(YEAR(Roster_WorkshopDate)=$D$4))</f>
        <v>#VALUE!</v>
      </c>
      <c r="J36" s="4" t="e">
        <f>SUMPRODUCT(--(Roster_TypeOfOrganizer=$C$36),--(Roster_WorkshopType=$D$5),--(MONTH(Roster_WorkshopDate)=7),--(YEAR(Roster_WorkshopDate)=$D$4))</f>
        <v>#VALUE!</v>
      </c>
      <c r="K36" s="4" t="e">
        <f>SUMPRODUCT(--(Roster_TypeOfOrganizer=$C$36),--(Roster_WorkshopType=$D$5),--(MONTH(Roster_WorkshopDate)=8),--(YEAR(Roster_WorkshopDate)=$D$4))</f>
        <v>#VALUE!</v>
      </c>
      <c r="L36" s="4" t="e">
        <f>SUMPRODUCT(--(Roster_TypeOfOrganizer=$C$36),--(Roster_WorkshopType=$D$5),--(MONTH(Roster_WorkshopDate)=9),--(YEAR(Roster_WorkshopDate)=$D$4))</f>
        <v>#VALUE!</v>
      </c>
      <c r="M36" s="4" t="e">
        <f>SUMPRODUCT(--(Roster_TypeOfOrganizer=$C$36),--(Roster_WorkshopType=$D$5),--(MONTH(Roster_WorkshopDate)=10),--(YEAR(Roster_WorkshopDate)=$D$4))</f>
        <v>#VALUE!</v>
      </c>
      <c r="N36" s="4" t="e">
        <f>SUMPRODUCT(--(Roster_TypeOfOrganizer=$C$36),--(Roster_WorkshopType=$D$5),--(MONTH(Roster_WorkshopDate)=11),--(YEAR(Roster_WorkshopDate)=$D$4))</f>
        <v>#VALUE!</v>
      </c>
      <c r="O36" s="4" t="e">
        <f>SUMPRODUCT(--(Roster_TypeOfOrganizer=$C$36),--(Roster_WorkshopType=$D$5),--(MONTH(Roster_WorkshopDate)=12),--(YEAR(Roster_WorkshopDate)=$D$4))</f>
        <v>#VALUE!</v>
      </c>
      <c r="P36" s="31" t="e">
        <f>SUM(Table313[[#This Row],[Jan]:[Dec]])</f>
        <v>#VALUE!</v>
      </c>
    </row>
    <row r="37" spans="3:16">
      <c r="C37" s="62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39"/>
    </row>
    <row r="38" spans="3:16" ht="15.75" thickBot="1">
      <c r="C38" s="62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39"/>
    </row>
    <row r="39" spans="3:16" ht="16.5" thickBot="1">
      <c r="C39" s="130" t="s">
        <v>100</v>
      </c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2"/>
    </row>
    <row r="40" spans="3:16" ht="25.5">
      <c r="C40" s="28" t="s">
        <v>51</v>
      </c>
      <c r="D40" s="29" t="s">
        <v>37</v>
      </c>
      <c r="E40" s="29" t="s">
        <v>38</v>
      </c>
      <c r="F40" s="29" t="s">
        <v>39</v>
      </c>
      <c r="G40" s="29" t="s">
        <v>40</v>
      </c>
      <c r="H40" s="29" t="s">
        <v>41</v>
      </c>
      <c r="I40" s="29" t="s">
        <v>42</v>
      </c>
      <c r="J40" s="29" t="s">
        <v>43</v>
      </c>
      <c r="K40" s="29" t="s">
        <v>44</v>
      </c>
      <c r="L40" s="29" t="s">
        <v>45</v>
      </c>
      <c r="M40" s="29" t="s">
        <v>46</v>
      </c>
      <c r="N40" s="29" t="s">
        <v>47</v>
      </c>
      <c r="O40" s="29" t="s">
        <v>48</v>
      </c>
      <c r="P40" s="28" t="s">
        <v>28</v>
      </c>
    </row>
    <row r="41" spans="3:16">
      <c r="C41" s="25" t="str">
        <f>DataSheet!B1</f>
        <v>Kala B</v>
      </c>
      <c r="D41" s="3" t="e">
        <f>SUMPRODUCT(--(Roster_Trainer=$C$41),--(Roster_WorkshopType=$D$5),--(MONTH(Roster_WorkshopDate)=1),--(YEAR(Roster_WorkshopDate)=$D$4))</f>
        <v>#VALUE!</v>
      </c>
      <c r="E41" s="3" t="e">
        <f>SUMPRODUCT(--(Roster_Trainer=$C$41),--(Roster_WorkshopType=$D$5),--(MONTH(Roster_WorkshopDate)=2),--(YEAR(Roster_WorkshopDate)=$D$4))</f>
        <v>#VALUE!</v>
      </c>
      <c r="F41" s="3" t="e">
        <f>SUMPRODUCT(--(Roster_Trainer=$C$41),--(Roster_WorkshopType=$D$5),--(MONTH(Roster_WorkshopDate)=3),--(YEAR(Roster_WorkshopDate)=$D$4))</f>
        <v>#VALUE!</v>
      </c>
      <c r="G41" s="3" t="e">
        <f>SUMPRODUCT(--(Roster_Trainer=$C$41),--(Roster_WorkshopType=$D$5),--(MONTH(Roster_WorkshopDate)=4),--(YEAR(Roster_WorkshopDate)=$D$4))</f>
        <v>#VALUE!</v>
      </c>
      <c r="H41" s="3" t="e">
        <f>SUMPRODUCT(--(Roster_Trainer=$C$41),--(Roster_WorkshopType=$D$5),--(MONTH(Roster_WorkshopDate)=5),--(YEAR(Roster_WorkshopDate)=$D$4))</f>
        <v>#VALUE!</v>
      </c>
      <c r="I41" s="3" t="e">
        <f>SUMPRODUCT(--(Roster_Trainer=$C$41),--(Roster_WorkshopType=$D$5),--(MONTH(Roster_WorkshopDate)=6),--(YEAR(Roster_WorkshopDate)=$D$4))</f>
        <v>#VALUE!</v>
      </c>
      <c r="J41" s="3" t="e">
        <f>SUMPRODUCT(--(Roster_Trainer=$C$41),--(Roster_WorkshopType=$D$5),--(MONTH(Roster_WorkshopDate)=7),--(YEAR(Roster_WorkshopDate)=$D$4))</f>
        <v>#VALUE!</v>
      </c>
      <c r="K41" s="3" t="e">
        <f>SUMPRODUCT(--(Roster_Trainer=$C$41),--(Roster_WorkshopType=$D$5),--(MONTH(Roster_WorkshopDate)=8),--(YEAR(Roster_WorkshopDate)=$D$4))</f>
        <v>#VALUE!</v>
      </c>
      <c r="L41" s="3" t="e">
        <f>SUMPRODUCT(--(Roster_Trainer=$C$41),--(Roster_WorkshopType=$D$5),--(MONTH(Roster_WorkshopDate)=9),--(YEAR(Roster_WorkshopDate)=$D$4))</f>
        <v>#VALUE!</v>
      </c>
      <c r="M41" s="3" t="e">
        <f>SUMPRODUCT(--(Roster_Trainer=$C$41),--(Roster_WorkshopType=$D$5),--(MONTH(Roster_WorkshopDate)=10),--(YEAR(Roster_WorkshopDate)=$D$4))</f>
        <v>#VALUE!</v>
      </c>
      <c r="N41" s="3" t="e">
        <f>SUMPRODUCT(--(Roster_Trainer=$C$41),--(Roster_WorkshopType=$D$5),--(MONTH(Roster_WorkshopDate)=11),--(YEAR(Roster_WorkshopDate)=$D$4))</f>
        <v>#VALUE!</v>
      </c>
      <c r="O41" s="3" t="e">
        <f>SUMPRODUCT(--(Roster_Trainer=$C$41),--(Roster_WorkshopType=$D$5),--(MONTH(Roster_WorkshopDate)=12),--(YEAR(Roster_WorkshopDate)=$D$4))</f>
        <v>#VALUE!</v>
      </c>
      <c r="P41" s="44" t="e">
        <f>SUM(Table414[[#This Row],[Jan]:[Dec]])</f>
        <v>#VALUE!</v>
      </c>
    </row>
    <row r="42" spans="3:16">
      <c r="C42" s="25" t="str">
        <f>DataSheet!B2</f>
        <v>Rajesh</v>
      </c>
      <c r="D42" s="3" t="e">
        <f>SUMPRODUCT(--(Roster_Trainer=$C$42),--(Roster_WorkshopType=$D$5),--(MONTH(Roster_WorkshopDate)=1),--(YEAR(Roster_WorkshopDate)=$D$4))</f>
        <v>#VALUE!</v>
      </c>
      <c r="E42" s="3" t="e">
        <f>SUMPRODUCT(--(Roster_Trainer=$C$42),--(Roster_WorkshopType=$D$5),--(MONTH(Roster_WorkshopDate)=2),--(YEAR(Roster_WorkshopDate)=$D$4))</f>
        <v>#VALUE!</v>
      </c>
      <c r="F42" s="3" t="e">
        <f>SUMPRODUCT(--(Roster_Trainer=$C$42),--(Roster_WorkshopType=$D$5),--(MONTH(Roster_WorkshopDate)=3),--(YEAR(Roster_WorkshopDate)=$D$4))</f>
        <v>#VALUE!</v>
      </c>
      <c r="G42" s="3" t="e">
        <f>SUMPRODUCT(--(Roster_Trainer=$C$42),--(Roster_WorkshopType=$D$5),--(MONTH(Roster_WorkshopDate)=4),--(YEAR(Roster_WorkshopDate)=$D$4))</f>
        <v>#VALUE!</v>
      </c>
      <c r="H42" s="3" t="e">
        <f>SUMPRODUCT(--(Roster_Trainer=$C$42),--(Roster_WorkshopType=$D$5),--(MONTH(Roster_WorkshopDate)=5),--(YEAR(Roster_WorkshopDate)=$D$4))</f>
        <v>#VALUE!</v>
      </c>
      <c r="I42" s="3" t="e">
        <f>SUMPRODUCT(--(Roster_Trainer=$C$42),--(Roster_WorkshopType=$D$5),--(MONTH(Roster_WorkshopDate)=6),--(YEAR(Roster_WorkshopDate)=$D$4))</f>
        <v>#VALUE!</v>
      </c>
      <c r="J42" s="3" t="e">
        <f>SUMPRODUCT(--(Roster_Trainer=$C$42),--(Roster_WorkshopType=$D$5),--(MONTH(Roster_WorkshopDate)=7),--(YEAR(Roster_WorkshopDate)=$D$4))</f>
        <v>#VALUE!</v>
      </c>
      <c r="K42" s="3" t="e">
        <f>SUMPRODUCT(--(Roster_Trainer=$C$42),--(Roster_WorkshopType=$D$5),--(MONTH(Roster_WorkshopDate)=8),--(YEAR(Roster_WorkshopDate)=$D$4))</f>
        <v>#VALUE!</v>
      </c>
      <c r="L42" s="3" t="e">
        <f>SUMPRODUCT(--(Roster_Trainer=$C$42),--(Roster_WorkshopType=$D$5),--(MONTH(Roster_WorkshopDate)=9),--(YEAR(Roster_WorkshopDate)=$D$4))</f>
        <v>#VALUE!</v>
      </c>
      <c r="M42" s="3" t="e">
        <f>SUMPRODUCT(--(Roster_Trainer=$C$42),--(Roster_WorkshopType=$D$5),--(MONTH(Roster_WorkshopDate)=10),--(YEAR(Roster_WorkshopDate)=$D$4))</f>
        <v>#VALUE!</v>
      </c>
      <c r="N42" s="3" t="e">
        <f>SUMPRODUCT(--(Roster_Trainer=$C$42),--(Roster_WorkshopType=$D$5),--(MONTH(Roster_WorkshopDate)=11),--(YEAR(Roster_WorkshopDate)=$D$4))</f>
        <v>#VALUE!</v>
      </c>
      <c r="O42" s="3" t="e">
        <f>SUMPRODUCT(--(Roster_Trainer=$C$42),--(Roster_WorkshopType=$D$5),--(MONTH(Roster_WorkshopDate)=12),--(YEAR(Roster_WorkshopDate)=$D$4))</f>
        <v>#VALUE!</v>
      </c>
      <c r="P42" s="44" t="e">
        <f>SUM(Table414[[#This Row],[Jan]:[Dec]])</f>
        <v>#VALUE!</v>
      </c>
    </row>
    <row r="43" spans="3:16">
      <c r="C43" s="25" t="str">
        <f>DataSheet!B3</f>
        <v>Balaji</v>
      </c>
      <c r="D43" s="3" t="e">
        <f>SUMPRODUCT(--(Roster_Trainer=$C$43),--(Roster_WorkshopType=$D$5),--(MONTH(Roster_WorkshopDate)=1),--(YEAR(Roster_WorkshopDate)=$D$4))</f>
        <v>#VALUE!</v>
      </c>
      <c r="E43" s="3" t="e">
        <f>SUMPRODUCT(--(Roster_Trainer=$C$43),--(Roster_WorkshopType=$D$5),--(MONTH(Roster_WorkshopDate)=2),--(YEAR(Roster_WorkshopDate)=$D$4))</f>
        <v>#VALUE!</v>
      </c>
      <c r="F43" s="3" t="e">
        <f>SUMPRODUCT(--(Roster_Trainer=$C$43),--(Roster_WorkshopType=$D$5),--(MONTH(Roster_WorkshopDate)=3),--(YEAR(Roster_WorkshopDate)=$D$4))</f>
        <v>#VALUE!</v>
      </c>
      <c r="G43" s="3" t="e">
        <f>SUMPRODUCT(--(Roster_Trainer=$C$43),--(Roster_WorkshopType=$D$5),--(MONTH(Roster_WorkshopDate)=4),--(YEAR(Roster_WorkshopDate)=$D$4))</f>
        <v>#VALUE!</v>
      </c>
      <c r="H43" s="3" t="e">
        <f>SUMPRODUCT(--(Roster_Trainer=$C$43),--(Roster_WorkshopType=$D$5),--(MONTH(Roster_WorkshopDate)=5),--(YEAR(Roster_WorkshopDate)=$D$4))</f>
        <v>#VALUE!</v>
      </c>
      <c r="I43" s="3" t="e">
        <f>SUMPRODUCT(--(Roster_Trainer=$C$43),--(Roster_WorkshopType=$D$5),--(MONTH(Roster_WorkshopDate)=6),--(YEAR(Roster_WorkshopDate)=$D$4))</f>
        <v>#VALUE!</v>
      </c>
      <c r="J43" s="3" t="e">
        <f>SUMPRODUCT(--(Roster_Trainer=$C$43),--(Roster_WorkshopType=$D$5),--(MONTH(Roster_WorkshopDate)=7),--(YEAR(Roster_WorkshopDate)=$D$4))</f>
        <v>#VALUE!</v>
      </c>
      <c r="K43" s="3" t="e">
        <f>SUMPRODUCT(--(Roster_Trainer=$C$43),--(Roster_WorkshopType=$D$5),--(MONTH(Roster_WorkshopDate)=8),--(YEAR(Roster_WorkshopDate)=$D$4))</f>
        <v>#VALUE!</v>
      </c>
      <c r="L43" s="3" t="e">
        <f>SUMPRODUCT(--(Roster_Trainer=$C$43),--(Roster_WorkshopType=$D$5),--(MONTH(Roster_WorkshopDate)=9),--(YEAR(Roster_WorkshopDate)=$D$4))</f>
        <v>#VALUE!</v>
      </c>
      <c r="M43" s="3" t="e">
        <f>SUMPRODUCT(--(Roster_Trainer=$C$43),--(Roster_WorkshopType=$D$5),--(MONTH(Roster_WorkshopDate)=10),--(YEAR(Roster_WorkshopDate)=$D$4))</f>
        <v>#VALUE!</v>
      </c>
      <c r="N43" s="3" t="e">
        <f>SUMPRODUCT(--(Roster_Trainer=$C$43),--(Roster_WorkshopType=$D$5),--(MONTH(Roster_WorkshopDate)=11),--(YEAR(Roster_WorkshopDate)=$D$4))</f>
        <v>#VALUE!</v>
      </c>
      <c r="O43" s="3" t="e">
        <f>SUMPRODUCT(--(Roster_Trainer=$C$43),--(Roster_WorkshopType=$D$5),--(MONTH(Roster_WorkshopDate)=12),--(YEAR(Roster_WorkshopDate)=$D$4))</f>
        <v>#VALUE!</v>
      </c>
      <c r="P43" s="44" t="e">
        <f>SUM(Table414[[#This Row],[Jan]:[Dec]])</f>
        <v>#VALUE!</v>
      </c>
    </row>
    <row r="44" spans="3:16">
      <c r="C44" s="25" t="str">
        <f>DataSheet!B4</f>
        <v>Srivathsan</v>
      </c>
      <c r="D44" s="3" t="e">
        <f>SUMPRODUCT(--(Roster_Trainer=$C$44),--(Roster_WorkshopType=$D$5),--(MONTH(Roster_WorkshopDate)=1),--(YEAR(Roster_WorkshopDate)=$D$4))</f>
        <v>#VALUE!</v>
      </c>
      <c r="E44" s="3" t="e">
        <f>SUMPRODUCT(--(Roster_Trainer=$C$44),--(Roster_WorkshopType=$D$5),--(MONTH(Roster_WorkshopDate)=2),--(YEAR(Roster_WorkshopDate)=$D$4))</f>
        <v>#VALUE!</v>
      </c>
      <c r="F44" s="3" t="e">
        <f>SUMPRODUCT(--(Roster_Trainer=$C$44),--(Roster_WorkshopType=$D$5),--(MONTH(Roster_WorkshopDate)=3),--(YEAR(Roster_WorkshopDate)=$D$4))</f>
        <v>#VALUE!</v>
      </c>
      <c r="G44" s="3" t="e">
        <f>SUMPRODUCT(--(Roster_Trainer=$C$44),--(Roster_WorkshopType=$D$5),--(MONTH(Roster_WorkshopDate)=4),--(YEAR(Roster_WorkshopDate)=$D$4))</f>
        <v>#VALUE!</v>
      </c>
      <c r="H44" s="3" t="e">
        <f>SUMPRODUCT(--(Roster_Trainer=$C$44),--(Roster_WorkshopType=$D$5),--(MONTH(Roster_WorkshopDate)=5),--(YEAR(Roster_WorkshopDate)=$D$4))</f>
        <v>#VALUE!</v>
      </c>
      <c r="I44" s="3" t="e">
        <f>SUMPRODUCT(--(Roster_Trainer=$C$44),--(Roster_WorkshopType=$D$5),--(MONTH(Roster_WorkshopDate)=6),--(YEAR(Roster_WorkshopDate)=$D$4))</f>
        <v>#VALUE!</v>
      </c>
      <c r="J44" s="3" t="e">
        <f>SUMPRODUCT(--(Roster_Trainer=$C$44),--(Roster_WorkshopType=$D$5),--(MONTH(Roster_WorkshopDate)=7),--(YEAR(Roster_WorkshopDate)=$D$4))</f>
        <v>#VALUE!</v>
      </c>
      <c r="K44" s="3" t="e">
        <f>SUMPRODUCT(--(Roster_Trainer=$C$44),--(Roster_WorkshopType=$D$5),--(MONTH(Roster_WorkshopDate)=8),--(YEAR(Roster_WorkshopDate)=$D$4))</f>
        <v>#VALUE!</v>
      </c>
      <c r="L44" s="3" t="e">
        <f>SUMPRODUCT(--(Roster_Trainer=$C$44),--(Roster_WorkshopType=$D$5),--(MONTH(Roster_WorkshopDate)=9),--(YEAR(Roster_WorkshopDate)=$D$4))</f>
        <v>#VALUE!</v>
      </c>
      <c r="M44" s="3" t="e">
        <f>SUMPRODUCT(--(Roster_Trainer=$C$44),--(Roster_WorkshopType=$D$5),--(MONTH(Roster_WorkshopDate)=10),--(YEAR(Roster_WorkshopDate)=$D$4))</f>
        <v>#VALUE!</v>
      </c>
      <c r="N44" s="3" t="e">
        <f>SUMPRODUCT(--(Roster_Trainer=$C$44),--(Roster_WorkshopType=$D$5),--(MONTH(Roster_WorkshopDate)=11),--(YEAR(Roster_WorkshopDate)=$D$4))</f>
        <v>#VALUE!</v>
      </c>
      <c r="O44" s="3" t="e">
        <f>SUMPRODUCT(--(Roster_Trainer=$C$44),--(Roster_WorkshopType=$D$5),--(MONTH(Roster_WorkshopDate)=12),--(YEAR(Roster_WorkshopDate)=$D$4))</f>
        <v>#VALUE!</v>
      </c>
      <c r="P44" s="44" t="e">
        <f>SUM(Table414[[#This Row],[Jan]:[Dec]])</f>
        <v>#VALUE!</v>
      </c>
    </row>
    <row r="45" spans="3:16">
      <c r="C45" s="25" t="str">
        <f>DataSheet!B5</f>
        <v>Nalini Ravindran</v>
      </c>
      <c r="D45" s="3" t="e">
        <f>SUMPRODUCT(--(Roster_Trainer=$C$45),--(Roster_WorkshopType=$D$5),--(MONTH(Roster_WorkshopDate)=1),--(YEAR(Roster_WorkshopDate)=$D$4))</f>
        <v>#VALUE!</v>
      </c>
      <c r="E45" s="3" t="e">
        <f>SUMPRODUCT(--(Roster_Trainer=$C$45),--(Roster_WorkshopType=$D$5),--(MONTH(Roster_WorkshopDate)=2),--(YEAR(Roster_WorkshopDate)=$D$4))</f>
        <v>#VALUE!</v>
      </c>
      <c r="F45" s="3" t="e">
        <f>SUMPRODUCT(--(Roster_Trainer=$C$45),--(Roster_WorkshopType=$D$5),--(MONTH(Roster_WorkshopDate)=3),--(YEAR(Roster_WorkshopDate)=$D$4))</f>
        <v>#VALUE!</v>
      </c>
      <c r="G45" s="3" t="e">
        <f>SUMPRODUCT(--(Roster_Trainer=$C$45),--(Roster_WorkshopType=$D$5),--(MONTH(Roster_WorkshopDate)=4),--(YEAR(Roster_WorkshopDate)=$D$4))</f>
        <v>#VALUE!</v>
      </c>
      <c r="H45" s="3" t="e">
        <f>SUMPRODUCT(--(Roster_Trainer=$C$45),--(Roster_WorkshopType=$D$5),--(MONTH(Roster_WorkshopDate)=5),--(YEAR(Roster_WorkshopDate)=$D$4))</f>
        <v>#VALUE!</v>
      </c>
      <c r="I45" s="3" t="e">
        <f>SUMPRODUCT(--(Roster_Trainer=$C$45),--(Roster_WorkshopType=$D$5),--(MONTH(Roster_WorkshopDate)=6),--(YEAR(Roster_WorkshopDate)=$D$4))</f>
        <v>#VALUE!</v>
      </c>
      <c r="J45" s="3" t="e">
        <f>SUMPRODUCT(--(Roster_Trainer=$C$45),--(Roster_WorkshopType=$D$5),--(MONTH(Roster_WorkshopDate)=7),--(YEAR(Roster_WorkshopDate)=$D$4))</f>
        <v>#VALUE!</v>
      </c>
      <c r="K45" s="3" t="e">
        <f>SUMPRODUCT(--(Roster_Trainer=$C$45),--(Roster_WorkshopType=$D$5),--(MONTH(Roster_WorkshopDate)=8),--(YEAR(Roster_WorkshopDate)=$D$4))</f>
        <v>#VALUE!</v>
      </c>
      <c r="L45" s="3" t="e">
        <f>SUMPRODUCT(--(Roster_Trainer=$C$45),--(Roster_WorkshopType=$D$5),--(MONTH(Roster_WorkshopDate)=9),--(YEAR(Roster_WorkshopDate)=$D$4))</f>
        <v>#VALUE!</v>
      </c>
      <c r="M45" s="3" t="e">
        <f>SUMPRODUCT(--(Roster_Trainer=$C$45),--(Roster_WorkshopType=$D$5),--(MONTH(Roster_WorkshopDate)=10),--(YEAR(Roster_WorkshopDate)=$D$4))</f>
        <v>#VALUE!</v>
      </c>
      <c r="N45" s="3" t="e">
        <f>SUMPRODUCT(--(Roster_Trainer=$C$45),--(Roster_WorkshopType=$D$5),--(MONTH(Roster_WorkshopDate)=11),--(YEAR(Roster_WorkshopDate)=$D$4))</f>
        <v>#VALUE!</v>
      </c>
      <c r="O45" s="3" t="e">
        <f>SUMPRODUCT(--(Roster_Trainer=$C$45),--(Roster_WorkshopType=$D$5),--(MONTH(Roster_WorkshopDate)=12),--(YEAR(Roster_WorkshopDate)=$D$4))</f>
        <v>#VALUE!</v>
      </c>
      <c r="P45" s="44" t="e">
        <f>SUM(Table414[[#This Row],[Jan]:[Dec]])</f>
        <v>#VALUE!</v>
      </c>
    </row>
    <row r="46" spans="3:16">
      <c r="C46" s="25" t="str">
        <f>DataSheet!B6</f>
        <v>Vasudevan</v>
      </c>
      <c r="D46" s="3" t="e">
        <f>SUMPRODUCT(--(Roster_Trainer=$C$46),--(Roster_WorkshopType=$D$5),--(MONTH(Roster_WorkshopDate)=1),--(YEAR(Roster_WorkshopDate)=$D$4))</f>
        <v>#VALUE!</v>
      </c>
      <c r="E46" s="3" t="e">
        <f>SUMPRODUCT(--(Roster_Trainer=$C$46),--(Roster_WorkshopType=$D$5),--(MONTH(Roster_WorkshopDate)=2),--(YEAR(Roster_WorkshopDate)=$D$4))</f>
        <v>#VALUE!</v>
      </c>
      <c r="F46" s="3" t="e">
        <f>SUMPRODUCT(--(Roster_Trainer=$C$46),--(Roster_WorkshopType=$D$5),--(MONTH(Roster_WorkshopDate)=3),--(YEAR(Roster_WorkshopDate)=$D$4))</f>
        <v>#VALUE!</v>
      </c>
      <c r="G46" s="3" t="e">
        <f>SUMPRODUCT(--(Roster_Trainer=$C$46),--(Roster_WorkshopType=$D$5),--(MONTH(Roster_WorkshopDate)=4),--(YEAR(Roster_WorkshopDate)=$D$4))</f>
        <v>#VALUE!</v>
      </c>
      <c r="H46" s="3" t="e">
        <f>SUMPRODUCT(--(Roster_Trainer=$C$46),--(Roster_WorkshopType=$D$5),--(MONTH(Roster_WorkshopDate)=5),--(YEAR(Roster_WorkshopDate)=$D$4))</f>
        <v>#VALUE!</v>
      </c>
      <c r="I46" s="3" t="e">
        <f>SUMPRODUCT(--(Roster_Trainer=$C$46),--(Roster_WorkshopType=$D$5),--(MONTH(Roster_WorkshopDate)=6),--(YEAR(Roster_WorkshopDate)=$D$4))</f>
        <v>#VALUE!</v>
      </c>
      <c r="J46" s="3" t="e">
        <f>SUMPRODUCT(--(Roster_Trainer=$C$46),--(Roster_WorkshopType=$D$5),--(MONTH(Roster_WorkshopDate)=7),--(YEAR(Roster_WorkshopDate)=$D$4))</f>
        <v>#VALUE!</v>
      </c>
      <c r="K46" s="3" t="e">
        <f>SUMPRODUCT(--(Roster_Trainer=$C$46),--(Roster_WorkshopType=$D$5),--(MONTH(Roster_WorkshopDate)=8),--(YEAR(Roster_WorkshopDate)=$D$4))</f>
        <v>#VALUE!</v>
      </c>
      <c r="L46" s="3" t="e">
        <f>SUMPRODUCT(--(Roster_Trainer=$C$46),--(Roster_WorkshopType=$D$5),--(MONTH(Roster_WorkshopDate)=9),--(YEAR(Roster_WorkshopDate)=$D$4))</f>
        <v>#VALUE!</v>
      </c>
      <c r="M46" s="3" t="e">
        <f>SUMPRODUCT(--(Roster_Trainer=$C$46),--(Roster_WorkshopType=$D$5),--(MONTH(Roster_WorkshopDate)=10),--(YEAR(Roster_WorkshopDate)=$D$4))</f>
        <v>#VALUE!</v>
      </c>
      <c r="N46" s="3" t="e">
        <f>SUMPRODUCT(--(Roster_Trainer=$C$46),--(Roster_WorkshopType=$D$5),--(MONTH(Roster_WorkshopDate)=11),--(YEAR(Roster_WorkshopDate)=$D$4))</f>
        <v>#VALUE!</v>
      </c>
      <c r="O46" s="3" t="e">
        <f>SUMPRODUCT(--(Roster_Trainer=$C$46),--(Roster_WorkshopType=$D$5),--(MONTH(Roster_WorkshopDate)=12),--(YEAR(Roster_WorkshopDate)=$D$4))</f>
        <v>#VALUE!</v>
      </c>
      <c r="P46" s="44" t="e">
        <f>SUM(Table414[[#This Row],[Jan]:[Dec]])</f>
        <v>#VALUE!</v>
      </c>
    </row>
    <row r="47" spans="3:16">
      <c r="C47" s="25" t="str">
        <f>DataSheet!B7</f>
        <v>Srikanth</v>
      </c>
      <c r="D47" s="3" t="e">
        <f>SUMPRODUCT(--(Roster_Trainer=$C$47),--(Roster_WorkshopType=$D$5),--(MONTH(Roster_WorkshopDate)=1),--(YEAR(Roster_WorkshopDate)=$D$4))</f>
        <v>#VALUE!</v>
      </c>
      <c r="E47" s="3" t="e">
        <f>SUMPRODUCT(--(Roster_Trainer=$C$47),--(Roster_WorkshopType=$D$5),--(MONTH(Roster_WorkshopDate)=2),--(YEAR(Roster_WorkshopDate)=$D$4))</f>
        <v>#VALUE!</v>
      </c>
      <c r="F47" s="3" t="e">
        <f>SUMPRODUCT(--(Roster_Trainer=$C$47),--(Roster_WorkshopType=$D$5),--(MONTH(Roster_WorkshopDate)=3),--(YEAR(Roster_WorkshopDate)=$D$4))</f>
        <v>#VALUE!</v>
      </c>
      <c r="G47" s="3" t="e">
        <f>SUMPRODUCT(--(Roster_Trainer=$C$47),--(Roster_WorkshopType=$D$5),--(MONTH(Roster_WorkshopDate)=4),--(YEAR(Roster_WorkshopDate)=$D$4))</f>
        <v>#VALUE!</v>
      </c>
      <c r="H47" s="3" t="e">
        <f>SUMPRODUCT(--(Roster_Trainer=$C$47),--(Roster_WorkshopType=$D$5),--(MONTH(Roster_WorkshopDate)=5),--(YEAR(Roster_WorkshopDate)=$D$4))</f>
        <v>#VALUE!</v>
      </c>
      <c r="I47" s="3" t="e">
        <f>SUMPRODUCT(--(Roster_Trainer=$C$47),--(Roster_WorkshopType=$D$5),--(MONTH(Roster_WorkshopDate)=6),--(YEAR(Roster_WorkshopDate)=$D$4))</f>
        <v>#VALUE!</v>
      </c>
      <c r="J47" s="3" t="e">
        <f>SUMPRODUCT(--(Roster_Trainer=$C$47),--(Roster_WorkshopType=$D$5),--(MONTH(Roster_WorkshopDate)=7),--(YEAR(Roster_WorkshopDate)=$D$4))</f>
        <v>#VALUE!</v>
      </c>
      <c r="K47" s="3" t="e">
        <f>SUMPRODUCT(--(Roster_Trainer=$C$47),--(Roster_WorkshopType=$D$5),--(MONTH(Roster_WorkshopDate)=8),--(YEAR(Roster_WorkshopDate)=$D$4))</f>
        <v>#VALUE!</v>
      </c>
      <c r="L47" s="3" t="e">
        <f>SUMPRODUCT(--(Roster_Trainer=$C$47),--(Roster_WorkshopType=$D$5),--(MONTH(Roster_WorkshopDate)=9),--(YEAR(Roster_WorkshopDate)=$D$4))</f>
        <v>#VALUE!</v>
      </c>
      <c r="M47" s="3" t="e">
        <f>SUMPRODUCT(--(Roster_Trainer=$C$47),--(Roster_WorkshopType=$D$5),--(MONTH(Roster_WorkshopDate)=10),--(YEAR(Roster_WorkshopDate)=$D$4))</f>
        <v>#VALUE!</v>
      </c>
      <c r="N47" s="3" t="e">
        <f>SUMPRODUCT(--(Roster_Trainer=$C$47),--(Roster_WorkshopType=$D$5),--(MONTH(Roster_WorkshopDate)=11),--(YEAR(Roster_WorkshopDate)=$D$4))</f>
        <v>#VALUE!</v>
      </c>
      <c r="O47" s="3" t="e">
        <f>SUMPRODUCT(--(Roster_Trainer=$C$47),--(Roster_WorkshopType=$D$5),--(MONTH(Roster_WorkshopDate)=12),--(YEAR(Roster_WorkshopDate)=$D$4))</f>
        <v>#VALUE!</v>
      </c>
      <c r="P47" s="44" t="e">
        <f>SUM(Table414[[#This Row],[Jan]:[Dec]])</f>
        <v>#VALUE!</v>
      </c>
    </row>
    <row r="48" spans="3:16">
      <c r="C48" s="25" t="str">
        <f>DataSheet!B8</f>
        <v>Dileep</v>
      </c>
      <c r="D48" s="3" t="e">
        <f>SUMPRODUCT(--(Roster_Trainer=$C$48),--(Roster_WorkshopType=$D$5),--(MONTH(Roster_WorkshopDate)=1),--(YEAR(Roster_WorkshopDate)=$D$4))</f>
        <v>#VALUE!</v>
      </c>
      <c r="E48" s="3" t="e">
        <f>SUMPRODUCT(--(Roster_Trainer=$C$48),--(Roster_WorkshopType=$D$5),--(MONTH(Roster_WorkshopDate)=2),--(YEAR(Roster_WorkshopDate)=$D$4))</f>
        <v>#VALUE!</v>
      </c>
      <c r="F48" s="3" t="e">
        <f>SUMPRODUCT(--(Roster_Trainer=$C$48),--(Roster_WorkshopType=$D$5),--(MONTH(Roster_WorkshopDate)=3),--(YEAR(Roster_WorkshopDate)=$D$4))</f>
        <v>#VALUE!</v>
      </c>
      <c r="G48" s="3" t="e">
        <f>SUMPRODUCT(--(Roster_Trainer=$C$48),--(Roster_WorkshopType=$D$5),--(MONTH(Roster_WorkshopDate)=4),--(YEAR(Roster_WorkshopDate)=$D$4))</f>
        <v>#VALUE!</v>
      </c>
      <c r="H48" s="3" t="e">
        <f>SUMPRODUCT(--(Roster_Trainer=$C$48),--(Roster_WorkshopType=$D$5),--(MONTH(Roster_WorkshopDate)=5),--(YEAR(Roster_WorkshopDate)=$D$4))</f>
        <v>#VALUE!</v>
      </c>
      <c r="I48" s="3" t="e">
        <f>SUMPRODUCT(--(Roster_Trainer=$C$48),--(Roster_WorkshopType=$D$5),--(MONTH(Roster_WorkshopDate)=6),--(YEAR(Roster_WorkshopDate)=$D$4))</f>
        <v>#VALUE!</v>
      </c>
      <c r="J48" s="3" t="e">
        <f>SUMPRODUCT(--(Roster_Trainer=$C$48),--(Roster_WorkshopType=$D$5),--(MONTH(Roster_WorkshopDate)=7),--(YEAR(Roster_WorkshopDate)=$D$4))</f>
        <v>#VALUE!</v>
      </c>
      <c r="K48" s="3" t="e">
        <f>SUMPRODUCT(--(Roster_Trainer=$C$48),--(Roster_WorkshopType=$D$5),--(MONTH(Roster_WorkshopDate)=8),--(YEAR(Roster_WorkshopDate)=$D$4))</f>
        <v>#VALUE!</v>
      </c>
      <c r="L48" s="3" t="e">
        <f>SUMPRODUCT(--(Roster_Trainer=$C$48),--(Roster_WorkshopType=$D$5),--(MONTH(Roster_WorkshopDate)=9),--(YEAR(Roster_WorkshopDate)=$D$4))</f>
        <v>#VALUE!</v>
      </c>
      <c r="M48" s="3" t="e">
        <f>SUMPRODUCT(--(Roster_Trainer=$C$48),--(Roster_WorkshopType=$D$5),--(MONTH(Roster_WorkshopDate)=10),--(YEAR(Roster_WorkshopDate)=$D$4))</f>
        <v>#VALUE!</v>
      </c>
      <c r="N48" s="3" t="e">
        <f>SUMPRODUCT(--(Roster_Trainer=$C$48),--(Roster_WorkshopType=$D$5),--(MONTH(Roster_WorkshopDate)=11),--(YEAR(Roster_WorkshopDate)=$D$4))</f>
        <v>#VALUE!</v>
      </c>
      <c r="O48" s="3" t="e">
        <f>SUMPRODUCT(--(Roster_Trainer=$C$48),--(Roster_WorkshopType=$D$5),--(MONTH(Roster_WorkshopDate)=12),--(YEAR(Roster_WorkshopDate)=$D$4))</f>
        <v>#VALUE!</v>
      </c>
      <c r="P48" s="44" t="e">
        <f>SUM(Table414[[#This Row],[Jan]:[Dec]])</f>
        <v>#VALUE!</v>
      </c>
    </row>
    <row r="49" spans="3:16">
      <c r="C49" s="25" t="str">
        <f>DataSheet!B9</f>
        <v>Karthik</v>
      </c>
      <c r="D49" s="3" t="e">
        <f>SUMPRODUCT(--(Roster_Trainer=$C$49),--(Roster_WorkshopType=$D$5),--(MONTH(Roster_WorkshopDate)=1),--(YEAR(Roster_WorkshopDate)=$D$4))</f>
        <v>#VALUE!</v>
      </c>
      <c r="E49" s="3" t="e">
        <f>SUMPRODUCT(--(Roster_Trainer=$C$49),--(Roster_WorkshopType=$D$5),--(MONTH(Roster_WorkshopDate)=2),--(YEAR(Roster_WorkshopDate)=$D$4))</f>
        <v>#VALUE!</v>
      </c>
      <c r="F49" s="3" t="e">
        <f>SUMPRODUCT(--(Roster_Trainer=$C$49),--(Roster_WorkshopType=$D$5),--(MONTH(Roster_WorkshopDate)=3),--(YEAR(Roster_WorkshopDate)=$D$4))</f>
        <v>#VALUE!</v>
      </c>
      <c r="G49" s="3" t="e">
        <f>SUMPRODUCT(--(Roster_Trainer=$C$49),--(Roster_WorkshopType=$D$5),--(MONTH(Roster_WorkshopDate)=4),--(YEAR(Roster_WorkshopDate)=$D$4))</f>
        <v>#VALUE!</v>
      </c>
      <c r="H49" s="3" t="e">
        <f>SUMPRODUCT(--(Roster_Trainer=$C$49),--(Roster_WorkshopType=$D$5),--(MONTH(Roster_WorkshopDate)=5),--(YEAR(Roster_WorkshopDate)=$D$4))</f>
        <v>#VALUE!</v>
      </c>
      <c r="I49" s="3" t="e">
        <f>SUMPRODUCT(--(Roster_Trainer=$C$49),--(Roster_WorkshopType=$D$5),--(MONTH(Roster_WorkshopDate)=6),--(YEAR(Roster_WorkshopDate)=$D$4))</f>
        <v>#VALUE!</v>
      </c>
      <c r="J49" s="3" t="e">
        <f>SUMPRODUCT(--(Roster_Trainer=$C$49),--(Roster_WorkshopType=$D$5),--(MONTH(Roster_WorkshopDate)=7),--(YEAR(Roster_WorkshopDate)=$D$4))</f>
        <v>#VALUE!</v>
      </c>
      <c r="K49" s="3" t="e">
        <f>SUMPRODUCT(--(Roster_Trainer=$C$49),--(Roster_WorkshopType=$D$5),--(MONTH(Roster_WorkshopDate)=8),--(YEAR(Roster_WorkshopDate)=$D$4))</f>
        <v>#VALUE!</v>
      </c>
      <c r="L49" s="3" t="e">
        <f>SUMPRODUCT(--(Roster_Trainer=$C$49),--(Roster_WorkshopType=$D$5),--(MONTH(Roster_WorkshopDate)=9),--(YEAR(Roster_WorkshopDate)=$D$4))</f>
        <v>#VALUE!</v>
      </c>
      <c r="M49" s="3" t="e">
        <f>SUMPRODUCT(--(Roster_Trainer=$C$49),--(Roster_WorkshopType=$D$5),--(MONTH(Roster_WorkshopDate)=10),--(YEAR(Roster_WorkshopDate)=$D$4))</f>
        <v>#VALUE!</v>
      </c>
      <c r="N49" s="3" t="e">
        <f>SUMPRODUCT(--(Roster_Trainer=$C$49),--(Roster_WorkshopType=$D$5),--(MONTH(Roster_WorkshopDate)=11),--(YEAR(Roster_WorkshopDate)=$D$4))</f>
        <v>#VALUE!</v>
      </c>
      <c r="O49" s="3" t="e">
        <f>SUMPRODUCT(--(Roster_Trainer=$C$49),--(Roster_WorkshopType=$D$5),--(MONTH(Roster_WorkshopDate)=12),--(YEAR(Roster_WorkshopDate)=$D$4))</f>
        <v>#VALUE!</v>
      </c>
      <c r="P49" s="44" t="e">
        <f>SUM(Table414[[#This Row],[Jan]:[Dec]])</f>
        <v>#VALUE!</v>
      </c>
    </row>
    <row r="50" spans="3:16">
      <c r="C50" s="25" t="str">
        <f>DataSheet!B10</f>
        <v>Murli</v>
      </c>
      <c r="D50" s="3" t="e">
        <f>SUMPRODUCT(--(Roster_Trainer=$C$50),--(Roster_WorkshopType=$D$5),--(MONTH(Roster_WorkshopDate)=1),--(YEAR(Roster_WorkshopDate)=$D$4))</f>
        <v>#VALUE!</v>
      </c>
      <c r="E50" s="3" t="e">
        <f>SUMPRODUCT(--(Roster_Trainer=$C$50),--(Roster_WorkshopType=$D$5),--(MONTH(Roster_WorkshopDate)=2),--(YEAR(Roster_WorkshopDate)=$D$4))</f>
        <v>#VALUE!</v>
      </c>
      <c r="F50" s="3" t="e">
        <f>SUMPRODUCT(--(Roster_Trainer=$C$50),--(Roster_WorkshopType=$D$5),--(MONTH(Roster_WorkshopDate)=3),--(YEAR(Roster_WorkshopDate)=$D$4))</f>
        <v>#VALUE!</v>
      </c>
      <c r="G50" s="3" t="e">
        <f>SUMPRODUCT(--(Roster_Trainer=$C$50),--(Roster_WorkshopType=$D$5),--(MONTH(Roster_WorkshopDate)=4),--(YEAR(Roster_WorkshopDate)=$D$4))</f>
        <v>#VALUE!</v>
      </c>
      <c r="H50" s="3" t="e">
        <f>SUMPRODUCT(--(Roster_Trainer=$C$50),--(Roster_WorkshopType=$D$5),--(MONTH(Roster_WorkshopDate)=5),--(YEAR(Roster_WorkshopDate)=$D$4))</f>
        <v>#VALUE!</v>
      </c>
      <c r="I50" s="3" t="e">
        <f>SUMPRODUCT(--(Roster_Trainer=$C$50),--(Roster_WorkshopType=$D$5),--(MONTH(Roster_WorkshopDate)=6),--(YEAR(Roster_WorkshopDate)=$D$4))</f>
        <v>#VALUE!</v>
      </c>
      <c r="J50" s="3" t="e">
        <f>SUMPRODUCT(--(Roster_Trainer=$C$50),--(Roster_WorkshopType=$D$5),--(MONTH(Roster_WorkshopDate)=7),--(YEAR(Roster_WorkshopDate)=$D$4))</f>
        <v>#VALUE!</v>
      </c>
      <c r="K50" s="3" t="e">
        <f>SUMPRODUCT(--(Roster_Trainer=$C$50),--(Roster_WorkshopType=$D$5),--(MONTH(Roster_WorkshopDate)=8),--(YEAR(Roster_WorkshopDate)=$D$4))</f>
        <v>#VALUE!</v>
      </c>
      <c r="L50" s="3" t="e">
        <f>SUMPRODUCT(--(Roster_Trainer=$C$50),--(Roster_WorkshopType=$D$5),--(MONTH(Roster_WorkshopDate)=9),--(YEAR(Roster_WorkshopDate)=$D$4))</f>
        <v>#VALUE!</v>
      </c>
      <c r="M50" s="3" t="e">
        <f>SUMPRODUCT(--(Roster_Trainer=$C$50),--(Roster_WorkshopType=$D$5),--(MONTH(Roster_WorkshopDate)=10),--(YEAR(Roster_WorkshopDate)=$D$4))</f>
        <v>#VALUE!</v>
      </c>
      <c r="N50" s="3" t="e">
        <f>SUMPRODUCT(--(Roster_Trainer=$C$50),--(Roster_WorkshopType=$D$5),--(MONTH(Roster_WorkshopDate)=11),--(YEAR(Roster_WorkshopDate)=$D$4))</f>
        <v>#VALUE!</v>
      </c>
      <c r="O50" s="3" t="e">
        <f>SUMPRODUCT(--(Roster_Trainer=$C$50),--(Roster_WorkshopType=$D$5),--(MONTH(Roster_WorkshopDate)=12),--(YEAR(Roster_WorkshopDate)=$D$4))</f>
        <v>#VALUE!</v>
      </c>
      <c r="P50" s="44" t="e">
        <f>SUM(Table414[[#This Row],[Jan]:[Dec]])</f>
        <v>#VALUE!</v>
      </c>
    </row>
    <row r="51" spans="3:16" hidden="1">
      <c r="C51" s="25">
        <f>DataSheet!B11</f>
        <v>0</v>
      </c>
      <c r="D51" s="3" t="e">
        <f>SUMPRODUCT(--(Roster_Trainer=$C$51),--(Roster_WorkshopType=$D$5),--(MONTH(Roster_WorkshopDate)=1),--(YEAR(Roster_WorkshopDate)=$D$4))</f>
        <v>#VALUE!</v>
      </c>
      <c r="E51" s="3" t="e">
        <f>SUMPRODUCT(--(Roster_Trainer=$C$51),--(Roster_WorkshopType=$D$5),--(MONTH(Roster_WorkshopDate)=2),--(YEAR(Roster_WorkshopDate)=$D$4))</f>
        <v>#VALUE!</v>
      </c>
      <c r="F51" s="3" t="e">
        <f>SUMPRODUCT(--(Roster_Trainer=$C$51),--(Roster_WorkshopType=$D$5),--(MONTH(Roster_WorkshopDate)=3),--(YEAR(Roster_WorkshopDate)=$D$4))</f>
        <v>#VALUE!</v>
      </c>
      <c r="G51" s="3" t="e">
        <f>SUMPRODUCT(--(Roster_Trainer=$C$51),--(Roster_WorkshopType=$D$5),--(MONTH(Roster_WorkshopDate)=4),--(YEAR(Roster_WorkshopDate)=$D$4))</f>
        <v>#VALUE!</v>
      </c>
      <c r="H51" s="3" t="e">
        <f>SUMPRODUCT(--(Roster_Trainer=$C$51),--(Roster_WorkshopType=$D$5),--(MONTH(Roster_WorkshopDate)=5),--(YEAR(Roster_WorkshopDate)=$D$4))</f>
        <v>#VALUE!</v>
      </c>
      <c r="I51" s="3" t="e">
        <f>SUMPRODUCT(--(Roster_Trainer=$C$51),--(Roster_WorkshopType=$D$5),--(MONTH(Roster_WorkshopDate)=6),--(YEAR(Roster_WorkshopDate)=$D$4))</f>
        <v>#VALUE!</v>
      </c>
      <c r="J51" s="3" t="e">
        <f>SUMPRODUCT(--(Roster_Trainer=$C$51),--(Roster_WorkshopType=$D$5),--(MONTH(Roster_WorkshopDate)=7),--(YEAR(Roster_WorkshopDate)=$D$4))</f>
        <v>#VALUE!</v>
      </c>
      <c r="K51" s="3" t="e">
        <f>SUMPRODUCT(--(Roster_Trainer=$C$51),--(Roster_WorkshopType=$D$5),--(MONTH(Roster_WorkshopDate)=8),--(YEAR(Roster_WorkshopDate)=$D$4))</f>
        <v>#VALUE!</v>
      </c>
      <c r="L51" s="3" t="e">
        <f>SUMPRODUCT(--(Roster_Trainer=$C$51),--(Roster_WorkshopType=$D$5),--(MONTH(Roster_WorkshopDate)=9),--(YEAR(Roster_WorkshopDate)=$D$4))</f>
        <v>#VALUE!</v>
      </c>
      <c r="M51" s="3" t="e">
        <f>SUMPRODUCT(--(Roster_Trainer=$C$51),--(Roster_WorkshopType=$D$5),--(MONTH(Roster_WorkshopDate)=10),--(YEAR(Roster_WorkshopDate)=$D$4))</f>
        <v>#VALUE!</v>
      </c>
      <c r="N51" s="3" t="e">
        <f>SUMPRODUCT(--(Roster_Trainer=$C$51),--(Roster_WorkshopType=$D$5),--(MONTH(Roster_WorkshopDate)=11),--(YEAR(Roster_WorkshopDate)=$D$4))</f>
        <v>#VALUE!</v>
      </c>
      <c r="O51" s="3" t="e">
        <f>SUMPRODUCT(--(Roster_Trainer=$C$51),--(Roster_WorkshopType=$D$5),--(MONTH(Roster_WorkshopDate)=12),--(YEAR(Roster_WorkshopDate)=$D$4))</f>
        <v>#VALUE!</v>
      </c>
      <c r="P51" s="44" t="e">
        <f>SUM(Table414[[#This Row],[Jan]:[Dec]])</f>
        <v>#VALUE!</v>
      </c>
    </row>
    <row r="52" spans="3:16" hidden="1">
      <c r="C52" s="25">
        <f>DataSheet!B12</f>
        <v>0</v>
      </c>
      <c r="D52" s="3" t="e">
        <f>SUMPRODUCT(--(Roster_Trainer=$C$52),--(Roster_WorkshopType=$D$5),--(MONTH(Roster_WorkshopDate)=1),--(YEAR(Roster_WorkshopDate)=$D$4))</f>
        <v>#VALUE!</v>
      </c>
      <c r="E52" s="3" t="e">
        <f>SUMPRODUCT(--(Roster_Trainer=$C$52),--(Roster_WorkshopType=$D$5),--(MONTH(Roster_WorkshopDate)=2),--(YEAR(Roster_WorkshopDate)=$D$4))</f>
        <v>#VALUE!</v>
      </c>
      <c r="F52" s="3" t="e">
        <f>SUMPRODUCT(--(Roster_Trainer=$C$52),--(Roster_WorkshopType=$D$5),--(MONTH(Roster_WorkshopDate)=3),--(YEAR(Roster_WorkshopDate)=$D$4))</f>
        <v>#VALUE!</v>
      </c>
      <c r="G52" s="3" t="e">
        <f>SUMPRODUCT(--(Roster_Trainer=$C$52),--(Roster_WorkshopType=$D$5),--(MONTH(Roster_WorkshopDate)=4),--(YEAR(Roster_WorkshopDate)=$D$4))</f>
        <v>#VALUE!</v>
      </c>
      <c r="H52" s="3" t="e">
        <f>SUMPRODUCT(--(Roster_Trainer=$C$52),--(Roster_WorkshopType=$D$5),--(MONTH(Roster_WorkshopDate)=5),--(YEAR(Roster_WorkshopDate)=$D$4))</f>
        <v>#VALUE!</v>
      </c>
      <c r="I52" s="3" t="e">
        <f>SUMPRODUCT(--(Roster_Trainer=$C$52),--(Roster_WorkshopType=$D$5),--(MONTH(Roster_WorkshopDate)=6),--(YEAR(Roster_WorkshopDate)=$D$4))</f>
        <v>#VALUE!</v>
      </c>
      <c r="J52" s="3" t="e">
        <f>SUMPRODUCT(--(Roster_Trainer=$C$52),--(Roster_WorkshopType=$D$5),--(MONTH(Roster_WorkshopDate)=7),--(YEAR(Roster_WorkshopDate)=$D$4))</f>
        <v>#VALUE!</v>
      </c>
      <c r="K52" s="3" t="e">
        <f>SUMPRODUCT(--(Roster_Trainer=$C$52),--(Roster_WorkshopType=$D$5),--(MONTH(Roster_WorkshopDate)=8),--(YEAR(Roster_WorkshopDate)=$D$4))</f>
        <v>#VALUE!</v>
      </c>
      <c r="L52" s="3" t="e">
        <f>SUMPRODUCT(--(Roster_Trainer=$C$52),--(Roster_WorkshopType=$D$5),--(MONTH(Roster_WorkshopDate)=9),--(YEAR(Roster_WorkshopDate)=$D$4))</f>
        <v>#VALUE!</v>
      </c>
      <c r="M52" s="3" t="e">
        <f>SUMPRODUCT(--(Roster_Trainer=$C$52),--(Roster_WorkshopType=$D$5),--(MONTH(Roster_WorkshopDate)=10),--(YEAR(Roster_WorkshopDate)=$D$4))</f>
        <v>#VALUE!</v>
      </c>
      <c r="N52" s="3" t="e">
        <f>SUMPRODUCT(--(Roster_Trainer=$C$52),--(Roster_WorkshopType=$D$5),--(MONTH(Roster_WorkshopDate)=11),--(YEAR(Roster_WorkshopDate)=$D$4))</f>
        <v>#VALUE!</v>
      </c>
      <c r="O52" s="3" t="e">
        <f>SUMPRODUCT(--(Roster_Trainer=$C$52),--(Roster_WorkshopType=$D$5),--(MONTH(Roster_WorkshopDate)=12),--(YEAR(Roster_WorkshopDate)=$D$4))</f>
        <v>#VALUE!</v>
      </c>
      <c r="P52" s="44" t="e">
        <f>SUM(Table414[[#This Row],[Jan]:[Dec]])</f>
        <v>#VALUE!</v>
      </c>
    </row>
    <row r="53" spans="3:16" hidden="1">
      <c r="C53" s="25">
        <f>DataSheet!B13</f>
        <v>0</v>
      </c>
      <c r="D53" s="3" t="e">
        <f>SUMPRODUCT(--(Roster_Trainer=$C$53),--(Roster_WorkshopType=$D$5),--(MONTH(Roster_WorkshopDate)=1),--(YEAR(Roster_WorkshopDate)=$D$4))</f>
        <v>#VALUE!</v>
      </c>
      <c r="E53" s="3" t="e">
        <f>SUMPRODUCT(--(Roster_Trainer=$C$53),--(Roster_WorkshopType=$D$5),--(MONTH(Roster_WorkshopDate)=2),--(YEAR(Roster_WorkshopDate)=$D$4))</f>
        <v>#VALUE!</v>
      </c>
      <c r="F53" s="3" t="e">
        <f>SUMPRODUCT(--(Roster_Trainer=$C$53),--(Roster_WorkshopType=$D$5),--(MONTH(Roster_WorkshopDate)=3),--(YEAR(Roster_WorkshopDate)=$D$4))</f>
        <v>#VALUE!</v>
      </c>
      <c r="G53" s="3" t="e">
        <f>SUMPRODUCT(--(Roster_Trainer=$C$53),--(Roster_WorkshopType=$D$5),--(MONTH(Roster_WorkshopDate)=4),--(YEAR(Roster_WorkshopDate)=$D$4))</f>
        <v>#VALUE!</v>
      </c>
      <c r="H53" s="3" t="e">
        <f>SUMPRODUCT(--(Roster_Trainer=$C$53),--(Roster_WorkshopType=$D$5),--(MONTH(Roster_WorkshopDate)=5),--(YEAR(Roster_WorkshopDate)=$D$4))</f>
        <v>#VALUE!</v>
      </c>
      <c r="I53" s="3" t="e">
        <f>SUMPRODUCT(--(Roster_Trainer=$C$53),--(Roster_WorkshopType=$D$5),--(MONTH(Roster_WorkshopDate)=6),--(YEAR(Roster_WorkshopDate)=$D$4))</f>
        <v>#VALUE!</v>
      </c>
      <c r="J53" s="3" t="e">
        <f>SUMPRODUCT(--(Roster_Trainer=$C$53),--(Roster_WorkshopType=$D$5),--(MONTH(Roster_WorkshopDate)=7),--(YEAR(Roster_WorkshopDate)=$D$4))</f>
        <v>#VALUE!</v>
      </c>
      <c r="K53" s="3" t="e">
        <f>SUMPRODUCT(--(Roster_Trainer=$C$53),--(Roster_WorkshopType=$D$5),--(MONTH(Roster_WorkshopDate)=8),--(YEAR(Roster_WorkshopDate)=$D$4))</f>
        <v>#VALUE!</v>
      </c>
      <c r="L53" s="3" t="e">
        <f>SUMPRODUCT(--(Roster_Trainer=$C$53),--(Roster_WorkshopType=$D$5),--(MONTH(Roster_WorkshopDate)=9),--(YEAR(Roster_WorkshopDate)=$D$4))</f>
        <v>#VALUE!</v>
      </c>
      <c r="M53" s="3" t="e">
        <f>SUMPRODUCT(--(Roster_Trainer=$C$53),--(Roster_WorkshopType=$D$5),--(MONTH(Roster_WorkshopDate)=10),--(YEAR(Roster_WorkshopDate)=$D$4))</f>
        <v>#VALUE!</v>
      </c>
      <c r="N53" s="3" t="e">
        <f>SUMPRODUCT(--(Roster_Trainer=$C$53),--(Roster_WorkshopType=$D$5),--(MONTH(Roster_WorkshopDate)=11),--(YEAR(Roster_WorkshopDate)=$D$4))</f>
        <v>#VALUE!</v>
      </c>
      <c r="O53" s="3" t="e">
        <f>SUMPRODUCT(--(Roster_Trainer=$C$53),--(Roster_WorkshopType=$D$5),--(MONTH(Roster_WorkshopDate)=12),--(YEAR(Roster_WorkshopDate)=$D$4))</f>
        <v>#VALUE!</v>
      </c>
      <c r="P53" s="44" t="e">
        <f>SUM(Table414[[#This Row],[Jan]:[Dec]])</f>
        <v>#VALUE!</v>
      </c>
    </row>
    <row r="54" spans="3:16" hidden="1">
      <c r="C54" s="25">
        <f>DataSheet!B14</f>
        <v>0</v>
      </c>
      <c r="D54" s="3" t="e">
        <f>SUMPRODUCT(--(Roster_Trainer=$C$54),--(Roster_WorkshopType=$D$5),--(MONTH(Roster_WorkshopDate)=1),--(YEAR(Roster_WorkshopDate)=$D$4))</f>
        <v>#VALUE!</v>
      </c>
      <c r="E54" s="3" t="e">
        <f>SUMPRODUCT(--(Roster_Trainer=$C$54),--(Roster_WorkshopType=$D$5),--(MONTH(Roster_WorkshopDate)=2),--(YEAR(Roster_WorkshopDate)=$D$4))</f>
        <v>#VALUE!</v>
      </c>
      <c r="F54" s="3" t="e">
        <f>SUMPRODUCT(--(Roster_Trainer=$C$54),--(Roster_WorkshopType=$D$5),--(MONTH(Roster_WorkshopDate)=3),--(YEAR(Roster_WorkshopDate)=$D$4))</f>
        <v>#VALUE!</v>
      </c>
      <c r="G54" s="3" t="e">
        <f>SUMPRODUCT(--(Roster_Trainer=$C$54),--(Roster_WorkshopType=$D$5),--(MONTH(Roster_WorkshopDate)=4),--(YEAR(Roster_WorkshopDate)=$D$4))</f>
        <v>#VALUE!</v>
      </c>
      <c r="H54" s="3" t="e">
        <f>SUMPRODUCT(--(Roster_Trainer=$C$54),--(Roster_WorkshopType=$D$5),--(MONTH(Roster_WorkshopDate)=5),--(YEAR(Roster_WorkshopDate)=$D$4))</f>
        <v>#VALUE!</v>
      </c>
      <c r="I54" s="3" t="e">
        <f>SUMPRODUCT(--(Roster_Trainer=$C$54),--(Roster_WorkshopType=$D$5),--(MONTH(Roster_WorkshopDate)=6),--(YEAR(Roster_WorkshopDate)=$D$4))</f>
        <v>#VALUE!</v>
      </c>
      <c r="J54" s="3" t="e">
        <f>SUMPRODUCT(--(Roster_Trainer=$C$54),--(Roster_WorkshopType=$D$5),--(MONTH(Roster_WorkshopDate)=7),--(YEAR(Roster_WorkshopDate)=$D$4))</f>
        <v>#VALUE!</v>
      </c>
      <c r="K54" s="3" t="e">
        <f>SUMPRODUCT(--(Roster_Trainer=$C$54),--(Roster_WorkshopType=$D$5),--(MONTH(Roster_WorkshopDate)=8),--(YEAR(Roster_WorkshopDate)=$D$4))</f>
        <v>#VALUE!</v>
      </c>
      <c r="L54" s="3" t="e">
        <f>SUMPRODUCT(--(Roster_Trainer=$C$54),--(Roster_WorkshopType=$D$5),--(MONTH(Roster_WorkshopDate)=9),--(YEAR(Roster_WorkshopDate)=$D$4))</f>
        <v>#VALUE!</v>
      </c>
      <c r="M54" s="3" t="e">
        <f>SUMPRODUCT(--(Roster_Trainer=$C$54),--(Roster_WorkshopType=$D$5),--(MONTH(Roster_WorkshopDate)=10),--(YEAR(Roster_WorkshopDate)=$D$4))</f>
        <v>#VALUE!</v>
      </c>
      <c r="N54" s="3" t="e">
        <f>SUMPRODUCT(--(Roster_Trainer=$C$54),--(Roster_WorkshopType=$D$5),--(MONTH(Roster_WorkshopDate)=11),--(YEAR(Roster_WorkshopDate)=$D$4))</f>
        <v>#VALUE!</v>
      </c>
      <c r="O54" s="3" t="e">
        <f>SUMPRODUCT(--(Roster_Trainer=$C$54),--(Roster_WorkshopType=$D$5),--(MONTH(Roster_WorkshopDate)=12),--(YEAR(Roster_WorkshopDate)=$D$4))</f>
        <v>#VALUE!</v>
      </c>
      <c r="P54" s="44" t="e">
        <f>SUM(Table414[[#This Row],[Jan]:[Dec]])</f>
        <v>#VALUE!</v>
      </c>
    </row>
    <row r="55" spans="3:16" hidden="1">
      <c r="C55" s="25">
        <f>DataSheet!B15</f>
        <v>0</v>
      </c>
      <c r="D55" s="3" t="e">
        <f>SUMPRODUCT(--(Roster_Trainer=$C$55),--(Roster_WorkshopType=$D$5),--(MONTH(Roster_WorkshopDate)=1),--(YEAR(Roster_WorkshopDate)=$D$4))</f>
        <v>#VALUE!</v>
      </c>
      <c r="E55" s="3" t="e">
        <f>SUMPRODUCT(--(Roster_Trainer=$C$55),--(Roster_WorkshopType=$D$5),--(MONTH(Roster_WorkshopDate)=2),--(YEAR(Roster_WorkshopDate)=$D$4))</f>
        <v>#VALUE!</v>
      </c>
      <c r="F55" s="3" t="e">
        <f>SUMPRODUCT(--(Roster_Trainer=$C$55),--(Roster_WorkshopType=$D$5),--(MONTH(Roster_WorkshopDate)=3),--(YEAR(Roster_WorkshopDate)=$D$4))</f>
        <v>#VALUE!</v>
      </c>
      <c r="G55" s="3" t="e">
        <f>SUMPRODUCT(--(Roster_Trainer=$C$55),--(Roster_WorkshopType=$D$5),--(MONTH(Roster_WorkshopDate)=4),--(YEAR(Roster_WorkshopDate)=$D$4))</f>
        <v>#VALUE!</v>
      </c>
      <c r="H55" s="3" t="e">
        <f>SUMPRODUCT(--(Roster_Trainer=$C$55),--(Roster_WorkshopType=$D$5),--(MONTH(Roster_WorkshopDate)=5),--(YEAR(Roster_WorkshopDate)=$D$4))</f>
        <v>#VALUE!</v>
      </c>
      <c r="I55" s="3" t="e">
        <f>SUMPRODUCT(--(Roster_Trainer=$C$55),--(Roster_WorkshopType=$D$5),--(MONTH(Roster_WorkshopDate)=6),--(YEAR(Roster_WorkshopDate)=$D$4))</f>
        <v>#VALUE!</v>
      </c>
      <c r="J55" s="3" t="e">
        <f>SUMPRODUCT(--(Roster_Trainer=$C$55),--(Roster_WorkshopType=$D$5),--(MONTH(Roster_WorkshopDate)=7),--(YEAR(Roster_WorkshopDate)=$D$4))</f>
        <v>#VALUE!</v>
      </c>
      <c r="K55" s="3" t="e">
        <f>SUMPRODUCT(--(Roster_Trainer=$C$55),--(Roster_WorkshopType=$D$5),--(MONTH(Roster_WorkshopDate)=8),--(YEAR(Roster_WorkshopDate)=$D$4))</f>
        <v>#VALUE!</v>
      </c>
      <c r="L55" s="3" t="e">
        <f>SUMPRODUCT(--(Roster_Trainer=$C$55),--(Roster_WorkshopType=$D$5),--(MONTH(Roster_WorkshopDate)=9),--(YEAR(Roster_WorkshopDate)=$D$4))</f>
        <v>#VALUE!</v>
      </c>
      <c r="M55" s="3" t="e">
        <f>SUMPRODUCT(--(Roster_Trainer=$C$55),--(Roster_WorkshopType=$D$5),--(MONTH(Roster_WorkshopDate)=10),--(YEAR(Roster_WorkshopDate)=$D$4))</f>
        <v>#VALUE!</v>
      </c>
      <c r="N55" s="3" t="e">
        <f>SUMPRODUCT(--(Roster_Trainer=$C$55),--(Roster_WorkshopType=$D$5),--(MONTH(Roster_WorkshopDate)=11),--(YEAR(Roster_WorkshopDate)=$D$4))</f>
        <v>#VALUE!</v>
      </c>
      <c r="O55" s="3" t="e">
        <f>SUMPRODUCT(--(Roster_Trainer=$C$55),--(Roster_WorkshopType=$D$5),--(MONTH(Roster_WorkshopDate)=12),--(YEAR(Roster_WorkshopDate)=$D$4))</f>
        <v>#VALUE!</v>
      </c>
      <c r="P55" s="44" t="e">
        <f>SUM(Table414[[#This Row],[Jan]:[Dec]])</f>
        <v>#VALUE!</v>
      </c>
    </row>
    <row r="56" spans="3:16" hidden="1">
      <c r="C56" s="25">
        <f>DataSheet!B16</f>
        <v>0</v>
      </c>
      <c r="D56" s="3" t="e">
        <f>SUMPRODUCT(--(Roster_Trainer=$C$56),--(Roster_WorkshopType=$D$5),--(MONTH(Roster_WorkshopDate)=1),--(YEAR(Roster_WorkshopDate)=$D$4))</f>
        <v>#VALUE!</v>
      </c>
      <c r="E56" s="3" t="e">
        <f>SUMPRODUCT(--(Roster_Trainer=$C$56),--(Roster_WorkshopType=$D$5),--(MONTH(Roster_WorkshopDate)=2),--(YEAR(Roster_WorkshopDate)=$D$4))</f>
        <v>#VALUE!</v>
      </c>
      <c r="F56" s="3" t="e">
        <f>SUMPRODUCT(--(Roster_Trainer=$C$56),--(Roster_WorkshopType=$D$5),--(MONTH(Roster_WorkshopDate)=3),--(YEAR(Roster_WorkshopDate)=$D$4))</f>
        <v>#VALUE!</v>
      </c>
      <c r="G56" s="3" t="e">
        <f>SUMPRODUCT(--(Roster_Trainer=$C$56),--(Roster_WorkshopType=$D$5),--(MONTH(Roster_WorkshopDate)=4),--(YEAR(Roster_WorkshopDate)=$D$4))</f>
        <v>#VALUE!</v>
      </c>
      <c r="H56" s="3" t="e">
        <f>SUMPRODUCT(--(Roster_Trainer=$C$56),--(Roster_WorkshopType=$D$5),--(MONTH(Roster_WorkshopDate)=5),--(YEAR(Roster_WorkshopDate)=$D$4))</f>
        <v>#VALUE!</v>
      </c>
      <c r="I56" s="3" t="e">
        <f>SUMPRODUCT(--(Roster_Trainer=$C$56),--(Roster_WorkshopType=$D$5),--(MONTH(Roster_WorkshopDate)=6),--(YEAR(Roster_WorkshopDate)=$D$4))</f>
        <v>#VALUE!</v>
      </c>
      <c r="J56" s="3" t="e">
        <f>SUMPRODUCT(--(Roster_Trainer=$C$56),--(Roster_WorkshopType=$D$5),--(MONTH(Roster_WorkshopDate)=7),--(YEAR(Roster_WorkshopDate)=$D$4))</f>
        <v>#VALUE!</v>
      </c>
      <c r="K56" s="3" t="e">
        <f>SUMPRODUCT(--(Roster_Trainer=$C$56),--(Roster_WorkshopType=$D$5),--(MONTH(Roster_WorkshopDate)=8),--(YEAR(Roster_WorkshopDate)=$D$4))</f>
        <v>#VALUE!</v>
      </c>
      <c r="L56" s="3" t="e">
        <f>SUMPRODUCT(--(Roster_Trainer=$C$56),--(Roster_WorkshopType=$D$5),--(MONTH(Roster_WorkshopDate)=9),--(YEAR(Roster_WorkshopDate)=$D$4))</f>
        <v>#VALUE!</v>
      </c>
      <c r="M56" s="3" t="e">
        <f>SUMPRODUCT(--(Roster_Trainer=$C$56),--(Roster_WorkshopType=$D$5),--(MONTH(Roster_WorkshopDate)=10),--(YEAR(Roster_WorkshopDate)=$D$4))</f>
        <v>#VALUE!</v>
      </c>
      <c r="N56" s="3" t="e">
        <f>SUMPRODUCT(--(Roster_Trainer=$C$56),--(Roster_WorkshopType=$D$5),--(MONTH(Roster_WorkshopDate)=11),--(YEAR(Roster_WorkshopDate)=$D$4))</f>
        <v>#VALUE!</v>
      </c>
      <c r="O56" s="3" t="e">
        <f>SUMPRODUCT(--(Roster_Trainer=$C$56),--(Roster_WorkshopType=$D$5),--(MONTH(Roster_WorkshopDate)=12),--(YEAR(Roster_WorkshopDate)=$D$4))</f>
        <v>#VALUE!</v>
      </c>
      <c r="P56" s="44" t="e">
        <f>SUM(Table414[[#This Row],[Jan]:[Dec]])</f>
        <v>#VALUE!</v>
      </c>
    </row>
    <row r="57" spans="3:16" hidden="1">
      <c r="C57" s="25">
        <f>DataSheet!B17</f>
        <v>0</v>
      </c>
      <c r="D57" s="3" t="e">
        <f>SUMPRODUCT(--(Roster_Trainer=$C$57),--(Roster_WorkshopType=$D$5),--(MONTH(Roster_WorkshopDate)=1),--(YEAR(Roster_WorkshopDate)=$D$4))</f>
        <v>#VALUE!</v>
      </c>
      <c r="E57" s="3" t="e">
        <f>SUMPRODUCT(--(Roster_Trainer=$C$57),--(Roster_WorkshopType=$D$5),--(MONTH(Roster_WorkshopDate)=2),--(YEAR(Roster_WorkshopDate)=$D$4))</f>
        <v>#VALUE!</v>
      </c>
      <c r="F57" s="3" t="e">
        <f>SUMPRODUCT(--(Roster_Trainer=$C$57),--(Roster_WorkshopType=$D$5),--(MONTH(Roster_WorkshopDate)=3),--(YEAR(Roster_WorkshopDate)=$D$4))</f>
        <v>#VALUE!</v>
      </c>
      <c r="G57" s="3" t="e">
        <f>SUMPRODUCT(--(Roster_Trainer=$C$57),--(Roster_WorkshopType=$D$5),--(MONTH(Roster_WorkshopDate)=4),--(YEAR(Roster_WorkshopDate)=$D$4))</f>
        <v>#VALUE!</v>
      </c>
      <c r="H57" s="3" t="e">
        <f>SUMPRODUCT(--(Roster_Trainer=$C$57),--(Roster_WorkshopType=$D$5),--(MONTH(Roster_WorkshopDate)=5),--(YEAR(Roster_WorkshopDate)=$D$4))</f>
        <v>#VALUE!</v>
      </c>
      <c r="I57" s="3" t="e">
        <f>SUMPRODUCT(--(Roster_Trainer=$C$57),--(Roster_WorkshopType=$D$5),--(MONTH(Roster_WorkshopDate)=6),--(YEAR(Roster_WorkshopDate)=$D$4))</f>
        <v>#VALUE!</v>
      </c>
      <c r="J57" s="3" t="e">
        <f>SUMPRODUCT(--(Roster_Trainer=$C$57),--(Roster_WorkshopType=$D$5),--(MONTH(Roster_WorkshopDate)=7),--(YEAR(Roster_WorkshopDate)=$D$4))</f>
        <v>#VALUE!</v>
      </c>
      <c r="K57" s="3" t="e">
        <f>SUMPRODUCT(--(Roster_Trainer=$C$57),--(Roster_WorkshopType=$D$5),--(MONTH(Roster_WorkshopDate)=8),--(YEAR(Roster_WorkshopDate)=$D$4))</f>
        <v>#VALUE!</v>
      </c>
      <c r="L57" s="3" t="e">
        <f>SUMPRODUCT(--(Roster_Trainer=$C$57),--(Roster_WorkshopType=$D$5),--(MONTH(Roster_WorkshopDate)=9),--(YEAR(Roster_WorkshopDate)=$D$4))</f>
        <v>#VALUE!</v>
      </c>
      <c r="M57" s="3" t="e">
        <f>SUMPRODUCT(--(Roster_Trainer=$C$57),--(Roster_WorkshopType=$D$5),--(MONTH(Roster_WorkshopDate)=10),--(YEAR(Roster_WorkshopDate)=$D$4))</f>
        <v>#VALUE!</v>
      </c>
      <c r="N57" s="3" t="e">
        <f>SUMPRODUCT(--(Roster_Trainer=$C$57),--(Roster_WorkshopType=$D$5),--(MONTH(Roster_WorkshopDate)=11),--(YEAR(Roster_WorkshopDate)=$D$4))</f>
        <v>#VALUE!</v>
      </c>
      <c r="O57" s="3" t="e">
        <f>SUMPRODUCT(--(Roster_Trainer=$C$57),--(Roster_WorkshopType=$D$5),--(MONTH(Roster_WorkshopDate)=12),--(YEAR(Roster_WorkshopDate)=$D$4))</f>
        <v>#VALUE!</v>
      </c>
      <c r="P57" s="44" t="e">
        <f>SUM(Table414[[#This Row],[Jan]:[Dec]])</f>
        <v>#VALUE!</v>
      </c>
    </row>
    <row r="58" spans="3:16" hidden="1">
      <c r="C58" s="25">
        <f>DataSheet!B18</f>
        <v>0</v>
      </c>
      <c r="D58" s="3" t="e">
        <f>SUMPRODUCT(--(Roster_Trainer=$C$58),--(Roster_WorkshopType=$D$5),--(MONTH(Roster_WorkshopDate)=1),--(YEAR(Roster_WorkshopDate)=$D$4))</f>
        <v>#VALUE!</v>
      </c>
      <c r="E58" s="3" t="e">
        <f>SUMPRODUCT(--(Roster_Trainer=$C$58),--(Roster_WorkshopType=$D$5),--(MONTH(Roster_WorkshopDate)=2),--(YEAR(Roster_WorkshopDate)=$D$4))</f>
        <v>#VALUE!</v>
      </c>
      <c r="F58" s="3" t="e">
        <f>SUMPRODUCT(--(Roster_Trainer=$C$58),--(Roster_WorkshopType=$D$5),--(MONTH(Roster_WorkshopDate)=3),--(YEAR(Roster_WorkshopDate)=$D$4))</f>
        <v>#VALUE!</v>
      </c>
      <c r="G58" s="3" t="e">
        <f>SUMPRODUCT(--(Roster_Trainer=$C$58),--(Roster_WorkshopType=$D$5),--(MONTH(Roster_WorkshopDate)=4),--(YEAR(Roster_WorkshopDate)=$D$4))</f>
        <v>#VALUE!</v>
      </c>
      <c r="H58" s="3" t="e">
        <f>SUMPRODUCT(--(Roster_Trainer=$C$58),--(Roster_WorkshopType=$D$5),--(MONTH(Roster_WorkshopDate)=5),--(YEAR(Roster_WorkshopDate)=$D$4))</f>
        <v>#VALUE!</v>
      </c>
      <c r="I58" s="3" t="e">
        <f>SUMPRODUCT(--(Roster_Trainer=$C$58),--(Roster_WorkshopType=$D$5),--(MONTH(Roster_WorkshopDate)=6),--(YEAR(Roster_WorkshopDate)=$D$4))</f>
        <v>#VALUE!</v>
      </c>
      <c r="J58" s="3" t="e">
        <f>SUMPRODUCT(--(Roster_Trainer=$C$58),--(Roster_WorkshopType=$D$5),--(MONTH(Roster_WorkshopDate)=7),--(YEAR(Roster_WorkshopDate)=$D$4))</f>
        <v>#VALUE!</v>
      </c>
      <c r="K58" s="3" t="e">
        <f>SUMPRODUCT(--(Roster_Trainer=$C$58),--(Roster_WorkshopType=$D$5),--(MONTH(Roster_WorkshopDate)=8),--(YEAR(Roster_WorkshopDate)=$D$4))</f>
        <v>#VALUE!</v>
      </c>
      <c r="L58" s="3" t="e">
        <f>SUMPRODUCT(--(Roster_Trainer=$C$58),--(Roster_WorkshopType=$D$5),--(MONTH(Roster_WorkshopDate)=9),--(YEAR(Roster_WorkshopDate)=$D$4))</f>
        <v>#VALUE!</v>
      </c>
      <c r="M58" s="3" t="e">
        <f>SUMPRODUCT(--(Roster_Trainer=$C$58),--(Roster_WorkshopType=$D$5),--(MONTH(Roster_WorkshopDate)=10),--(YEAR(Roster_WorkshopDate)=$D$4))</f>
        <v>#VALUE!</v>
      </c>
      <c r="N58" s="3" t="e">
        <f>SUMPRODUCT(--(Roster_Trainer=$C$58),--(Roster_WorkshopType=$D$5),--(MONTH(Roster_WorkshopDate)=11),--(YEAR(Roster_WorkshopDate)=$D$4))</f>
        <v>#VALUE!</v>
      </c>
      <c r="O58" s="3" t="e">
        <f>SUMPRODUCT(--(Roster_Trainer=$C$58),--(Roster_WorkshopType=$D$5),--(MONTH(Roster_WorkshopDate)=12),--(YEAR(Roster_WorkshopDate)=$D$4))</f>
        <v>#VALUE!</v>
      </c>
      <c r="P58" s="44" t="e">
        <f>SUM(Table414[[#This Row],[Jan]:[Dec]])</f>
        <v>#VALUE!</v>
      </c>
    </row>
    <row r="59" spans="3:16" hidden="1">
      <c r="C59" s="25">
        <f>DataSheet!B19</f>
        <v>0</v>
      </c>
      <c r="D59" s="3" t="e">
        <f>SUMPRODUCT(--(Roster_Trainer=$C$59),--(Roster_WorkshopType=$D$5),--(MONTH(Roster_WorkshopDate)=1),--(YEAR(Roster_WorkshopDate)=$D$4))</f>
        <v>#VALUE!</v>
      </c>
      <c r="E59" s="3" t="e">
        <f>SUMPRODUCT(--(Roster_Trainer=$C$59),--(Roster_WorkshopType=$D$5),--(MONTH(Roster_WorkshopDate)=2),--(YEAR(Roster_WorkshopDate)=$D$4))</f>
        <v>#VALUE!</v>
      </c>
      <c r="F59" s="3" t="e">
        <f>SUMPRODUCT(--(Roster_Trainer=$C$59),--(Roster_WorkshopType=$D$5),--(MONTH(Roster_WorkshopDate)=3),--(YEAR(Roster_WorkshopDate)=$D$4))</f>
        <v>#VALUE!</v>
      </c>
      <c r="G59" s="3" t="e">
        <f>SUMPRODUCT(--(Roster_Trainer=$C$59),--(Roster_WorkshopType=$D$5),--(MONTH(Roster_WorkshopDate)=4),--(YEAR(Roster_WorkshopDate)=$D$4))</f>
        <v>#VALUE!</v>
      </c>
      <c r="H59" s="3" t="e">
        <f>SUMPRODUCT(--(Roster_Trainer=$C$59),--(Roster_WorkshopType=$D$5),--(MONTH(Roster_WorkshopDate)=5),--(YEAR(Roster_WorkshopDate)=$D$4))</f>
        <v>#VALUE!</v>
      </c>
      <c r="I59" s="3" t="e">
        <f>SUMPRODUCT(--(Roster_Trainer=$C$59),--(Roster_WorkshopType=$D$5),--(MONTH(Roster_WorkshopDate)=6),--(YEAR(Roster_WorkshopDate)=$D$4))</f>
        <v>#VALUE!</v>
      </c>
      <c r="J59" s="3" t="e">
        <f>SUMPRODUCT(--(Roster_Trainer=$C$59),--(Roster_WorkshopType=$D$5),--(MONTH(Roster_WorkshopDate)=7),--(YEAR(Roster_WorkshopDate)=$D$4))</f>
        <v>#VALUE!</v>
      </c>
      <c r="K59" s="3" t="e">
        <f>SUMPRODUCT(--(Roster_Trainer=$C$59),--(Roster_WorkshopType=$D$5),--(MONTH(Roster_WorkshopDate)=8),--(YEAR(Roster_WorkshopDate)=$D$4))</f>
        <v>#VALUE!</v>
      </c>
      <c r="L59" s="3" t="e">
        <f>SUMPRODUCT(--(Roster_Trainer=$C$59),--(Roster_WorkshopType=$D$5),--(MONTH(Roster_WorkshopDate)=9),--(YEAR(Roster_WorkshopDate)=$D$4))</f>
        <v>#VALUE!</v>
      </c>
      <c r="M59" s="3" t="e">
        <f>SUMPRODUCT(--(Roster_Trainer=$C$59),--(Roster_WorkshopType=$D$5),--(MONTH(Roster_WorkshopDate)=10),--(YEAR(Roster_WorkshopDate)=$D$4))</f>
        <v>#VALUE!</v>
      </c>
      <c r="N59" s="3" t="e">
        <f>SUMPRODUCT(--(Roster_Trainer=$C$59),--(Roster_WorkshopType=$D$5),--(MONTH(Roster_WorkshopDate)=11),--(YEAR(Roster_WorkshopDate)=$D$4))</f>
        <v>#VALUE!</v>
      </c>
      <c r="O59" s="3" t="e">
        <f>SUMPRODUCT(--(Roster_Trainer=$C$59),--(Roster_WorkshopType=$D$5),--(MONTH(Roster_WorkshopDate)=12),--(YEAR(Roster_WorkshopDate)=$D$4))</f>
        <v>#VALUE!</v>
      </c>
      <c r="P59" s="44" t="e">
        <f>SUM(Table414[[#This Row],[Jan]:[Dec]])</f>
        <v>#VALUE!</v>
      </c>
    </row>
    <row r="60" spans="3:16" hidden="1">
      <c r="C60" s="25">
        <f>DataSheet!B20</f>
        <v>0</v>
      </c>
      <c r="D60" s="3" t="e">
        <f>SUMPRODUCT(--(Roster_Trainer=$C$60),--(Roster_WorkshopType=$D$5),--(MONTH(Roster_WorkshopDate)=1),--(YEAR(Roster_WorkshopDate)=$D$4))</f>
        <v>#VALUE!</v>
      </c>
      <c r="E60" s="3" t="e">
        <f>SUMPRODUCT(--(Roster_Trainer=$C$60),--(Roster_WorkshopType=$D$5),--(MONTH(Roster_WorkshopDate)=2),--(YEAR(Roster_WorkshopDate)=$D$4))</f>
        <v>#VALUE!</v>
      </c>
      <c r="F60" s="3" t="e">
        <f>SUMPRODUCT(--(Roster_Trainer=$C$60),--(Roster_WorkshopType=$D$5),--(MONTH(Roster_WorkshopDate)=3),--(YEAR(Roster_WorkshopDate)=$D$4))</f>
        <v>#VALUE!</v>
      </c>
      <c r="G60" s="3" t="e">
        <f>SUMPRODUCT(--(Roster_Trainer=$C$60),--(Roster_WorkshopType=$D$5),--(MONTH(Roster_WorkshopDate)=4),--(YEAR(Roster_WorkshopDate)=$D$4))</f>
        <v>#VALUE!</v>
      </c>
      <c r="H60" s="3" t="e">
        <f>SUMPRODUCT(--(Roster_Trainer=$C$60),--(Roster_WorkshopType=$D$5),--(MONTH(Roster_WorkshopDate)=5),--(YEAR(Roster_WorkshopDate)=$D$4))</f>
        <v>#VALUE!</v>
      </c>
      <c r="I60" s="3" t="e">
        <f>SUMPRODUCT(--(Roster_Trainer=$C$60),--(Roster_WorkshopType=$D$5),--(MONTH(Roster_WorkshopDate)=6),--(YEAR(Roster_WorkshopDate)=$D$4))</f>
        <v>#VALUE!</v>
      </c>
      <c r="J60" s="3" t="e">
        <f>SUMPRODUCT(--(Roster_Trainer=$C$60),--(Roster_WorkshopType=$D$5),--(MONTH(Roster_WorkshopDate)=7),--(YEAR(Roster_WorkshopDate)=$D$4))</f>
        <v>#VALUE!</v>
      </c>
      <c r="K60" s="3" t="e">
        <f>SUMPRODUCT(--(Roster_Trainer=$C$60),--(Roster_WorkshopType=$D$5),--(MONTH(Roster_WorkshopDate)=8),--(YEAR(Roster_WorkshopDate)=$D$4))</f>
        <v>#VALUE!</v>
      </c>
      <c r="L60" s="3" t="e">
        <f>SUMPRODUCT(--(Roster_Trainer=$C$60),--(Roster_WorkshopType=$D$5),--(MONTH(Roster_WorkshopDate)=9),--(YEAR(Roster_WorkshopDate)=$D$4))</f>
        <v>#VALUE!</v>
      </c>
      <c r="M60" s="3" t="e">
        <f>SUMPRODUCT(--(Roster_Trainer=$C$60),--(Roster_WorkshopType=$D$5),--(MONTH(Roster_WorkshopDate)=10),--(YEAR(Roster_WorkshopDate)=$D$4))</f>
        <v>#VALUE!</v>
      </c>
      <c r="N60" s="3" t="e">
        <f>SUMPRODUCT(--(Roster_Trainer=$C$60),--(Roster_WorkshopType=$D$5),--(MONTH(Roster_WorkshopDate)=11),--(YEAR(Roster_WorkshopDate)=$D$4))</f>
        <v>#VALUE!</v>
      </c>
      <c r="O60" s="3" t="e">
        <f>SUMPRODUCT(--(Roster_Trainer=$C$60),--(Roster_WorkshopType=$D$5),--(MONTH(Roster_WorkshopDate)=12),--(YEAR(Roster_WorkshopDate)=$D$4))</f>
        <v>#VALUE!</v>
      </c>
      <c r="P60" s="44" t="e">
        <f>SUM(Table414[[#This Row],[Jan]:[Dec]])</f>
        <v>#VALUE!</v>
      </c>
    </row>
    <row r="61" spans="3:16" hidden="1">
      <c r="C61" s="25">
        <f>DataSheet!B21</f>
        <v>0</v>
      </c>
      <c r="D61" s="3" t="e">
        <f>SUMPRODUCT(--(Roster_Trainer=$C$61),--(Roster_WorkshopType=$D$5),--(MONTH(Roster_WorkshopDate)=1),--(YEAR(Roster_WorkshopDate)=$D$4))</f>
        <v>#VALUE!</v>
      </c>
      <c r="E61" s="3" t="e">
        <f>SUMPRODUCT(--(Roster_Trainer=$C$61),--(Roster_WorkshopType=$D$5),--(MONTH(Roster_WorkshopDate)=2),--(YEAR(Roster_WorkshopDate)=$D$4))</f>
        <v>#VALUE!</v>
      </c>
      <c r="F61" s="3" t="e">
        <f>SUMPRODUCT(--(Roster_Trainer=$C$61),--(Roster_WorkshopType=$D$5),--(MONTH(Roster_WorkshopDate)=3),--(YEAR(Roster_WorkshopDate)=$D$4))</f>
        <v>#VALUE!</v>
      </c>
      <c r="G61" s="3" t="e">
        <f>SUMPRODUCT(--(Roster_Trainer=$C$61),--(Roster_WorkshopType=$D$5),--(MONTH(Roster_WorkshopDate)=4),--(YEAR(Roster_WorkshopDate)=$D$4))</f>
        <v>#VALUE!</v>
      </c>
      <c r="H61" s="3" t="e">
        <f>SUMPRODUCT(--(Roster_Trainer=$C$61),--(Roster_WorkshopType=$D$5),--(MONTH(Roster_WorkshopDate)=5),--(YEAR(Roster_WorkshopDate)=$D$4))</f>
        <v>#VALUE!</v>
      </c>
      <c r="I61" s="3" t="e">
        <f>SUMPRODUCT(--(Roster_Trainer=$C$61),--(Roster_WorkshopType=$D$5),--(MONTH(Roster_WorkshopDate)=6),--(YEAR(Roster_WorkshopDate)=$D$4))</f>
        <v>#VALUE!</v>
      </c>
      <c r="J61" s="3" t="e">
        <f>SUMPRODUCT(--(Roster_Trainer=$C$61),--(Roster_WorkshopType=$D$5),--(MONTH(Roster_WorkshopDate)=7),--(YEAR(Roster_WorkshopDate)=$D$4))</f>
        <v>#VALUE!</v>
      </c>
      <c r="K61" s="3" t="e">
        <f>SUMPRODUCT(--(Roster_Trainer=$C$61),--(Roster_WorkshopType=$D$5),--(MONTH(Roster_WorkshopDate)=8),--(YEAR(Roster_WorkshopDate)=$D$4))</f>
        <v>#VALUE!</v>
      </c>
      <c r="L61" s="3" t="e">
        <f>SUMPRODUCT(--(Roster_Trainer=$C$61),--(Roster_WorkshopType=$D$5),--(MONTH(Roster_WorkshopDate)=9),--(YEAR(Roster_WorkshopDate)=$D$4))</f>
        <v>#VALUE!</v>
      </c>
      <c r="M61" s="3" t="e">
        <f>SUMPRODUCT(--(Roster_Trainer=$C$61),--(Roster_WorkshopType=$D$5),--(MONTH(Roster_WorkshopDate)=10),--(YEAR(Roster_WorkshopDate)=$D$4))</f>
        <v>#VALUE!</v>
      </c>
      <c r="N61" s="3" t="e">
        <f>SUMPRODUCT(--(Roster_Trainer=$C$61),--(Roster_WorkshopType=$D$5),--(MONTH(Roster_WorkshopDate)=11),--(YEAR(Roster_WorkshopDate)=$D$4))</f>
        <v>#VALUE!</v>
      </c>
      <c r="O61" s="3" t="e">
        <f>SUMPRODUCT(--(Roster_Trainer=$C$61),--(Roster_WorkshopType=$D$5),--(MONTH(Roster_WorkshopDate)=12),--(YEAR(Roster_WorkshopDate)=$D$4))</f>
        <v>#VALUE!</v>
      </c>
      <c r="P61" s="44" t="e">
        <f>SUM(Table414[[#This Row],[Jan]:[Dec]])</f>
        <v>#VALUE!</v>
      </c>
    </row>
    <row r="62" spans="3:16" hidden="1">
      <c r="C62" s="25">
        <f>DataSheet!B22</f>
        <v>0</v>
      </c>
      <c r="D62" s="4" t="e">
        <f>SUMPRODUCT(--(Roster_Trainer=$C$62),--(Roster_WorkshopType=$D$5),--(MONTH(Roster_WorkshopDate)=1),--(YEAR(Roster_WorkshopDate)=$D$4))</f>
        <v>#VALUE!</v>
      </c>
      <c r="E62" s="4" t="e">
        <f>SUMPRODUCT(--(Roster_Trainer=$C$62),--(Roster_WorkshopType=$D$5),--(MONTH(Roster_WorkshopDate)=2),--(YEAR(Roster_WorkshopDate)=$D$4))</f>
        <v>#VALUE!</v>
      </c>
      <c r="F62" s="4" t="e">
        <f>SUMPRODUCT(--(Roster_Trainer=$C$62),--(Roster_WorkshopType=$D$5),--(MONTH(Roster_WorkshopDate)=3),--(YEAR(Roster_WorkshopDate)=$D$4))</f>
        <v>#VALUE!</v>
      </c>
      <c r="G62" s="4" t="e">
        <f>SUMPRODUCT(--(Roster_Trainer=$C$62),--(Roster_WorkshopType=$D$5),--(MONTH(Roster_WorkshopDate)=4),--(YEAR(Roster_WorkshopDate)=$D$4))</f>
        <v>#VALUE!</v>
      </c>
      <c r="H62" s="4" t="e">
        <f>SUMPRODUCT(--(Roster_Trainer=$C$62),--(Roster_WorkshopType=$D$5),--(MONTH(Roster_WorkshopDate)=5),--(YEAR(Roster_WorkshopDate)=$D$4))</f>
        <v>#VALUE!</v>
      </c>
      <c r="I62" s="4" t="e">
        <f>SUMPRODUCT(--(Roster_Trainer=$C$62),--(Roster_WorkshopType=$D$5),--(MONTH(Roster_WorkshopDate)=6),--(YEAR(Roster_WorkshopDate)=$D$4))</f>
        <v>#VALUE!</v>
      </c>
      <c r="J62" s="4" t="e">
        <f>SUMPRODUCT(--(Roster_Trainer=$C$62),--(Roster_WorkshopType=$D$5),--(MONTH(Roster_WorkshopDate)=7),--(YEAR(Roster_WorkshopDate)=$D$4))</f>
        <v>#VALUE!</v>
      </c>
      <c r="K62" s="4" t="e">
        <f>SUMPRODUCT(--(Roster_Trainer=$C$62),--(Roster_WorkshopType=$D$5),--(MONTH(Roster_WorkshopDate)=8),--(YEAR(Roster_WorkshopDate)=$D$4))</f>
        <v>#VALUE!</v>
      </c>
      <c r="L62" s="4" t="e">
        <f>SUMPRODUCT(--(Roster_Trainer=$C$62),--(Roster_WorkshopType=$D$5),--(MONTH(Roster_WorkshopDate)=9),--(YEAR(Roster_WorkshopDate)=$D$4))</f>
        <v>#VALUE!</v>
      </c>
      <c r="M62" s="4" t="e">
        <f>SUMPRODUCT(--(Roster_Trainer=$C$62),--(Roster_WorkshopType=$D$5),--(MONTH(Roster_WorkshopDate)=10),--(YEAR(Roster_WorkshopDate)=$D$4))</f>
        <v>#VALUE!</v>
      </c>
      <c r="N62" s="4" t="e">
        <f>SUMPRODUCT(--(Roster_Trainer=$C$62),--(Roster_WorkshopType=$D$5),--(MONTH(Roster_WorkshopDate)=11),--(YEAR(Roster_WorkshopDate)=$D$4))</f>
        <v>#VALUE!</v>
      </c>
      <c r="O62" s="4" t="e">
        <f>SUMPRODUCT(--(Roster_Trainer=$C$62),--(Roster_WorkshopType=$D$5),--(MONTH(Roster_WorkshopDate)=12),--(YEAR(Roster_WorkshopDate)=$D$4))</f>
        <v>#VALUE!</v>
      </c>
      <c r="P62" s="45" t="e">
        <f>SUM(Table414[[#This Row],[Jan]:[Dec]])</f>
        <v>#VALUE!</v>
      </c>
    </row>
    <row r="63" spans="3:16" hidden="1">
      <c r="C63" s="25">
        <f>DataSheet!B23</f>
        <v>0</v>
      </c>
      <c r="D63" s="4" t="e">
        <f>SUMPRODUCT(--(Roster_Trainer=$C$63),--(Roster_WorkshopType=$D$5),--(MONTH(Roster_WorkshopDate)=1),--(YEAR(Roster_WorkshopDate)=$D$4))</f>
        <v>#VALUE!</v>
      </c>
      <c r="E63" s="4" t="e">
        <f>SUMPRODUCT(--(Roster_Trainer=$C$63),--(Roster_WorkshopType=$D$5),--(MONTH(Roster_WorkshopDate)=2),--(YEAR(Roster_WorkshopDate)=$D$4))</f>
        <v>#VALUE!</v>
      </c>
      <c r="F63" s="4" t="e">
        <f>SUMPRODUCT(--(Roster_Trainer=$C$63),--(Roster_WorkshopType=$D$5),--(MONTH(Roster_WorkshopDate)=3),--(YEAR(Roster_WorkshopDate)=$D$4))</f>
        <v>#VALUE!</v>
      </c>
      <c r="G63" s="4" t="e">
        <f>SUMPRODUCT(--(Roster_Trainer=$C$63),--(Roster_WorkshopType=$D$5),--(MONTH(Roster_WorkshopDate)=4),--(YEAR(Roster_WorkshopDate)=$D$4))</f>
        <v>#VALUE!</v>
      </c>
      <c r="H63" s="4" t="e">
        <f>SUMPRODUCT(--(Roster_Trainer=$C$63),--(Roster_WorkshopType=$D$5),--(MONTH(Roster_WorkshopDate)=5),--(YEAR(Roster_WorkshopDate)=$D$4))</f>
        <v>#VALUE!</v>
      </c>
      <c r="I63" s="4" t="e">
        <f>SUMPRODUCT(--(Roster_Trainer=$C$63),--(Roster_WorkshopType=$D$5),--(MONTH(Roster_WorkshopDate)=6),--(YEAR(Roster_WorkshopDate)=$D$4))</f>
        <v>#VALUE!</v>
      </c>
      <c r="J63" s="4" t="e">
        <f>SUMPRODUCT(--(Roster_Trainer=$C$63),--(Roster_WorkshopType=$D$5),--(MONTH(Roster_WorkshopDate)=7),--(YEAR(Roster_WorkshopDate)=$D$4))</f>
        <v>#VALUE!</v>
      </c>
      <c r="K63" s="4" t="e">
        <f>SUMPRODUCT(--(Roster_Trainer=$C$63),--(Roster_WorkshopType=$D$5),--(MONTH(Roster_WorkshopDate)=8),--(YEAR(Roster_WorkshopDate)=$D$4))</f>
        <v>#VALUE!</v>
      </c>
      <c r="L63" s="4" t="e">
        <f>SUMPRODUCT(--(Roster_Trainer=$C$63),--(Roster_WorkshopType=$D$5),--(MONTH(Roster_WorkshopDate)=9),--(YEAR(Roster_WorkshopDate)=$D$4))</f>
        <v>#VALUE!</v>
      </c>
      <c r="M63" s="4" t="e">
        <f>SUMPRODUCT(--(Roster_Trainer=$C$63),--(Roster_WorkshopType=$D$5),--(MONTH(Roster_WorkshopDate)=10),--(YEAR(Roster_WorkshopDate)=$D$4))</f>
        <v>#VALUE!</v>
      </c>
      <c r="N63" s="4" t="e">
        <f>SUMPRODUCT(--(Roster_Trainer=$C$63),--(Roster_WorkshopType=$D$5),--(MONTH(Roster_WorkshopDate)=11),--(YEAR(Roster_WorkshopDate)=$D$4))</f>
        <v>#VALUE!</v>
      </c>
      <c r="O63" s="4" t="e">
        <f>SUMPRODUCT(--(Roster_Trainer=$C$63),--(Roster_WorkshopType=$D$5),--(MONTH(Roster_WorkshopDate)=12),--(YEAR(Roster_WorkshopDate)=$D$4))</f>
        <v>#VALUE!</v>
      </c>
      <c r="P63" s="46" t="e">
        <f>SUM(Table414[[#This Row],[Jan]:[Dec]])</f>
        <v>#VALUE!</v>
      </c>
    </row>
    <row r="64" spans="3:16" hidden="1">
      <c r="C64" s="25">
        <f>DataSheet!B24</f>
        <v>0</v>
      </c>
      <c r="D64" s="4" t="e">
        <f>SUMPRODUCT(--(Roster_Trainer=$C$64),--(Roster_WorkshopType=$D$5),--(MONTH(Roster_WorkshopDate)=1),--(YEAR(Roster_WorkshopDate)=$D$4))</f>
        <v>#VALUE!</v>
      </c>
      <c r="E64" s="4" t="e">
        <f>SUMPRODUCT(--(Roster_Trainer=$C$64),--(Roster_WorkshopType=$D$5),--(MONTH(Roster_WorkshopDate)=2),--(YEAR(Roster_WorkshopDate)=$D$4))</f>
        <v>#VALUE!</v>
      </c>
      <c r="F64" s="4" t="e">
        <f>SUMPRODUCT(--(Roster_Trainer=$C$64),--(Roster_WorkshopType=$D$5),--(MONTH(Roster_WorkshopDate)=3),--(YEAR(Roster_WorkshopDate)=$D$4))</f>
        <v>#VALUE!</v>
      </c>
      <c r="G64" s="4" t="e">
        <f>SUMPRODUCT(--(Roster_Trainer=$C$64),--(Roster_WorkshopType=$D$5),--(MONTH(Roster_WorkshopDate)=4),--(YEAR(Roster_WorkshopDate)=$D$4))</f>
        <v>#VALUE!</v>
      </c>
      <c r="H64" s="4" t="e">
        <f>SUMPRODUCT(--(Roster_Trainer=$C$64),--(Roster_WorkshopType=$D$5),--(MONTH(Roster_WorkshopDate)=5),--(YEAR(Roster_WorkshopDate)=$D$4))</f>
        <v>#VALUE!</v>
      </c>
      <c r="I64" s="4" t="e">
        <f>SUMPRODUCT(--(Roster_Trainer=$C$64),--(Roster_WorkshopType=$D$5),--(MONTH(Roster_WorkshopDate)=6),--(YEAR(Roster_WorkshopDate)=$D$4))</f>
        <v>#VALUE!</v>
      </c>
      <c r="J64" s="4" t="e">
        <f>SUMPRODUCT(--(Roster_Trainer=$C$64),--(Roster_WorkshopType=$D$5),--(MONTH(Roster_WorkshopDate)=7),--(YEAR(Roster_WorkshopDate)=$D$4))</f>
        <v>#VALUE!</v>
      </c>
      <c r="K64" s="4" t="e">
        <f>SUMPRODUCT(--(Roster_Trainer=$C$64),--(Roster_WorkshopType=$D$5),--(MONTH(Roster_WorkshopDate)=8),--(YEAR(Roster_WorkshopDate)=$D$4))</f>
        <v>#VALUE!</v>
      </c>
      <c r="L64" s="4" t="e">
        <f>SUMPRODUCT(--(Roster_Trainer=$C$64),--(Roster_WorkshopType=$D$5),--(MONTH(Roster_WorkshopDate)=9),--(YEAR(Roster_WorkshopDate)=$D$4))</f>
        <v>#VALUE!</v>
      </c>
      <c r="M64" s="4" t="e">
        <f>SUMPRODUCT(--(Roster_Trainer=$C$64),--(Roster_WorkshopType=$D$5),--(MONTH(Roster_WorkshopDate)=10),--(YEAR(Roster_WorkshopDate)=$D$4))</f>
        <v>#VALUE!</v>
      </c>
      <c r="N64" s="4" t="e">
        <f>SUMPRODUCT(--(Roster_Trainer=$C$64),--(Roster_WorkshopType=$D$5),--(MONTH(Roster_WorkshopDate)=11),--(YEAR(Roster_WorkshopDate)=$D$4))</f>
        <v>#VALUE!</v>
      </c>
      <c r="O64" s="4" t="e">
        <f>SUMPRODUCT(--(Roster_Trainer=$C$64),--(Roster_WorkshopType=$D$5),--(MONTH(Roster_WorkshopDate)=12),--(YEAR(Roster_WorkshopDate)=$D$4))</f>
        <v>#VALUE!</v>
      </c>
      <c r="P64" s="46" t="e">
        <f>SUM(Table414[[#This Row],[Jan]:[Dec]])</f>
        <v>#VALUE!</v>
      </c>
    </row>
    <row r="65" spans="3:16" hidden="1">
      <c r="C65" s="25">
        <f>DataSheet!B25</f>
        <v>0</v>
      </c>
      <c r="D65" s="4" t="e">
        <f>SUMPRODUCT(--(Roster_Trainer=$C$65),--(Roster_WorkshopType=$D$5),--(MONTH(Roster_WorkshopDate)=1),--(YEAR(Roster_WorkshopDate)=$D$4))</f>
        <v>#VALUE!</v>
      </c>
      <c r="E65" s="4" t="e">
        <f>SUMPRODUCT(--(Roster_Trainer=$C$65),--(Roster_WorkshopType=$D$5),--(MONTH(Roster_WorkshopDate)=2),--(YEAR(Roster_WorkshopDate)=$D$4))</f>
        <v>#VALUE!</v>
      </c>
      <c r="F65" s="4" t="e">
        <f>SUMPRODUCT(--(Roster_Trainer=$C$65),--(Roster_WorkshopType=$D$5),--(MONTH(Roster_WorkshopDate)=3),--(YEAR(Roster_WorkshopDate)=$D$4))</f>
        <v>#VALUE!</v>
      </c>
      <c r="G65" s="4" t="e">
        <f>SUMPRODUCT(--(Roster_Trainer=$C$65),--(Roster_WorkshopType=$D$5),--(MONTH(Roster_WorkshopDate)=4),--(YEAR(Roster_WorkshopDate)=$D$4))</f>
        <v>#VALUE!</v>
      </c>
      <c r="H65" s="4" t="e">
        <f>SUMPRODUCT(--(Roster_Trainer=$C$65),--(Roster_WorkshopType=$D$5),--(MONTH(Roster_WorkshopDate)=5),--(YEAR(Roster_WorkshopDate)=$D$4))</f>
        <v>#VALUE!</v>
      </c>
      <c r="I65" s="4" t="e">
        <f>SUMPRODUCT(--(Roster_Trainer=$C$65),--(Roster_WorkshopType=$D$5),--(MONTH(Roster_WorkshopDate)=6),--(YEAR(Roster_WorkshopDate)=$D$4))</f>
        <v>#VALUE!</v>
      </c>
      <c r="J65" s="4" t="e">
        <f>SUMPRODUCT(--(Roster_Trainer=$C$65),--(Roster_WorkshopType=$D$5),--(MONTH(Roster_WorkshopDate)=7),--(YEAR(Roster_WorkshopDate)=$D$4))</f>
        <v>#VALUE!</v>
      </c>
      <c r="K65" s="4" t="e">
        <f>SUMPRODUCT(--(Roster_Trainer=$C$65),--(Roster_WorkshopType=$D$5),--(MONTH(Roster_WorkshopDate)=8),--(YEAR(Roster_WorkshopDate)=$D$4))</f>
        <v>#VALUE!</v>
      </c>
      <c r="L65" s="4" t="e">
        <f>SUMPRODUCT(--(Roster_Trainer=$C$65),--(Roster_WorkshopType=$D$5),--(MONTH(Roster_WorkshopDate)=9),--(YEAR(Roster_WorkshopDate)=$D$4))</f>
        <v>#VALUE!</v>
      </c>
      <c r="M65" s="4" t="e">
        <f>SUMPRODUCT(--(Roster_Trainer=$C$65),--(Roster_WorkshopType=$D$5),--(MONTH(Roster_WorkshopDate)=10),--(YEAR(Roster_WorkshopDate)=$D$4))</f>
        <v>#VALUE!</v>
      </c>
      <c r="N65" s="4" t="e">
        <f>SUMPRODUCT(--(Roster_Trainer=$C$65),--(Roster_WorkshopType=$D$5),--(MONTH(Roster_WorkshopDate)=11),--(YEAR(Roster_WorkshopDate)=$D$4))</f>
        <v>#VALUE!</v>
      </c>
      <c r="O65" s="4" t="e">
        <f>SUMPRODUCT(--(Roster_Trainer=$C$65),--(Roster_WorkshopType=$D$5),--(MONTH(Roster_WorkshopDate)=12),--(YEAR(Roster_WorkshopDate)=$D$4))</f>
        <v>#VALUE!</v>
      </c>
      <c r="P65" s="46" t="e">
        <f>SUM(Table414[[#This Row],[Jan]:[Dec]])</f>
        <v>#VALUE!</v>
      </c>
    </row>
    <row r="66" spans="3:16" hidden="1">
      <c r="C66" s="25">
        <f>DataSheet!B26</f>
        <v>0</v>
      </c>
      <c r="D66" s="4" t="e">
        <f>SUMPRODUCT(--(Roster_Trainer=$C$66),--(Roster_WorkshopType=$D$5),--(MONTH(Roster_WorkshopDate)=1),--(YEAR(Roster_WorkshopDate)=$D$4))</f>
        <v>#VALUE!</v>
      </c>
      <c r="E66" s="4" t="e">
        <f>SUMPRODUCT(--(Roster_Trainer=$C$66),--(Roster_WorkshopType=$D$5),--(MONTH(Roster_WorkshopDate)=2),--(YEAR(Roster_WorkshopDate)=$D$4))</f>
        <v>#VALUE!</v>
      </c>
      <c r="F66" s="4" t="e">
        <f>SUMPRODUCT(--(Roster_Trainer=$C$66),--(Roster_WorkshopType=$D$5),--(MONTH(Roster_WorkshopDate)=3),--(YEAR(Roster_WorkshopDate)=$D$4))</f>
        <v>#VALUE!</v>
      </c>
      <c r="G66" s="4" t="e">
        <f>SUMPRODUCT(--(Roster_Trainer=$C$66),--(Roster_WorkshopType=$D$5),--(MONTH(Roster_WorkshopDate)=4),--(YEAR(Roster_WorkshopDate)=$D$4))</f>
        <v>#VALUE!</v>
      </c>
      <c r="H66" s="4" t="e">
        <f>SUMPRODUCT(--(Roster_Trainer=$C$66),--(Roster_WorkshopType=$D$5),--(MONTH(Roster_WorkshopDate)=5),--(YEAR(Roster_WorkshopDate)=$D$4))</f>
        <v>#VALUE!</v>
      </c>
      <c r="I66" s="4" t="e">
        <f>SUMPRODUCT(--(Roster_Trainer=$C$66),--(Roster_WorkshopType=$D$5),--(MONTH(Roster_WorkshopDate)=6),--(YEAR(Roster_WorkshopDate)=$D$4))</f>
        <v>#VALUE!</v>
      </c>
      <c r="J66" s="4" t="e">
        <f>SUMPRODUCT(--(Roster_Trainer=$C$66),--(Roster_WorkshopType=$D$5),--(MONTH(Roster_WorkshopDate)=7),--(YEAR(Roster_WorkshopDate)=$D$4))</f>
        <v>#VALUE!</v>
      </c>
      <c r="K66" s="4" t="e">
        <f>SUMPRODUCT(--(Roster_Trainer=$C$66),--(Roster_WorkshopType=$D$5),--(MONTH(Roster_WorkshopDate)=8),--(YEAR(Roster_WorkshopDate)=$D$4))</f>
        <v>#VALUE!</v>
      </c>
      <c r="L66" s="4" t="e">
        <f>SUMPRODUCT(--(Roster_Trainer=$C$66),--(Roster_WorkshopType=$D$5),--(MONTH(Roster_WorkshopDate)=9),--(YEAR(Roster_WorkshopDate)=$D$4))</f>
        <v>#VALUE!</v>
      </c>
      <c r="M66" s="4" t="e">
        <f>SUMPRODUCT(--(Roster_Trainer=$C$66),--(Roster_WorkshopType=$D$5),--(MONTH(Roster_WorkshopDate)=10),--(YEAR(Roster_WorkshopDate)=$D$4))</f>
        <v>#VALUE!</v>
      </c>
      <c r="N66" s="4" t="e">
        <f>SUMPRODUCT(--(Roster_Trainer=$C$66),--(Roster_WorkshopType=$D$5),--(MONTH(Roster_WorkshopDate)=11),--(YEAR(Roster_WorkshopDate)=$D$4))</f>
        <v>#VALUE!</v>
      </c>
      <c r="O66" s="4" t="e">
        <f>SUMPRODUCT(--(Roster_Trainer=$C$66),--(Roster_WorkshopType=$D$5),--(MONTH(Roster_WorkshopDate)=12),--(YEAR(Roster_WorkshopDate)=$D$4))</f>
        <v>#VALUE!</v>
      </c>
      <c r="P66" s="46" t="e">
        <f>SUM(Table414[[#This Row],[Jan]:[Dec]])</f>
        <v>#VALUE!</v>
      </c>
    </row>
    <row r="67" spans="3:16" hidden="1">
      <c r="C67" s="25">
        <f>DataSheet!B27</f>
        <v>0</v>
      </c>
      <c r="D67" s="4" t="e">
        <f>SUMPRODUCT(--(Roster_Trainer=$C$67),--(Roster_WorkshopType=$D$5),--(MONTH(Roster_WorkshopDate)=1),--(YEAR(Roster_WorkshopDate)=$D$4))</f>
        <v>#VALUE!</v>
      </c>
      <c r="E67" s="4" t="e">
        <f>SUMPRODUCT(--(Roster_Trainer=$C$67),--(Roster_WorkshopType=$D$5),--(MONTH(Roster_WorkshopDate)=2),--(YEAR(Roster_WorkshopDate)=$D$4))</f>
        <v>#VALUE!</v>
      </c>
      <c r="F67" s="4" t="e">
        <f>SUMPRODUCT(--(Roster_Trainer=$C$67),--(Roster_WorkshopType=$D$5),--(MONTH(Roster_WorkshopDate)=3),--(YEAR(Roster_WorkshopDate)=$D$4))</f>
        <v>#VALUE!</v>
      </c>
      <c r="G67" s="4" t="e">
        <f>SUMPRODUCT(--(Roster_Trainer=$C$67),--(Roster_WorkshopType=$D$5),--(MONTH(Roster_WorkshopDate)=4),--(YEAR(Roster_WorkshopDate)=$D$4))</f>
        <v>#VALUE!</v>
      </c>
      <c r="H67" s="4" t="e">
        <f>SUMPRODUCT(--(Roster_Trainer=$C$67),--(Roster_WorkshopType=$D$5),--(MONTH(Roster_WorkshopDate)=5),--(YEAR(Roster_WorkshopDate)=$D$4))</f>
        <v>#VALUE!</v>
      </c>
      <c r="I67" s="4" t="e">
        <f>SUMPRODUCT(--(Roster_Trainer=$C$67),--(Roster_WorkshopType=$D$5),--(MONTH(Roster_WorkshopDate)=6),--(YEAR(Roster_WorkshopDate)=$D$4))</f>
        <v>#VALUE!</v>
      </c>
      <c r="J67" s="4" t="e">
        <f>SUMPRODUCT(--(Roster_Trainer=$C$67),--(Roster_WorkshopType=$D$5),--(MONTH(Roster_WorkshopDate)=7),--(YEAR(Roster_WorkshopDate)=$D$4))</f>
        <v>#VALUE!</v>
      </c>
      <c r="K67" s="4" t="e">
        <f>SUMPRODUCT(--(Roster_Trainer=$C$67),--(Roster_WorkshopType=$D$5),--(MONTH(Roster_WorkshopDate)=8),--(YEAR(Roster_WorkshopDate)=$D$4))</f>
        <v>#VALUE!</v>
      </c>
      <c r="L67" s="4" t="e">
        <f>SUMPRODUCT(--(Roster_Trainer=$C$67),--(Roster_WorkshopType=$D$5),--(MONTH(Roster_WorkshopDate)=9),--(YEAR(Roster_WorkshopDate)=$D$4))</f>
        <v>#VALUE!</v>
      </c>
      <c r="M67" s="4" t="e">
        <f>SUMPRODUCT(--(Roster_Trainer=$C$67),--(Roster_WorkshopType=$D$5),--(MONTH(Roster_WorkshopDate)=10),--(YEAR(Roster_WorkshopDate)=$D$4))</f>
        <v>#VALUE!</v>
      </c>
      <c r="N67" s="4" t="e">
        <f>SUMPRODUCT(--(Roster_Trainer=$C$67),--(Roster_WorkshopType=$D$5),--(MONTH(Roster_WorkshopDate)=11),--(YEAR(Roster_WorkshopDate)=$D$4))</f>
        <v>#VALUE!</v>
      </c>
      <c r="O67" s="4" t="e">
        <f>SUMPRODUCT(--(Roster_Trainer=$C$67),--(Roster_WorkshopType=$D$5),--(MONTH(Roster_WorkshopDate)=12),--(YEAR(Roster_WorkshopDate)=$D$4))</f>
        <v>#VALUE!</v>
      </c>
      <c r="P67" s="46" t="e">
        <f>SUM(Table414[[#This Row],[Jan]:[Dec]])</f>
        <v>#VALUE!</v>
      </c>
    </row>
    <row r="68" spans="3:16" hidden="1">
      <c r="C68" s="25">
        <f>DataSheet!B28</f>
        <v>0</v>
      </c>
      <c r="D68" s="4" t="e">
        <f>SUMPRODUCT(--(Roster_Trainer=$C$68),--(Roster_WorkshopType=$D$5),--(MONTH(Roster_WorkshopDate)=1),--(YEAR(Roster_WorkshopDate)=$D$4))</f>
        <v>#VALUE!</v>
      </c>
      <c r="E68" s="4" t="e">
        <f>SUMPRODUCT(--(Roster_Trainer=$C$68),--(Roster_WorkshopType=$D$5),--(MONTH(Roster_WorkshopDate)=2),--(YEAR(Roster_WorkshopDate)=$D$4))</f>
        <v>#VALUE!</v>
      </c>
      <c r="F68" s="4" t="e">
        <f>SUMPRODUCT(--(Roster_Trainer=$C$68),--(Roster_WorkshopType=$D$5),--(MONTH(Roster_WorkshopDate)=3),--(YEAR(Roster_WorkshopDate)=$D$4))</f>
        <v>#VALUE!</v>
      </c>
      <c r="G68" s="4" t="e">
        <f>SUMPRODUCT(--(Roster_Trainer=$C$68),--(Roster_WorkshopType=$D$5),--(MONTH(Roster_WorkshopDate)=4),--(YEAR(Roster_WorkshopDate)=$D$4))</f>
        <v>#VALUE!</v>
      </c>
      <c r="H68" s="4" t="e">
        <f>SUMPRODUCT(--(Roster_Trainer=$C$68),--(Roster_WorkshopType=$D$5),--(MONTH(Roster_WorkshopDate)=5),--(YEAR(Roster_WorkshopDate)=$D$4))</f>
        <v>#VALUE!</v>
      </c>
      <c r="I68" s="4" t="e">
        <f>SUMPRODUCT(--(Roster_Trainer=$C$68),--(Roster_WorkshopType=$D$5),--(MONTH(Roster_WorkshopDate)=6),--(YEAR(Roster_WorkshopDate)=$D$4))</f>
        <v>#VALUE!</v>
      </c>
      <c r="J68" s="4" t="e">
        <f>SUMPRODUCT(--(Roster_Trainer=$C$68),--(Roster_WorkshopType=$D$5),--(MONTH(Roster_WorkshopDate)=7),--(YEAR(Roster_WorkshopDate)=$D$4))</f>
        <v>#VALUE!</v>
      </c>
      <c r="K68" s="4" t="e">
        <f>SUMPRODUCT(--(Roster_Trainer=$C$68),--(Roster_WorkshopType=$D$5),--(MONTH(Roster_WorkshopDate)=8),--(YEAR(Roster_WorkshopDate)=$D$4))</f>
        <v>#VALUE!</v>
      </c>
      <c r="L68" s="4" t="e">
        <f>SUMPRODUCT(--(Roster_Trainer=$C$68),--(Roster_WorkshopType=$D$5),--(MONTH(Roster_WorkshopDate)=9),--(YEAR(Roster_WorkshopDate)=$D$4))</f>
        <v>#VALUE!</v>
      </c>
      <c r="M68" s="4" t="e">
        <f>SUMPRODUCT(--(Roster_Trainer=$C$68),--(Roster_WorkshopType=$D$5),--(MONTH(Roster_WorkshopDate)=10),--(YEAR(Roster_WorkshopDate)=$D$4))</f>
        <v>#VALUE!</v>
      </c>
      <c r="N68" s="4" t="e">
        <f>SUMPRODUCT(--(Roster_Trainer=$C$68),--(Roster_WorkshopType=$D$5),--(MONTH(Roster_WorkshopDate)=11),--(YEAR(Roster_WorkshopDate)=$D$4))</f>
        <v>#VALUE!</v>
      </c>
      <c r="O68" s="4" t="e">
        <f>SUMPRODUCT(--(Roster_Trainer=$C$68),--(Roster_WorkshopType=$D$5),--(MONTH(Roster_WorkshopDate)=12),--(YEAR(Roster_WorkshopDate)=$D$4))</f>
        <v>#VALUE!</v>
      </c>
      <c r="P68" s="46" t="e">
        <f>SUM(Table414[[#This Row],[Jan]:[Dec]])</f>
        <v>#VALUE!</v>
      </c>
    </row>
    <row r="69" spans="3:16" hidden="1">
      <c r="C69" s="25">
        <f>DataSheet!B29</f>
        <v>0</v>
      </c>
      <c r="D69" s="4" t="e">
        <f>SUMPRODUCT(--(Roster_Trainer=$C$69),--(Roster_WorkshopType=$D$5),--(MONTH(Roster_WorkshopDate)=1),--(YEAR(Roster_WorkshopDate)=$D$4))</f>
        <v>#VALUE!</v>
      </c>
      <c r="E69" s="4" t="e">
        <f>SUMPRODUCT(--(Roster_Trainer=$C$69),--(Roster_WorkshopType=$D$5),--(MONTH(Roster_WorkshopDate)=2),--(YEAR(Roster_WorkshopDate)=$D$4))</f>
        <v>#VALUE!</v>
      </c>
      <c r="F69" s="4" t="e">
        <f>SUMPRODUCT(--(Roster_Trainer=$C$69),--(Roster_WorkshopType=$D$5),--(MONTH(Roster_WorkshopDate)=3),--(YEAR(Roster_WorkshopDate)=$D$4))</f>
        <v>#VALUE!</v>
      </c>
      <c r="G69" s="4" t="e">
        <f>SUMPRODUCT(--(Roster_Trainer=$C$69),--(Roster_WorkshopType=$D$5),--(MONTH(Roster_WorkshopDate)=4),--(YEAR(Roster_WorkshopDate)=$D$4))</f>
        <v>#VALUE!</v>
      </c>
      <c r="H69" s="4" t="e">
        <f>SUMPRODUCT(--(Roster_Trainer=$C$69),--(Roster_WorkshopType=$D$5),--(MONTH(Roster_WorkshopDate)=5),--(YEAR(Roster_WorkshopDate)=$D$4))</f>
        <v>#VALUE!</v>
      </c>
      <c r="I69" s="4" t="e">
        <f>SUMPRODUCT(--(Roster_Trainer=$C$69),--(Roster_WorkshopType=$D$5),--(MONTH(Roster_WorkshopDate)=6),--(YEAR(Roster_WorkshopDate)=$D$4))</f>
        <v>#VALUE!</v>
      </c>
      <c r="J69" s="4" t="e">
        <f>SUMPRODUCT(--(Roster_Trainer=$C$69),--(Roster_WorkshopType=$D$5),--(MONTH(Roster_WorkshopDate)=7),--(YEAR(Roster_WorkshopDate)=$D$4))</f>
        <v>#VALUE!</v>
      </c>
      <c r="K69" s="4" t="e">
        <f>SUMPRODUCT(--(Roster_Trainer=$C$69),--(Roster_WorkshopType=$D$5),--(MONTH(Roster_WorkshopDate)=8),--(YEAR(Roster_WorkshopDate)=$D$4))</f>
        <v>#VALUE!</v>
      </c>
      <c r="L69" s="4" t="e">
        <f>SUMPRODUCT(--(Roster_Trainer=$C$69),--(Roster_WorkshopType=$D$5),--(MONTH(Roster_WorkshopDate)=9),--(YEAR(Roster_WorkshopDate)=$D$4))</f>
        <v>#VALUE!</v>
      </c>
      <c r="M69" s="4" t="e">
        <f>SUMPRODUCT(--(Roster_Trainer=$C$69),--(Roster_WorkshopType=$D$5),--(MONTH(Roster_WorkshopDate)=10),--(YEAR(Roster_WorkshopDate)=$D$4))</f>
        <v>#VALUE!</v>
      </c>
      <c r="N69" s="4" t="e">
        <f>SUMPRODUCT(--(Roster_Trainer=$C$69),--(Roster_WorkshopType=$D$5),--(MONTH(Roster_WorkshopDate)=11),--(YEAR(Roster_WorkshopDate)=$D$4))</f>
        <v>#VALUE!</v>
      </c>
      <c r="O69" s="4" t="e">
        <f>SUMPRODUCT(--(Roster_Trainer=$C$69),--(Roster_WorkshopType=$D$5),--(MONTH(Roster_WorkshopDate)=12),--(YEAR(Roster_WorkshopDate)=$D$4))</f>
        <v>#VALUE!</v>
      </c>
      <c r="P69" s="46" t="e">
        <f>SUM(Table414[[#This Row],[Jan]:[Dec]])</f>
        <v>#VALUE!</v>
      </c>
    </row>
    <row r="70" spans="3:16" hidden="1">
      <c r="C70" s="25">
        <f>DataSheet!B30</f>
        <v>0</v>
      </c>
      <c r="D70" s="4" t="e">
        <f>SUMPRODUCT(--(Roster_Trainer=$C$70),--(Roster_WorkshopType=$D$5),--(MONTH(Roster_WorkshopDate)=1),--(YEAR(Roster_WorkshopDate)=$D$4))</f>
        <v>#VALUE!</v>
      </c>
      <c r="E70" s="4" t="e">
        <f>SUMPRODUCT(--(Roster_Trainer=$C$70),--(Roster_WorkshopType=$D$5),--(MONTH(Roster_WorkshopDate)=2),--(YEAR(Roster_WorkshopDate)=$D$4))</f>
        <v>#VALUE!</v>
      </c>
      <c r="F70" s="4" t="e">
        <f>SUMPRODUCT(--(Roster_Trainer=$C$70),--(Roster_WorkshopType=$D$5),--(MONTH(Roster_WorkshopDate)=3),--(YEAR(Roster_WorkshopDate)=$D$4))</f>
        <v>#VALUE!</v>
      </c>
      <c r="G70" s="4" t="e">
        <f>SUMPRODUCT(--(Roster_Trainer=$C$70),--(Roster_WorkshopType=$D$5),--(MONTH(Roster_WorkshopDate)=4),--(YEAR(Roster_WorkshopDate)=$D$4))</f>
        <v>#VALUE!</v>
      </c>
      <c r="H70" s="4" t="e">
        <f>SUMPRODUCT(--(Roster_Trainer=$C$70),--(Roster_WorkshopType=$D$5),--(MONTH(Roster_WorkshopDate)=5),--(YEAR(Roster_WorkshopDate)=$D$4))</f>
        <v>#VALUE!</v>
      </c>
      <c r="I70" s="4" t="e">
        <f>SUMPRODUCT(--(Roster_Trainer=$C$70),--(Roster_WorkshopType=$D$5),--(MONTH(Roster_WorkshopDate)=6),--(YEAR(Roster_WorkshopDate)=$D$4))</f>
        <v>#VALUE!</v>
      </c>
      <c r="J70" s="4" t="e">
        <f>SUMPRODUCT(--(Roster_Trainer=$C$70),--(Roster_WorkshopType=$D$5),--(MONTH(Roster_WorkshopDate)=7),--(YEAR(Roster_WorkshopDate)=$D$4))</f>
        <v>#VALUE!</v>
      </c>
      <c r="K70" s="4" t="e">
        <f>SUMPRODUCT(--(Roster_Trainer=$C$70),--(Roster_WorkshopType=$D$5),--(MONTH(Roster_WorkshopDate)=8),--(YEAR(Roster_WorkshopDate)=$D$4))</f>
        <v>#VALUE!</v>
      </c>
      <c r="L70" s="4" t="e">
        <f>SUMPRODUCT(--(Roster_Trainer=$C$70),--(Roster_WorkshopType=$D$5),--(MONTH(Roster_WorkshopDate)=9),--(YEAR(Roster_WorkshopDate)=$D$4))</f>
        <v>#VALUE!</v>
      </c>
      <c r="M70" s="4" t="e">
        <f>SUMPRODUCT(--(Roster_Trainer=$C$70),--(Roster_WorkshopType=$D$5),--(MONTH(Roster_WorkshopDate)=10),--(YEAR(Roster_WorkshopDate)=$D$4))</f>
        <v>#VALUE!</v>
      </c>
      <c r="N70" s="4" t="e">
        <f>SUMPRODUCT(--(Roster_Trainer=$C$70),--(Roster_WorkshopType=$D$5),--(MONTH(Roster_WorkshopDate)=11),--(YEAR(Roster_WorkshopDate)=$D$4))</f>
        <v>#VALUE!</v>
      </c>
      <c r="O70" s="4" t="e">
        <f>SUMPRODUCT(--(Roster_Trainer=$C$70),--(Roster_WorkshopType=$D$5),--(MONTH(Roster_WorkshopDate)=12),--(YEAR(Roster_WorkshopDate)=$D$4))</f>
        <v>#VALUE!</v>
      </c>
      <c r="P70" s="46" t="e">
        <f>SUM(Table414[[#This Row],[Jan]:[Dec]])</f>
        <v>#VALUE!</v>
      </c>
    </row>
    <row r="71" spans="3:16" hidden="1">
      <c r="C71" s="25">
        <f>DataSheet!B31</f>
        <v>0</v>
      </c>
      <c r="D71" s="4" t="e">
        <f>SUMPRODUCT(--(Roster_Trainer=$C$71),--(Roster_WorkshopType=$D$5),--(MONTH(Roster_WorkshopDate)=1),--(YEAR(Roster_WorkshopDate)=$D$4))</f>
        <v>#VALUE!</v>
      </c>
      <c r="E71" s="4" t="e">
        <f>SUMPRODUCT(--(Roster_Trainer=$C$71),--(Roster_WorkshopType=$D$5),--(MONTH(Roster_WorkshopDate)=2),--(YEAR(Roster_WorkshopDate)=$D$4))</f>
        <v>#VALUE!</v>
      </c>
      <c r="F71" s="4" t="e">
        <f>SUMPRODUCT(--(Roster_Trainer=$C$71),--(Roster_WorkshopType=$D$5),--(MONTH(Roster_WorkshopDate)=3),--(YEAR(Roster_WorkshopDate)=$D$4))</f>
        <v>#VALUE!</v>
      </c>
      <c r="G71" s="4" t="e">
        <f>SUMPRODUCT(--(Roster_Trainer=$C$71),--(Roster_WorkshopType=$D$5),--(MONTH(Roster_WorkshopDate)=4),--(YEAR(Roster_WorkshopDate)=$D$4))</f>
        <v>#VALUE!</v>
      </c>
      <c r="H71" s="4" t="e">
        <f>SUMPRODUCT(--(Roster_Trainer=$C$71),--(Roster_WorkshopType=$D$5),--(MONTH(Roster_WorkshopDate)=5),--(YEAR(Roster_WorkshopDate)=$D$4))</f>
        <v>#VALUE!</v>
      </c>
      <c r="I71" s="4" t="e">
        <f>SUMPRODUCT(--(Roster_Trainer=$C$71),--(Roster_WorkshopType=$D$5),--(MONTH(Roster_WorkshopDate)=6),--(YEAR(Roster_WorkshopDate)=$D$4))</f>
        <v>#VALUE!</v>
      </c>
      <c r="J71" s="4" t="e">
        <f>SUMPRODUCT(--(Roster_Trainer=$C$71),--(Roster_WorkshopType=$D$5),--(MONTH(Roster_WorkshopDate)=7),--(YEAR(Roster_WorkshopDate)=$D$4))</f>
        <v>#VALUE!</v>
      </c>
      <c r="K71" s="4" t="e">
        <f>SUMPRODUCT(--(Roster_Trainer=$C$71),--(Roster_WorkshopType=$D$5),--(MONTH(Roster_WorkshopDate)=8),--(YEAR(Roster_WorkshopDate)=$D$4))</f>
        <v>#VALUE!</v>
      </c>
      <c r="L71" s="4" t="e">
        <f>SUMPRODUCT(--(Roster_Trainer=$C$71),--(Roster_WorkshopType=$D$5),--(MONTH(Roster_WorkshopDate)=9),--(YEAR(Roster_WorkshopDate)=$D$4))</f>
        <v>#VALUE!</v>
      </c>
      <c r="M71" s="4" t="e">
        <f>SUMPRODUCT(--(Roster_Trainer=$C$71),--(Roster_WorkshopType=$D$5),--(MONTH(Roster_WorkshopDate)=10),--(YEAR(Roster_WorkshopDate)=$D$4))</f>
        <v>#VALUE!</v>
      </c>
      <c r="N71" s="4" t="e">
        <f>SUMPRODUCT(--(Roster_Trainer=$C$71),--(Roster_WorkshopType=$D$5),--(MONTH(Roster_WorkshopDate)=11),--(YEAR(Roster_WorkshopDate)=$D$4))</f>
        <v>#VALUE!</v>
      </c>
      <c r="O71" s="4" t="e">
        <f>SUMPRODUCT(--(Roster_Trainer=$C$71),--(Roster_WorkshopType=$D$5),--(MONTH(Roster_WorkshopDate)=12),--(YEAR(Roster_WorkshopDate)=$D$4))</f>
        <v>#VALUE!</v>
      </c>
      <c r="P71" s="46" t="e">
        <f>SUM(Table414[[#This Row],[Jan]:[Dec]])</f>
        <v>#VALUE!</v>
      </c>
    </row>
    <row r="72" spans="3:16" hidden="1">
      <c r="C72" s="25">
        <f>DataSheet!B32</f>
        <v>0</v>
      </c>
      <c r="D72" s="4" t="e">
        <f>SUMPRODUCT(--(Roster_Trainer=$C$72),--(Roster_WorkshopType=$D$5),--(MONTH(Roster_WorkshopDate)=1),--(YEAR(Roster_WorkshopDate)=$D$4))</f>
        <v>#VALUE!</v>
      </c>
      <c r="E72" s="4" t="e">
        <f>SUMPRODUCT(--(Roster_Trainer=$C$72),--(Roster_WorkshopType=$D$5),--(MONTH(Roster_WorkshopDate)=2),--(YEAR(Roster_WorkshopDate)=$D$4))</f>
        <v>#VALUE!</v>
      </c>
      <c r="F72" s="4" t="e">
        <f>SUMPRODUCT(--(Roster_Trainer=$C$72),--(Roster_WorkshopType=$D$5),--(MONTH(Roster_WorkshopDate)=3),--(YEAR(Roster_WorkshopDate)=$D$4))</f>
        <v>#VALUE!</v>
      </c>
      <c r="G72" s="4" t="e">
        <f>SUMPRODUCT(--(Roster_Trainer=$C$72),--(Roster_WorkshopType=$D$5),--(MONTH(Roster_WorkshopDate)=4),--(YEAR(Roster_WorkshopDate)=$D$4))</f>
        <v>#VALUE!</v>
      </c>
      <c r="H72" s="4" t="e">
        <f>SUMPRODUCT(--(Roster_Trainer=$C$72),--(Roster_WorkshopType=$D$5),--(MONTH(Roster_WorkshopDate)=5),--(YEAR(Roster_WorkshopDate)=$D$4))</f>
        <v>#VALUE!</v>
      </c>
      <c r="I72" s="4" t="e">
        <f>SUMPRODUCT(--(Roster_Trainer=$C$72),--(Roster_WorkshopType=$D$5),--(MONTH(Roster_WorkshopDate)=6),--(YEAR(Roster_WorkshopDate)=$D$4))</f>
        <v>#VALUE!</v>
      </c>
      <c r="J72" s="4" t="e">
        <f>SUMPRODUCT(--(Roster_Trainer=$C$72),--(Roster_WorkshopType=$D$5),--(MONTH(Roster_WorkshopDate)=7),--(YEAR(Roster_WorkshopDate)=$D$4))</f>
        <v>#VALUE!</v>
      </c>
      <c r="K72" s="4" t="e">
        <f>SUMPRODUCT(--(Roster_Trainer=$C$72),--(Roster_WorkshopType=$D$5),--(MONTH(Roster_WorkshopDate)=8),--(YEAR(Roster_WorkshopDate)=$D$4))</f>
        <v>#VALUE!</v>
      </c>
      <c r="L72" s="4" t="e">
        <f>SUMPRODUCT(--(Roster_Trainer=$C$72),--(Roster_WorkshopType=$D$5),--(MONTH(Roster_WorkshopDate)=9),--(YEAR(Roster_WorkshopDate)=$D$4))</f>
        <v>#VALUE!</v>
      </c>
      <c r="M72" s="4" t="e">
        <f>SUMPRODUCT(--(Roster_Trainer=$C$72),--(Roster_WorkshopType=$D$5),--(MONTH(Roster_WorkshopDate)=10),--(YEAR(Roster_WorkshopDate)=$D$4))</f>
        <v>#VALUE!</v>
      </c>
      <c r="N72" s="4" t="e">
        <f>SUMPRODUCT(--(Roster_Trainer=$C$72),--(Roster_WorkshopType=$D$5),--(MONTH(Roster_WorkshopDate)=11),--(YEAR(Roster_WorkshopDate)=$D$4))</f>
        <v>#VALUE!</v>
      </c>
      <c r="O72" s="4" t="e">
        <f>SUMPRODUCT(--(Roster_Trainer=$C$72),--(Roster_WorkshopType=$D$5),--(MONTH(Roster_WorkshopDate)=12),--(YEAR(Roster_WorkshopDate)=$D$4))</f>
        <v>#VALUE!</v>
      </c>
      <c r="P72" s="46" t="e">
        <f>SUM(Table414[[#This Row],[Jan]:[Dec]])</f>
        <v>#VALUE!</v>
      </c>
    </row>
    <row r="73" spans="3:16" hidden="1">
      <c r="C73" s="25">
        <f>DataSheet!B33</f>
        <v>0</v>
      </c>
      <c r="D73" s="4" t="e">
        <f>SUMPRODUCT(--(Roster_Trainer=$C$73),--(Roster_WorkshopType=$D$5),--(MONTH(Roster_WorkshopDate)=1),--(YEAR(Roster_WorkshopDate)=$D$4))</f>
        <v>#VALUE!</v>
      </c>
      <c r="E73" s="4" t="e">
        <f>SUMPRODUCT(--(Roster_Trainer=$C$73),--(Roster_WorkshopType=$D$5),--(MONTH(Roster_WorkshopDate)=2),--(YEAR(Roster_WorkshopDate)=$D$4))</f>
        <v>#VALUE!</v>
      </c>
      <c r="F73" s="4" t="e">
        <f>SUMPRODUCT(--(Roster_Trainer=$C$73),--(Roster_WorkshopType=$D$5),--(MONTH(Roster_WorkshopDate)=3),--(YEAR(Roster_WorkshopDate)=$D$4))</f>
        <v>#VALUE!</v>
      </c>
      <c r="G73" s="4" t="e">
        <f>SUMPRODUCT(--(Roster_Trainer=$C$73),--(Roster_WorkshopType=$D$5),--(MONTH(Roster_WorkshopDate)=4),--(YEAR(Roster_WorkshopDate)=$D$4))</f>
        <v>#VALUE!</v>
      </c>
      <c r="H73" s="4" t="e">
        <f>SUMPRODUCT(--(Roster_Trainer=$C$73),--(Roster_WorkshopType=$D$5),--(MONTH(Roster_WorkshopDate)=5),--(YEAR(Roster_WorkshopDate)=$D$4))</f>
        <v>#VALUE!</v>
      </c>
      <c r="I73" s="4" t="e">
        <f>SUMPRODUCT(--(Roster_Trainer=$C$73),--(Roster_WorkshopType=$D$5),--(MONTH(Roster_WorkshopDate)=6),--(YEAR(Roster_WorkshopDate)=$D$4))</f>
        <v>#VALUE!</v>
      </c>
      <c r="J73" s="4" t="e">
        <f>SUMPRODUCT(--(Roster_Trainer=$C$73),--(Roster_WorkshopType=$D$5),--(MONTH(Roster_WorkshopDate)=7),--(YEAR(Roster_WorkshopDate)=$D$4))</f>
        <v>#VALUE!</v>
      </c>
      <c r="K73" s="4" t="e">
        <f>SUMPRODUCT(--(Roster_Trainer=$C$73),--(Roster_WorkshopType=$D$5),--(MONTH(Roster_WorkshopDate)=8),--(YEAR(Roster_WorkshopDate)=$D$4))</f>
        <v>#VALUE!</v>
      </c>
      <c r="L73" s="4" t="e">
        <f>SUMPRODUCT(--(Roster_Trainer=$C$73),--(Roster_WorkshopType=$D$5),--(MONTH(Roster_WorkshopDate)=9),--(YEAR(Roster_WorkshopDate)=$D$4))</f>
        <v>#VALUE!</v>
      </c>
      <c r="M73" s="4" t="e">
        <f>SUMPRODUCT(--(Roster_Trainer=$C$73),--(Roster_WorkshopType=$D$5),--(MONTH(Roster_WorkshopDate)=10),--(YEAR(Roster_WorkshopDate)=$D$4))</f>
        <v>#VALUE!</v>
      </c>
      <c r="N73" s="4" t="e">
        <f>SUMPRODUCT(--(Roster_Trainer=$C$73),--(Roster_WorkshopType=$D$5),--(MONTH(Roster_WorkshopDate)=11),--(YEAR(Roster_WorkshopDate)=$D$4))</f>
        <v>#VALUE!</v>
      </c>
      <c r="O73" s="4" t="e">
        <f>SUMPRODUCT(--(Roster_Trainer=$C$73),--(Roster_WorkshopType=$D$5),--(MONTH(Roster_WorkshopDate)=12),--(YEAR(Roster_WorkshopDate)=$D$4))</f>
        <v>#VALUE!</v>
      </c>
      <c r="P73" s="46" t="e">
        <f>SUM(Table414[[#This Row],[Jan]:[Dec]])</f>
        <v>#VALUE!</v>
      </c>
    </row>
    <row r="74" spans="3:16" hidden="1">
      <c r="C74" s="25">
        <f>DataSheet!B34</f>
        <v>0</v>
      </c>
      <c r="D74" s="4" t="e">
        <f>SUMPRODUCT(--(Roster_Trainer=$C$74),--(Roster_WorkshopType=$D$5),--(MONTH(Roster_WorkshopDate)=1),--(YEAR(Roster_WorkshopDate)=$D$4))</f>
        <v>#VALUE!</v>
      </c>
      <c r="E74" s="4" t="e">
        <f>SUMPRODUCT(--(Roster_Trainer=$C$74),--(Roster_WorkshopType=$D$5),--(MONTH(Roster_WorkshopDate)=2),--(YEAR(Roster_WorkshopDate)=$D$4))</f>
        <v>#VALUE!</v>
      </c>
      <c r="F74" s="4" t="e">
        <f>SUMPRODUCT(--(Roster_Trainer=$C$74),--(Roster_WorkshopType=$D$5),--(MONTH(Roster_WorkshopDate)=3),--(YEAR(Roster_WorkshopDate)=$D$4))</f>
        <v>#VALUE!</v>
      </c>
      <c r="G74" s="4" t="e">
        <f>SUMPRODUCT(--(Roster_Trainer=$C$74),--(Roster_WorkshopType=$D$5),--(MONTH(Roster_WorkshopDate)=4),--(YEAR(Roster_WorkshopDate)=$D$4))</f>
        <v>#VALUE!</v>
      </c>
      <c r="H74" s="4" t="e">
        <f>SUMPRODUCT(--(Roster_Trainer=$C$74),--(Roster_WorkshopType=$D$5),--(MONTH(Roster_WorkshopDate)=5),--(YEAR(Roster_WorkshopDate)=$D$4))</f>
        <v>#VALUE!</v>
      </c>
      <c r="I74" s="4" t="e">
        <f>SUMPRODUCT(--(Roster_Trainer=$C$74),--(Roster_WorkshopType=$D$5),--(MONTH(Roster_WorkshopDate)=6),--(YEAR(Roster_WorkshopDate)=$D$4))</f>
        <v>#VALUE!</v>
      </c>
      <c r="J74" s="4" t="e">
        <f>SUMPRODUCT(--(Roster_Trainer=$C$74),--(Roster_WorkshopType=$D$5),--(MONTH(Roster_WorkshopDate)=7),--(YEAR(Roster_WorkshopDate)=$D$4))</f>
        <v>#VALUE!</v>
      </c>
      <c r="K74" s="4" t="e">
        <f>SUMPRODUCT(--(Roster_Trainer=$C$74),--(Roster_WorkshopType=$D$5),--(MONTH(Roster_WorkshopDate)=8),--(YEAR(Roster_WorkshopDate)=$D$4))</f>
        <v>#VALUE!</v>
      </c>
      <c r="L74" s="4" t="e">
        <f>SUMPRODUCT(--(Roster_Trainer=$C$74),--(Roster_WorkshopType=$D$5),--(MONTH(Roster_WorkshopDate)=9),--(YEAR(Roster_WorkshopDate)=$D$4))</f>
        <v>#VALUE!</v>
      </c>
      <c r="M74" s="4" t="e">
        <f>SUMPRODUCT(--(Roster_Trainer=$C$74),--(Roster_WorkshopType=$D$5),--(MONTH(Roster_WorkshopDate)=10),--(YEAR(Roster_WorkshopDate)=$D$4))</f>
        <v>#VALUE!</v>
      </c>
      <c r="N74" s="4" t="e">
        <f>SUMPRODUCT(--(Roster_Trainer=$C$74),--(Roster_WorkshopType=$D$5),--(MONTH(Roster_WorkshopDate)=11),--(YEAR(Roster_WorkshopDate)=$D$4))</f>
        <v>#VALUE!</v>
      </c>
      <c r="O74" s="4" t="e">
        <f>SUMPRODUCT(--(Roster_Trainer=$C$74),--(Roster_WorkshopType=$D$5),--(MONTH(Roster_WorkshopDate)=12),--(YEAR(Roster_WorkshopDate)=$D$4))</f>
        <v>#VALUE!</v>
      </c>
      <c r="P74" s="46" t="e">
        <f>SUM(Table414[[#This Row],[Jan]:[Dec]])</f>
        <v>#VALUE!</v>
      </c>
    </row>
    <row r="75" spans="3:16" hidden="1">
      <c r="C75" s="25">
        <f>DataSheet!B35</f>
        <v>0</v>
      </c>
      <c r="D75" s="4" t="e">
        <f>SUMPRODUCT(--(Roster_Trainer=$C$75),--(Roster_WorkshopType=$D$5),--(MONTH(Roster_WorkshopDate)=1),--(YEAR(Roster_WorkshopDate)=$D$4))</f>
        <v>#VALUE!</v>
      </c>
      <c r="E75" s="4" t="e">
        <f>SUMPRODUCT(--(Roster_Trainer=$C$75),--(Roster_WorkshopType=$D$5),--(MONTH(Roster_WorkshopDate)=2),--(YEAR(Roster_WorkshopDate)=$D$4))</f>
        <v>#VALUE!</v>
      </c>
      <c r="F75" s="4" t="e">
        <f>SUMPRODUCT(--(Roster_Trainer=$C$75),--(Roster_WorkshopType=$D$5),--(MONTH(Roster_WorkshopDate)=3),--(YEAR(Roster_WorkshopDate)=$D$4))</f>
        <v>#VALUE!</v>
      </c>
      <c r="G75" s="4" t="e">
        <f>SUMPRODUCT(--(Roster_Trainer=$C$75),--(Roster_WorkshopType=$D$5),--(MONTH(Roster_WorkshopDate)=4),--(YEAR(Roster_WorkshopDate)=$D$4))</f>
        <v>#VALUE!</v>
      </c>
      <c r="H75" s="4" t="e">
        <f>SUMPRODUCT(--(Roster_Trainer=$C$75),--(Roster_WorkshopType=$D$5),--(MONTH(Roster_WorkshopDate)=5),--(YEAR(Roster_WorkshopDate)=$D$4))</f>
        <v>#VALUE!</v>
      </c>
      <c r="I75" s="4" t="e">
        <f>SUMPRODUCT(--(Roster_Trainer=$C$75),--(Roster_WorkshopType=$D$5),--(MONTH(Roster_WorkshopDate)=6),--(YEAR(Roster_WorkshopDate)=$D$4))</f>
        <v>#VALUE!</v>
      </c>
      <c r="J75" s="4" t="e">
        <f>SUMPRODUCT(--(Roster_Trainer=$C$75),--(Roster_WorkshopType=$D$5),--(MONTH(Roster_WorkshopDate)=7),--(YEAR(Roster_WorkshopDate)=$D$4))</f>
        <v>#VALUE!</v>
      </c>
      <c r="K75" s="4" t="e">
        <f>SUMPRODUCT(--(Roster_Trainer=$C$75),--(Roster_WorkshopType=$D$5),--(MONTH(Roster_WorkshopDate)=8),--(YEAR(Roster_WorkshopDate)=$D$4))</f>
        <v>#VALUE!</v>
      </c>
      <c r="L75" s="4" t="e">
        <f>SUMPRODUCT(--(Roster_Trainer=$C$75),--(Roster_WorkshopType=$D$5),--(MONTH(Roster_WorkshopDate)=9),--(YEAR(Roster_WorkshopDate)=$D$4))</f>
        <v>#VALUE!</v>
      </c>
      <c r="M75" s="4" t="e">
        <f>SUMPRODUCT(--(Roster_Trainer=$C$75),--(Roster_WorkshopType=$D$5),--(MONTH(Roster_WorkshopDate)=10),--(YEAR(Roster_WorkshopDate)=$D$4))</f>
        <v>#VALUE!</v>
      </c>
      <c r="N75" s="4" t="e">
        <f>SUMPRODUCT(--(Roster_Trainer=$C$75),--(Roster_WorkshopType=$D$5),--(MONTH(Roster_WorkshopDate)=11),--(YEAR(Roster_WorkshopDate)=$D$4))</f>
        <v>#VALUE!</v>
      </c>
      <c r="O75" s="4" t="e">
        <f>SUMPRODUCT(--(Roster_Trainer=$C$75),--(Roster_WorkshopType=$D$5),--(MONTH(Roster_WorkshopDate)=12),--(YEAR(Roster_WorkshopDate)=$D$4))</f>
        <v>#VALUE!</v>
      </c>
      <c r="P75" s="46" t="e">
        <f>SUM(Table414[[#This Row],[Jan]:[Dec]])</f>
        <v>#VALUE!</v>
      </c>
    </row>
    <row r="76" spans="3:16" hidden="1">
      <c r="C76" s="25">
        <f>DataSheet!B36</f>
        <v>0</v>
      </c>
      <c r="D76" s="4" t="e">
        <f>SUMPRODUCT(--(Roster_Trainer=$C$76),--(Roster_WorkshopType=$D$5),--(MONTH(Roster_WorkshopDate)=1),--(YEAR(Roster_WorkshopDate)=$D$4))</f>
        <v>#VALUE!</v>
      </c>
      <c r="E76" s="4" t="e">
        <f>SUMPRODUCT(--(Roster_Trainer=$C$76),--(Roster_WorkshopType=$D$5),--(MONTH(Roster_WorkshopDate)=2),--(YEAR(Roster_WorkshopDate)=$D$4))</f>
        <v>#VALUE!</v>
      </c>
      <c r="F76" s="4" t="e">
        <f>SUMPRODUCT(--(Roster_Trainer=$C$76),--(Roster_WorkshopType=$D$5),--(MONTH(Roster_WorkshopDate)=3),--(YEAR(Roster_WorkshopDate)=$D$4))</f>
        <v>#VALUE!</v>
      </c>
      <c r="G76" s="4" t="e">
        <f>SUMPRODUCT(--(Roster_Trainer=$C$76),--(Roster_WorkshopType=$D$5),--(MONTH(Roster_WorkshopDate)=4),--(YEAR(Roster_WorkshopDate)=$D$4))</f>
        <v>#VALUE!</v>
      </c>
      <c r="H76" s="4" t="e">
        <f>SUMPRODUCT(--(Roster_Trainer=$C$76),--(Roster_WorkshopType=$D$5),--(MONTH(Roster_WorkshopDate)=5),--(YEAR(Roster_WorkshopDate)=$D$4))</f>
        <v>#VALUE!</v>
      </c>
      <c r="I76" s="4" t="e">
        <f>SUMPRODUCT(--(Roster_Trainer=$C$76),--(Roster_WorkshopType=$D$5),--(MONTH(Roster_WorkshopDate)=6),--(YEAR(Roster_WorkshopDate)=$D$4))</f>
        <v>#VALUE!</v>
      </c>
      <c r="J76" s="4" t="e">
        <f>SUMPRODUCT(--(Roster_Trainer=$C$76),--(Roster_WorkshopType=$D$5),--(MONTH(Roster_WorkshopDate)=7),--(YEAR(Roster_WorkshopDate)=$D$4))</f>
        <v>#VALUE!</v>
      </c>
      <c r="K76" s="4" t="e">
        <f>SUMPRODUCT(--(Roster_Trainer=$C$76),--(Roster_WorkshopType=$D$5),--(MONTH(Roster_WorkshopDate)=8),--(YEAR(Roster_WorkshopDate)=$D$4))</f>
        <v>#VALUE!</v>
      </c>
      <c r="L76" s="4" t="e">
        <f>SUMPRODUCT(--(Roster_Trainer=$C$76),--(Roster_WorkshopType=$D$5),--(MONTH(Roster_WorkshopDate)=9),--(YEAR(Roster_WorkshopDate)=$D$4))</f>
        <v>#VALUE!</v>
      </c>
      <c r="M76" s="4" t="e">
        <f>SUMPRODUCT(--(Roster_Trainer=$C$76),--(Roster_WorkshopType=$D$5),--(MONTH(Roster_WorkshopDate)=10),--(YEAR(Roster_WorkshopDate)=$D$4))</f>
        <v>#VALUE!</v>
      </c>
      <c r="N76" s="4" t="e">
        <f>SUMPRODUCT(--(Roster_Trainer=$C$76),--(Roster_WorkshopType=$D$5),--(MONTH(Roster_WorkshopDate)=11),--(YEAR(Roster_WorkshopDate)=$D$4))</f>
        <v>#VALUE!</v>
      </c>
      <c r="O76" s="4" t="e">
        <f>SUMPRODUCT(--(Roster_Trainer=$C$76),--(Roster_WorkshopType=$D$5),--(MONTH(Roster_WorkshopDate)=12),--(YEAR(Roster_WorkshopDate)=$D$4))</f>
        <v>#VALUE!</v>
      </c>
      <c r="P76" s="46" t="e">
        <f>SUM(Table414[[#This Row],[Jan]:[Dec]])</f>
        <v>#VALUE!</v>
      </c>
    </row>
    <row r="77" spans="3:16">
      <c r="C77" s="25">
        <f>DataSheet!B37</f>
        <v>0</v>
      </c>
      <c r="D77" s="4" t="e">
        <f>SUMPRODUCT(--(Roster_Trainer=$C$77),--(Roster_WorkshopType=$D$5),--(MONTH(Roster_WorkshopDate)=1),--(YEAR(Roster_WorkshopDate)=$D$4))</f>
        <v>#VALUE!</v>
      </c>
      <c r="E77" s="4" t="e">
        <f>SUMPRODUCT(--(Roster_Trainer=$C$77),--(Roster_WorkshopType=$D$5),--(MONTH(Roster_WorkshopDate)=2),--(YEAR(Roster_WorkshopDate)=$D$4))</f>
        <v>#VALUE!</v>
      </c>
      <c r="F77" s="4" t="e">
        <f>SUMPRODUCT(--(Roster_Trainer=$C$77),--(Roster_WorkshopType=$D$5),--(MONTH(Roster_WorkshopDate)=3),--(YEAR(Roster_WorkshopDate)=$D$4))</f>
        <v>#VALUE!</v>
      </c>
      <c r="G77" s="4" t="e">
        <f>SUMPRODUCT(--(Roster_Trainer=$C$77),--(Roster_WorkshopType=$D$5),--(MONTH(Roster_WorkshopDate)=4),--(YEAR(Roster_WorkshopDate)=$D$4))</f>
        <v>#VALUE!</v>
      </c>
      <c r="H77" s="4" t="e">
        <f>SUMPRODUCT(--(Roster_Trainer=$C$77),--(Roster_WorkshopType=$D$5),--(MONTH(Roster_WorkshopDate)=5),--(YEAR(Roster_WorkshopDate)=$D$4))</f>
        <v>#VALUE!</v>
      </c>
      <c r="I77" s="4" t="e">
        <f>SUMPRODUCT(--(Roster_Trainer=$C$77),--(Roster_WorkshopType=$D$5),--(MONTH(Roster_WorkshopDate)=6),--(YEAR(Roster_WorkshopDate)=$D$4))</f>
        <v>#VALUE!</v>
      </c>
      <c r="J77" s="4" t="e">
        <f>SUMPRODUCT(--(Roster_Trainer=$C$77),--(Roster_WorkshopType=$D$5),--(MONTH(Roster_WorkshopDate)=7),--(YEAR(Roster_WorkshopDate)=$D$4))</f>
        <v>#VALUE!</v>
      </c>
      <c r="K77" s="4" t="e">
        <f>SUMPRODUCT(--(Roster_Trainer=$C$77),--(Roster_WorkshopType=$D$5),--(MONTH(Roster_WorkshopDate)=8),--(YEAR(Roster_WorkshopDate)=$D$4))</f>
        <v>#VALUE!</v>
      </c>
      <c r="L77" s="4" t="e">
        <f>SUMPRODUCT(--(Roster_Trainer=$C$77),--(Roster_WorkshopType=$D$5),--(MONTH(Roster_WorkshopDate)=9),--(YEAR(Roster_WorkshopDate)=$D$4))</f>
        <v>#VALUE!</v>
      </c>
      <c r="M77" s="4" t="e">
        <f>SUMPRODUCT(--(Roster_Trainer=$C$77),--(Roster_WorkshopType=$D$5),--(MONTH(Roster_WorkshopDate)=10),--(YEAR(Roster_WorkshopDate)=$D$4))</f>
        <v>#VALUE!</v>
      </c>
      <c r="N77" s="4" t="e">
        <f>SUMPRODUCT(--(Roster_Trainer=$C$77),--(Roster_WorkshopType=$D$5),--(MONTH(Roster_WorkshopDate)=11),--(YEAR(Roster_WorkshopDate)=$D$4))</f>
        <v>#VALUE!</v>
      </c>
      <c r="O77" s="4" t="e">
        <f>SUMPRODUCT(--(Roster_Trainer=$C$77),--(Roster_WorkshopType=$D$5),--(MONTH(Roster_WorkshopDate)=12),--(YEAR(Roster_WorkshopDate)=$D$4))</f>
        <v>#VALUE!</v>
      </c>
      <c r="P77" s="46" t="e">
        <f>SUM(Table414[[#This Row],[Jan]:[Dec]])</f>
        <v>#VALUE!</v>
      </c>
    </row>
  </sheetData>
  <sheetProtection password="E3F9" sheet="1" objects="1" scenarios="1" selectLockedCells="1"/>
  <mergeCells count="6">
    <mergeCell ref="C39:P39"/>
    <mergeCell ref="D4:E4"/>
    <mergeCell ref="B2:Q2"/>
    <mergeCell ref="D5:E5"/>
    <mergeCell ref="C7:P7"/>
    <mergeCell ref="C18:P18"/>
  </mergeCells>
  <conditionalFormatting sqref="D9:P16">
    <cfRule type="cellIs" dxfId="143" priority="3" operator="equal">
      <formula>0</formula>
    </cfRule>
  </conditionalFormatting>
  <conditionalFormatting sqref="D20:P36">
    <cfRule type="cellIs" dxfId="142" priority="2" operator="equal">
      <formula>0</formula>
    </cfRule>
  </conditionalFormatting>
  <conditionalFormatting sqref="D41:P77">
    <cfRule type="cellIs" dxfId="141" priority="1" operator="equal">
      <formula>0</formula>
    </cfRule>
  </conditionalFormatting>
  <dataValidations count="1">
    <dataValidation type="list" allowBlank="1" showInputMessage="1" showErrorMessage="1" sqref="D5:E6">
      <formula1>WorkshopType</formula1>
    </dataValidation>
  </dataValidations>
  <printOptions horizontalCentered="1"/>
  <pageMargins left="0.2" right="0.2" top="0.25" bottom="0.25" header="0.3" footer="0.3"/>
  <pageSetup scale="70" fitToHeight="2" orientation="landscape" horizontalDpi="300" verticalDpi="3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  <pageSetUpPr fitToPage="1"/>
  </sheetPr>
  <dimension ref="A1:Q122"/>
  <sheetViews>
    <sheetView showGridLines="0" topLeftCell="A4" zoomScale="80" zoomScaleNormal="80" workbookViewId="0">
      <selection activeCell="D4" sqref="D4:E4"/>
    </sheetView>
  </sheetViews>
  <sheetFormatPr defaultRowHeight="15"/>
  <cols>
    <col min="1" max="1" width="4.42578125" style="2" customWidth="1"/>
    <col min="2" max="2" width="9.140625" style="2"/>
    <col min="3" max="3" width="36.28515625" style="6" bestFit="1" customWidth="1"/>
    <col min="4" max="15" width="10.28515625" bestFit="1" customWidth="1"/>
  </cols>
  <sheetData>
    <row r="1" spans="2:17" s="2" customFormat="1" ht="15.75" thickBot="1">
      <c r="C1" s="6"/>
    </row>
    <row r="2" spans="2:17" s="2" customFormat="1" ht="19.5" thickBot="1">
      <c r="B2" s="123" t="s">
        <v>59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5"/>
    </row>
    <row r="3" spans="2:17" s="2" customFormat="1" ht="15.75" thickBot="1">
      <c r="C3" s="6"/>
    </row>
    <row r="4" spans="2:17" s="2" customFormat="1" ht="19.5" thickBot="1">
      <c r="C4" s="37" t="s">
        <v>81</v>
      </c>
      <c r="D4" s="118">
        <v>2014</v>
      </c>
      <c r="E4" s="119"/>
    </row>
    <row r="5" spans="2:17" s="2" customFormat="1" ht="19.5" thickBot="1">
      <c r="C5" s="37" t="s">
        <v>78</v>
      </c>
      <c r="D5" s="118" t="s">
        <v>67</v>
      </c>
      <c r="E5" s="119"/>
    </row>
    <row r="6" spans="2:17" s="2" customFormat="1" ht="15.75" thickBot="1">
      <c r="C6" s="39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3"/>
    </row>
    <row r="7" spans="2:17" ht="16.5" thickBot="1">
      <c r="C7" s="133" t="s">
        <v>95</v>
      </c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17" ht="25.5">
      <c r="B8"/>
      <c r="C8" s="22" t="s">
        <v>49</v>
      </c>
      <c r="D8" s="21" t="s">
        <v>37</v>
      </c>
      <c r="E8" s="21" t="s">
        <v>38</v>
      </c>
      <c r="F8" s="21" t="s">
        <v>39</v>
      </c>
      <c r="G8" s="21" t="s">
        <v>40</v>
      </c>
      <c r="H8" s="21" t="s">
        <v>41</v>
      </c>
      <c r="I8" s="21" t="s">
        <v>42</v>
      </c>
      <c r="J8" s="21" t="s">
        <v>43</v>
      </c>
      <c r="K8" s="21" t="s">
        <v>44</v>
      </c>
      <c r="L8" s="21" t="s">
        <v>45</v>
      </c>
      <c r="M8" s="21" t="s">
        <v>46</v>
      </c>
      <c r="N8" s="21" t="s">
        <v>47</v>
      </c>
      <c r="O8" s="21" t="s">
        <v>48</v>
      </c>
      <c r="P8" s="22" t="s">
        <v>28</v>
      </c>
    </row>
    <row r="9" spans="2:17">
      <c r="B9"/>
      <c r="C9" s="19" t="s">
        <v>16</v>
      </c>
      <c r="D9" s="3" t="e">
        <f>SUMPRODUCT(--(Roster_WorkshopType=$D$5),--(MONTH(Roster_EnquiryDate)=1),--(YEAR(Roster_EnquiryDate)=D4),Roster_NoOfAttendees)</f>
        <v>#VALUE!</v>
      </c>
      <c r="E9" s="3" t="e">
        <f>SUMPRODUCT(--(Roster_WorkshopType=$D$5),--(MONTH(Roster_EnquiryDate)=2),--(YEAR(Roster_EnquiryDate)=D4),Roster_NoOfAttendees)</f>
        <v>#VALUE!</v>
      </c>
      <c r="F9" s="3" t="e">
        <f>SUMPRODUCT(--(Roster_WorkshopType=$D$5),--(MONTH(Roster_EnquiryDate)=3),--(YEAR(Roster_EnquiryDate)=D4),Roster_NoOfAttendees)</f>
        <v>#VALUE!</v>
      </c>
      <c r="G9" s="3" t="e">
        <f>SUMPRODUCT(--(Roster_WorkshopType=$D$5),--(MONTH(Roster_EnquiryDate)=4),--(YEAR(Roster_EnquiryDate)=D4),Roster_NoOfAttendees)</f>
        <v>#VALUE!</v>
      </c>
      <c r="H9" s="3" t="e">
        <f>SUMPRODUCT(--(Roster_WorkshopType=$D$5),--(MONTH(Roster_EnquiryDate)=5),--(YEAR(Roster_EnquiryDate)=D4),Roster_NoOfAttendees)</f>
        <v>#VALUE!</v>
      </c>
      <c r="I9" s="3" t="e">
        <f>SUMPRODUCT(--(Roster_WorkshopType=$D$5),--(MONTH(Roster_EnquiryDate)=6),--(YEAR(Roster_EnquiryDate)=D4),Roster_NoOfAttendees)</f>
        <v>#VALUE!</v>
      </c>
      <c r="J9" s="3" t="e">
        <f>SUMPRODUCT(--(Roster_WorkshopType=$D$5),--(MONTH(Roster_EnquiryDate)=7),--(YEAR(Roster_EnquiryDate)=D4),Roster_NoOfAttendees)</f>
        <v>#VALUE!</v>
      </c>
      <c r="K9" s="3" t="e">
        <f>SUMPRODUCT(--(Roster_WorkshopType=$D$5),--(MONTH(Roster_EnquiryDate)=8),--(YEAR(Roster_EnquiryDate)=D4),Roster_NoOfAttendees)</f>
        <v>#VALUE!</v>
      </c>
      <c r="L9" s="3" t="e">
        <f>SUMPRODUCT(--(Roster_WorkshopType=$D$5),--(MONTH(Roster_EnquiryDate)=9),--(YEAR(Roster_EnquiryDate)=D4),Roster_NoOfAttendees)</f>
        <v>#VALUE!</v>
      </c>
      <c r="M9" s="3" t="e">
        <f>SUMPRODUCT(--(Roster_WorkshopType=$D$5),--(MONTH(Roster_EnquiryDate)=10),--(YEAR(Roster_EnquiryDate)=D4),Roster_NoOfAttendees)</f>
        <v>#VALUE!</v>
      </c>
      <c r="N9" s="3" t="e">
        <f>SUMPRODUCT(--(Roster_WorkshopType=$D$5),--(MONTH(Roster_EnquiryDate)=11),--(YEAR(Roster_EnquiryDate)=D4),Roster_NoOfAttendees)</f>
        <v>#VALUE!</v>
      </c>
      <c r="O9" s="3" t="e">
        <f>SUMPRODUCT(--(Roster_WorkshopType=$D$5),--(MONTH(Roster_EnquiryDate)=12),--(YEAR(Roster_EnquiryDate)=D4),Roster_NoOfAttendees)</f>
        <v>#VALUE!</v>
      </c>
      <c r="P9" s="30" t="e">
        <f>SUM(Table2[[#This Row],[Jan]:[Dec]])</f>
        <v>#VALUE!</v>
      </c>
    </row>
    <row r="10" spans="2:17">
      <c r="B10"/>
      <c r="C10" s="19" t="s">
        <v>17</v>
      </c>
      <c r="D10" s="3" t="e">
        <f>SUMPRODUCT(--(Roster_Status=$C$10),--(Roster_WorkshopType=$D$5),--(MONTH(Roster_WorkshopDate)=1),--(YEAR(Roster_WorkshopDate)=D4),Roster_NoOfAttendees)</f>
        <v>#VALUE!</v>
      </c>
      <c r="E10" s="3" t="e">
        <f>SUMPRODUCT(--(Roster_Status=$C$10),--(Roster_WorkshopType=$D$5),--(MONTH(Roster_WorkshopDate)=2),--(YEAR(Roster_WorkshopDate)=D4),Roster_NoOfAttendees)</f>
        <v>#VALUE!</v>
      </c>
      <c r="F10" s="3" t="e">
        <f>SUMPRODUCT(--(Roster_Status=$C$10),--(Roster_WorkshopType=$D$5),--(MONTH(Roster_WorkshopDate)=3),--(YEAR(Roster_WorkshopDate)=D4),Roster_NoOfAttendees)</f>
        <v>#VALUE!</v>
      </c>
      <c r="G10" s="3" t="e">
        <f>SUMPRODUCT(--(Roster_Status=$C$10),--(Roster_WorkshopType=$D$5),--(MONTH(Roster_WorkshopDate)=4),--(YEAR(Roster_WorkshopDate)=D4),Roster_NoOfAttendees)</f>
        <v>#VALUE!</v>
      </c>
      <c r="H10" s="3" t="e">
        <f>SUMPRODUCT(--(Roster_Status=$C$10),--(Roster_WorkshopType=$D$5),--(MONTH(Roster_WorkshopDate)=5),--(YEAR(Roster_WorkshopDate)=D4),Roster_NoOfAttendees)</f>
        <v>#VALUE!</v>
      </c>
      <c r="I10" s="3" t="e">
        <f>SUMPRODUCT(--(Roster_Status=$C$10),--(Roster_WorkshopType=$D$5),--(MONTH(Roster_WorkshopDate)=6),--(YEAR(Roster_WorkshopDate)=D4),Roster_NoOfAttendees)</f>
        <v>#VALUE!</v>
      </c>
      <c r="J10" s="3" t="e">
        <f>SUMPRODUCT(--(Roster_Status=$C$10),--(Roster_WorkshopType=$D$5),--(MONTH(Roster_WorkshopDate)=7),--(YEAR(Roster_WorkshopDate)=D4),Roster_NoOfAttendees)</f>
        <v>#VALUE!</v>
      </c>
      <c r="K10" s="3" t="e">
        <f>SUMPRODUCT(--(Roster_Status=$C$10),--(Roster_WorkshopType=$D$5),--(MONTH(Roster_WorkshopDate)=8),--(YEAR(Roster_WorkshopDate)=D4),Roster_NoOfAttendees)</f>
        <v>#VALUE!</v>
      </c>
      <c r="L10" s="3" t="e">
        <f>SUMPRODUCT(--(Roster_Status=$C$10),--(Roster_WorkshopType=$D$5),--(MONTH(Roster_WorkshopDate)=9),--(YEAR(Roster_WorkshopDate)=D4),Roster_NoOfAttendees)</f>
        <v>#VALUE!</v>
      </c>
      <c r="M10" s="3" t="e">
        <f>SUMPRODUCT(--(Roster_Status=$C$10),--(Roster_WorkshopType=$D$5),--(MONTH(Roster_WorkshopDate)=10),--(YEAR(Roster_WorkshopDate)=D4),Roster_NoOfAttendees)</f>
        <v>#VALUE!</v>
      </c>
      <c r="N10" s="3" t="e">
        <f>SUMPRODUCT(--(Roster_Status=$C$10),--(Roster_WorkshopType=$D$5),--(MONTH(Roster_WorkshopDate)=11),--(YEAR(Roster_WorkshopDate)=D4),Roster_NoOfAttendees)</f>
        <v>#VALUE!</v>
      </c>
      <c r="O10" s="3" t="e">
        <f>SUMPRODUCT(--(Roster_Status=$C$10),--(Roster_WorkshopType=$D$5),--(MONTH(Roster_WorkshopDate)=12),--(YEAR(Roster_WorkshopDate)=D4),Roster_NoOfAttendees)</f>
        <v>#VALUE!</v>
      </c>
      <c r="P10" s="30" t="e">
        <f>SUM(Table2[[#This Row],[Jan]:[Dec]])</f>
        <v>#VALUE!</v>
      </c>
    </row>
    <row r="11" spans="2:17">
      <c r="B11"/>
      <c r="C11" s="20" t="s">
        <v>18</v>
      </c>
      <c r="D11" s="3" t="e">
        <f>SUMPRODUCT(--(Roster_Status=$C$11),--(Roster_WorkshopType=$D$5),--(MONTH(Roster_WorkshopDate)=1),--(YEAR(Roster_WorkshopDate)=D4),Roster_NoOfAttendees)</f>
        <v>#VALUE!</v>
      </c>
      <c r="E11" s="3" t="e">
        <f>SUMPRODUCT(--(Roster_Status=$C$11),--(Roster_WorkshopType=$D$5),--(MONTH(Roster_WorkshopDate)=2),--(YEAR(Roster_WorkshopDate)=D4),Roster_NoOfAttendees)</f>
        <v>#VALUE!</v>
      </c>
      <c r="F11" s="4" t="e">
        <f>SUMPRODUCT(--(Roster_Status=$C$11),--(Roster_WorkshopType=$D$5),--(MONTH(Roster_WorkshopDate)=3),--(YEAR(Roster_WorkshopDate)=D4),Roster_NoOfAttendees)</f>
        <v>#VALUE!</v>
      </c>
      <c r="G11" s="4" t="e">
        <f>SUMPRODUCT(--(Roster_Status=$C$11),--(Roster_WorkshopType=$D$5),--(MONTH(Roster_WorkshopDate)=4),--(YEAR(Roster_WorkshopDate)=D4),Roster_NoOfAttendees)</f>
        <v>#VALUE!</v>
      </c>
      <c r="H11" s="4" t="e">
        <f>SUMPRODUCT(--(Roster_Status=$C$11),--(Roster_WorkshopType=$D$5),--(MONTH(Roster_WorkshopDate)=5),--(YEAR(Roster_WorkshopDate)=D4),Roster_NoOfAttendees)</f>
        <v>#VALUE!</v>
      </c>
      <c r="I11" s="4" t="e">
        <f>SUMPRODUCT(--(Roster_Status=$C$11),--(Roster_WorkshopType=$D$5),--(MONTH(Roster_WorkshopDate)=6),--(YEAR(Roster_WorkshopDate)=D4),Roster_NoOfAttendees)</f>
        <v>#VALUE!</v>
      </c>
      <c r="J11" s="4" t="e">
        <f>SUMPRODUCT(--(Roster_Status=$C$11),--(Roster_WorkshopType=$D$5),--(MONTH(Roster_WorkshopDate)=7),--(YEAR(Roster_WorkshopDate)=D4),Roster_NoOfAttendees)</f>
        <v>#VALUE!</v>
      </c>
      <c r="K11" s="4" t="e">
        <f>SUMPRODUCT(--(Roster_Status=$C$11),--(Roster_WorkshopType=$D$5),--(MONTH(Roster_WorkshopDate)=8),--(YEAR(Roster_WorkshopDate)=D4),Roster_NoOfAttendees)</f>
        <v>#VALUE!</v>
      </c>
      <c r="L11" s="4" t="e">
        <f>SUMPRODUCT(--(Roster_Status=$C$11),--(Roster_WorkshopType=$D$5),--(MONTH(Roster_WorkshopDate)=9),--(YEAR(Roster_WorkshopDate)=D4),Roster_NoOfAttendees)</f>
        <v>#VALUE!</v>
      </c>
      <c r="M11" s="4" t="e">
        <f>SUMPRODUCT(--(Roster_Status=$C$11),--(Roster_WorkshopType=$D$5),--(MONTH(Roster_WorkshopDate)=10),--(YEAR(Roster_WorkshopDate)=D4),Roster_NoOfAttendees)</f>
        <v>#VALUE!</v>
      </c>
      <c r="N11" s="4" t="e">
        <f>SUMPRODUCT(--(Roster_Status=$C$11),--(Roster_WorkshopType=$D$5),--(MONTH(Roster_WorkshopDate)=11),--(YEAR(Roster_WorkshopDate)=D4),Roster_NoOfAttendees)</f>
        <v>#VALUE!</v>
      </c>
      <c r="O11" s="3" t="e">
        <f>SUMPRODUCT(--(Roster_Status=$C$11),--(Roster_WorkshopType=$D$5),--(MONTH(Roster_WorkshopDate)=12),--(YEAR(Roster_WorkshopDate)=D4),Roster_NoOfAttendees)</f>
        <v>#VALUE!</v>
      </c>
      <c r="P11" s="30" t="e">
        <f>SUM(Table2[[#This Row],[Jan]:[Dec]])</f>
        <v>#VALUE!</v>
      </c>
    </row>
    <row r="12" spans="2:17" s="2" customFormat="1">
      <c r="C12" s="19"/>
      <c r="D12" s="3" t="e">
        <f>SUMPRODUCT(--(Roster_Status=$C$12),--(Roster_WorkshopType=$D$5),--(MONTH(Roster_WorkshopDate)=1),--(YEAR(Roster_WorkshopDate)=D4),Roster_NoOfAttendees)</f>
        <v>#VALUE!</v>
      </c>
      <c r="E12" s="3" t="e">
        <f>SUMPRODUCT(--(Roster_Status=$C$12),--(Roster_WorkshopType=$D$5),--(MONTH(Roster_WorkshopDate)=2),--(YEAR(Roster_WorkshopDate)=D4),Roster_NoOfAttendees)</f>
        <v>#VALUE!</v>
      </c>
      <c r="F12" s="4" t="e">
        <f>SUMPRODUCT(--(Roster_Status=$C$12),--(Roster_WorkshopType=$D$5),--(MONTH(Roster_WorkshopDate)=3),--(YEAR(Roster_WorkshopDate)=D4),Roster_NoOfAttendees)</f>
        <v>#VALUE!</v>
      </c>
      <c r="G12" s="4" t="e">
        <f>SUMPRODUCT(--(Roster_Status=$C$12),--(Roster_WorkshopType=$D$5),--(MONTH(Roster_WorkshopDate)=4),--(YEAR(Roster_WorkshopDate)=D4),Roster_NoOfAttendees)</f>
        <v>#VALUE!</v>
      </c>
      <c r="H12" s="4" t="e">
        <f>SUMPRODUCT(--(Roster_Status=$C$12),--(Roster_WorkshopType=$D$5),--(MONTH(Roster_WorkshopDate)=5),--(YEAR(Roster_WorkshopDate)=D4),Roster_NoOfAttendees)</f>
        <v>#VALUE!</v>
      </c>
      <c r="I12" s="4" t="e">
        <f>SUMPRODUCT(--(Roster_Status=$C$12),--(Roster_WorkshopType=$D$5),--(MONTH(Roster_WorkshopDate)=6),--(YEAR(Roster_WorkshopDate)=D4),Roster_NoOfAttendees)</f>
        <v>#VALUE!</v>
      </c>
      <c r="J12" s="4" t="e">
        <f>SUMPRODUCT(--(Roster_Status=$C$12),--(Roster_WorkshopType=$D$5),--(MONTH(Roster_WorkshopDate)=7),--(YEAR(Roster_WorkshopDate)=D4),Roster_NoOfAttendees)</f>
        <v>#VALUE!</v>
      </c>
      <c r="K12" s="4" t="e">
        <f>SUMPRODUCT(--(Roster_Status=$C$12),--(Roster_WorkshopType=$D$5),--(MONTH(Roster_WorkshopDate)=8),--(YEAR(Roster_WorkshopDate)=D4),Roster_NoOfAttendees)</f>
        <v>#VALUE!</v>
      </c>
      <c r="L12" s="4" t="e">
        <f>SUMPRODUCT(--(Roster_Status=$C$12),--(Roster_WorkshopType=$D$5),--(MONTH(Roster_WorkshopDate)=9),--(YEAR(Roster_WorkshopDate)=D4),Roster_NoOfAttendees)</f>
        <v>#VALUE!</v>
      </c>
      <c r="M12" s="4" t="e">
        <f>SUMPRODUCT(--(Roster_Status=$C$12),--(Roster_WorkshopType=$D$5),--(MONTH(Roster_WorkshopDate)=10),--(YEAR(Roster_WorkshopDate)=D4),Roster_NoOfAttendees)</f>
        <v>#VALUE!</v>
      </c>
      <c r="N12" s="4" t="e">
        <f>SUMPRODUCT(--(Roster_Status=$C$12),--(Roster_WorkshopType=$D$5),--(MONTH(Roster_WorkshopDate)=11),--(YEAR(Roster_WorkshopDate)=D4),Roster_NoOfAttendees)</f>
        <v>#VALUE!</v>
      </c>
      <c r="O12" s="3" t="e">
        <f>SUMPRODUCT(--(Roster_Status=$C$12),--(Roster_WorkshopType=$D$5),--(MONTH(Roster_WorkshopDate)=12),--(YEAR(Roster_WorkshopDate)=D4),Roster_NoOfAttendees)</f>
        <v>#VALUE!</v>
      </c>
      <c r="P12" s="30" t="e">
        <f>SUM(Table2[[#This Row],[Jan]:[Dec]])</f>
        <v>#VALUE!</v>
      </c>
    </row>
    <row r="13" spans="2:17" s="2" customFormat="1">
      <c r="C13" s="20"/>
      <c r="D13" s="38" t="e">
        <f>SUMPRODUCT(--(Roster_Status=$C$13),--(Roster_WorkshopType=$D$5),--(MONTH(Roster_WorkshopDate)=1),--(YEAR(Roster_WorkshopDate)=D4),Roster_NoOfAttendees)</f>
        <v>#VALUE!</v>
      </c>
      <c r="E13" s="38" t="e">
        <f>SUMPRODUCT(--(Roster_Status=$C$13),--(Roster_WorkshopType=$D$5),--(MONTH(Roster_WorkshopDate)=2),--(YEAR(Roster_WorkshopDate)=D4),Roster_NoOfAttendees)</f>
        <v>#VALUE!</v>
      </c>
      <c r="F13" s="38" t="e">
        <f>SUMPRODUCT(--(Roster_Status=$C$13),--(Roster_WorkshopType=$D$5),--(MONTH(Roster_WorkshopDate)=3),--(YEAR(Roster_WorkshopDate)=D4),Roster_NoOfAttendees)</f>
        <v>#VALUE!</v>
      </c>
      <c r="G13" s="38" t="e">
        <f>SUMPRODUCT(--(Roster_Status=$C$13),--(Roster_WorkshopType=$D$5),--(MONTH(Roster_WorkshopDate)=4),--(YEAR(Roster_WorkshopDate)=D4),Roster_NoOfAttendees)</f>
        <v>#VALUE!</v>
      </c>
      <c r="H13" s="38" t="e">
        <f>SUMPRODUCT(--(Roster_Status=$C$13),--(Roster_WorkshopType=$D$5),--(MONTH(Roster_WorkshopDate)=5),--(YEAR(Roster_WorkshopDate)=D4),Roster_NoOfAttendees)</f>
        <v>#VALUE!</v>
      </c>
      <c r="I13" s="38" t="e">
        <f>SUMPRODUCT(--(Roster_Status=$C$13),--(Roster_WorkshopType=$D$5),--(MONTH(Roster_WorkshopDate)=6),--(YEAR(Roster_WorkshopDate)=D4),Roster_NoOfAttendees)</f>
        <v>#VALUE!</v>
      </c>
      <c r="J13" s="38" t="e">
        <f>SUMPRODUCT(--(Roster_Status=$C$13),--(Roster_WorkshopType=$D$5),--(MONTH(Roster_WorkshopDate)=7),--(YEAR(Roster_WorkshopDate)=D4),Roster_NoOfAttendees)</f>
        <v>#VALUE!</v>
      </c>
      <c r="K13" s="38" t="e">
        <f>SUMPRODUCT(--(Roster_Status=$C$13),--(Roster_WorkshopType=$D$5),--(MONTH(Roster_WorkshopDate)=8),--(YEAR(Roster_WorkshopDate)=D4),Roster_NoOfAttendees)</f>
        <v>#VALUE!</v>
      </c>
      <c r="L13" s="38" t="e">
        <f>SUMPRODUCT(--(Roster_Status=$C$13),--(Roster_WorkshopType=$D$5),--(MONTH(Roster_WorkshopDate)=9),--(YEAR(Roster_WorkshopDate)=D4),Roster_NoOfAttendees)</f>
        <v>#VALUE!</v>
      </c>
      <c r="M13" s="38" t="e">
        <f>SUMPRODUCT(--(Roster_Status=$C$13),--(Roster_WorkshopType=$D$5),--(MONTH(Roster_WorkshopDate)=10),--(YEAR(Roster_WorkshopDate)=D4),Roster_NoOfAttendees)</f>
        <v>#VALUE!</v>
      </c>
      <c r="N13" s="38" t="e">
        <f>SUMPRODUCT(--(Roster_Status=$C$13),--(Roster_WorkshopType=$D$5),--(MONTH(Roster_WorkshopDate)=11),--(YEAR(Roster_WorkshopDate)=D4),Roster_NoOfAttendees)</f>
        <v>#VALUE!</v>
      </c>
      <c r="O13" s="3" t="e">
        <f>SUMPRODUCT(--(Roster_Status=$C$13),--(Roster_WorkshopType=$D$5),--(MONTH(Roster_WorkshopDate)=12),--(YEAR(Roster_WorkshopDate)=D4),Roster_NoOfAttendees)</f>
        <v>#VALUE!</v>
      </c>
      <c r="P13" s="30" t="e">
        <f>SUM(Table2[[#This Row],[Jan]:[Dec]])</f>
        <v>#VALUE!</v>
      </c>
    </row>
    <row r="14" spans="2:17" s="2" customFormat="1">
      <c r="C14" s="20"/>
      <c r="D14" s="38" t="e">
        <f>SUMPRODUCT(--(Roster_Status=$C$14),--(Roster_WorkshopType=$D$5),--(MONTH(Roster_WorkshopDate)=1),--(YEAR(Roster_WorkshopDate)=D4),Roster_NoOfAttendees)</f>
        <v>#VALUE!</v>
      </c>
      <c r="E14" s="38" t="e">
        <f>SUMPRODUCT(--(Roster_Status=$C$14),--(Roster_WorkshopType=$D$5),--(MONTH(Roster_WorkshopDate)=2),--(YEAR(Roster_WorkshopDate)=D4),Roster_NoOfAttendees)</f>
        <v>#VALUE!</v>
      </c>
      <c r="F14" s="38" t="e">
        <f>SUMPRODUCT(--(Roster_Status=$C$14),--(Roster_WorkshopType=$D$5),--(MONTH(Roster_WorkshopDate)=3),--(YEAR(Roster_WorkshopDate)=D4),Roster_NoOfAttendees)</f>
        <v>#VALUE!</v>
      </c>
      <c r="G14" s="38" t="e">
        <f>SUMPRODUCT(--(Roster_Status=$C$14),--(Roster_WorkshopType=$D$5),--(MONTH(Roster_WorkshopDate)=4),--(YEAR(Roster_WorkshopDate)=D4),Roster_NoOfAttendees)</f>
        <v>#VALUE!</v>
      </c>
      <c r="H14" s="38" t="e">
        <f>SUMPRODUCT(--(Roster_Status=$C$14),--(Roster_WorkshopType=$D$5),--(MONTH(Roster_WorkshopDate)=5),--(YEAR(Roster_WorkshopDate)=D4),Roster_NoOfAttendees)</f>
        <v>#VALUE!</v>
      </c>
      <c r="I14" s="38" t="e">
        <f>SUMPRODUCT(--(Roster_Status=$C$14),--(Roster_WorkshopType=$D$5),--(MONTH(Roster_WorkshopDate)=6),--(YEAR(Roster_WorkshopDate)=D4),Roster_NoOfAttendees)</f>
        <v>#VALUE!</v>
      </c>
      <c r="J14" s="38" t="e">
        <f>SUMPRODUCT(--(Roster_Status=$C$14),--(Roster_WorkshopType=$D$5),--(MONTH(Roster_WorkshopDate)=7),--(YEAR(Roster_WorkshopDate)=D4),Roster_NoOfAttendees)</f>
        <v>#VALUE!</v>
      </c>
      <c r="K14" s="38" t="e">
        <f>SUMPRODUCT(--(Roster_Status=$C$14),--(Roster_WorkshopType=$D$5),--(MONTH(Roster_WorkshopDate)=8),--(YEAR(Roster_WorkshopDate)=D4),Roster_NoOfAttendees)</f>
        <v>#VALUE!</v>
      </c>
      <c r="L14" s="38" t="e">
        <f>SUMPRODUCT(--(Roster_Status=$C$14),--(Roster_WorkshopType=$D$5),--(MONTH(Roster_WorkshopDate)=9),--(YEAR(Roster_WorkshopDate)=D4),Roster_NoOfAttendees)</f>
        <v>#VALUE!</v>
      </c>
      <c r="M14" s="38" t="e">
        <f>SUMPRODUCT(--(Roster_Status=$C$14),--(Roster_WorkshopType=$D$5),--(MONTH(Roster_WorkshopDate)=10),--(YEAR(Roster_WorkshopDate)=D4),Roster_NoOfAttendees)</f>
        <v>#VALUE!</v>
      </c>
      <c r="N14" s="38" t="e">
        <f>SUMPRODUCT(--(Roster_Status=$C$14),--(Roster_WorkshopType=$D$5),--(MONTH(Roster_WorkshopDate)=11),--(YEAR(Roster_WorkshopDate)=D4),Roster_NoOfAttendees)</f>
        <v>#VALUE!</v>
      </c>
      <c r="O14" s="3" t="e">
        <f>SUMPRODUCT(--(Roster_Status=$C$14),--(Roster_WorkshopType=$D$5),--(MONTH(Roster_WorkshopDate)=12),--(YEAR(Roster_WorkshopDate)=D4),Roster_NoOfAttendees)</f>
        <v>#VALUE!</v>
      </c>
      <c r="P14" s="30" t="e">
        <f>SUM(Table2[[#This Row],[Jan]:[Dec]])</f>
        <v>#VALUE!</v>
      </c>
    </row>
    <row r="15" spans="2:17" s="2" customFormat="1">
      <c r="C15" s="20"/>
      <c r="D15" s="38" t="e">
        <f>SUMPRODUCT(--(Roster_Status=$C$15),--(Roster_WorkshopType=$D$5),--(MONTH(Roster_WorkshopDate)=1),--(YEAR(Roster_WorkshopDate)=D4),Roster_NoOfAttendees)</f>
        <v>#VALUE!</v>
      </c>
      <c r="E15" s="38" t="e">
        <f>SUMPRODUCT(--(Roster_Status=$C$15),--(Roster_WorkshopType=$D$5),--(MONTH(Roster_WorkshopDate)=2),--(YEAR(Roster_WorkshopDate)=D4),Roster_NoOfAttendees)</f>
        <v>#VALUE!</v>
      </c>
      <c r="F15" s="38" t="e">
        <f>SUMPRODUCT(--(Roster_Status=$C$15),--(Roster_WorkshopType=$D$5),--(MONTH(Roster_WorkshopDate)=3),--(YEAR(Roster_WorkshopDate)=D4),Roster_NoOfAttendees)</f>
        <v>#VALUE!</v>
      </c>
      <c r="G15" s="38" t="e">
        <f>SUMPRODUCT(--(Roster_Status=$C$15),--(Roster_WorkshopType=$D$5),--(MONTH(Roster_WorkshopDate)=4),--(YEAR(Roster_WorkshopDate)=D4),Roster_NoOfAttendees)</f>
        <v>#VALUE!</v>
      </c>
      <c r="H15" s="38" t="e">
        <f>SUMPRODUCT(--(Roster_Status=$C$15),--(Roster_WorkshopType=$D$5),--(MONTH(Roster_WorkshopDate)=5),--(YEAR(Roster_WorkshopDate)=D4),Roster_NoOfAttendees)</f>
        <v>#VALUE!</v>
      </c>
      <c r="I15" s="38" t="e">
        <f>SUMPRODUCT(--(Roster_Status=$C$15),--(Roster_WorkshopType=$D$5),--(MONTH(Roster_WorkshopDate)=6),--(YEAR(Roster_WorkshopDate)=D4),Roster_NoOfAttendees)</f>
        <v>#VALUE!</v>
      </c>
      <c r="J15" s="38" t="e">
        <f>SUMPRODUCT(--(Roster_Status=$C$15),--(Roster_WorkshopType=$D$5),--(MONTH(Roster_WorkshopDate)=7),--(YEAR(Roster_WorkshopDate)=D4),Roster_NoOfAttendees)</f>
        <v>#VALUE!</v>
      </c>
      <c r="K15" s="38" t="e">
        <f>SUMPRODUCT(--(Roster_Status=$C$15),--(Roster_WorkshopType=$D$5),--(MONTH(Roster_WorkshopDate)=8),--(YEAR(Roster_WorkshopDate)=D4),Roster_NoOfAttendees)</f>
        <v>#VALUE!</v>
      </c>
      <c r="L15" s="38" t="e">
        <f>SUMPRODUCT(--(Roster_Status=$C$15),--(Roster_WorkshopType=$D$5),--(MONTH(Roster_WorkshopDate)=9),--(YEAR(Roster_WorkshopDate)=D4),Roster_NoOfAttendees)</f>
        <v>#VALUE!</v>
      </c>
      <c r="M15" s="38" t="e">
        <f>SUMPRODUCT(--(Roster_Status=$C$15),--(Roster_WorkshopType=$D$5),--(MONTH(Roster_WorkshopDate)=10),--(YEAR(Roster_WorkshopDate)=D4),Roster_NoOfAttendees)</f>
        <v>#VALUE!</v>
      </c>
      <c r="N15" s="38" t="e">
        <f>SUMPRODUCT(--(Roster_Status=$C$15),--(Roster_WorkshopType=$D$5),--(MONTH(Roster_WorkshopDate)=11),--(YEAR(Roster_WorkshopDate)=D4),Roster_NoOfAttendees)</f>
        <v>#VALUE!</v>
      </c>
      <c r="O15" s="3" t="e">
        <f>SUMPRODUCT(--(Roster_Status=$C$15),--(Roster_WorkshopType=$D$5),--(MONTH(Roster_WorkshopDate)=12),--(YEAR(Roster_WorkshopDate)=D4),Roster_NoOfAttendees)</f>
        <v>#VALUE!</v>
      </c>
      <c r="P15" s="30" t="e">
        <f>SUM(Table2[[#This Row],[Jan]:[Dec]])</f>
        <v>#VALUE!</v>
      </c>
    </row>
    <row r="16" spans="2:17" s="2" customFormat="1">
      <c r="C16" s="3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3"/>
    </row>
    <row r="17" spans="2:16" s="2" customFormat="1" ht="15.75" thickBot="1">
      <c r="C17" s="39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3"/>
    </row>
    <row r="18" spans="2:16" ht="16.5" thickBot="1">
      <c r="C18" s="136" t="s">
        <v>96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8"/>
    </row>
    <row r="19" spans="2:16" ht="25.5">
      <c r="B19"/>
      <c r="C19" s="23" t="s">
        <v>50</v>
      </c>
      <c r="D19" s="24" t="s">
        <v>37</v>
      </c>
      <c r="E19" s="24" t="s">
        <v>38</v>
      </c>
      <c r="F19" s="24" t="s">
        <v>39</v>
      </c>
      <c r="G19" s="24" t="s">
        <v>40</v>
      </c>
      <c r="H19" s="24" t="s">
        <v>41</v>
      </c>
      <c r="I19" s="24" t="s">
        <v>42</v>
      </c>
      <c r="J19" s="24" t="s">
        <v>43</v>
      </c>
      <c r="K19" s="24" t="s">
        <v>44</v>
      </c>
      <c r="L19" s="24" t="s">
        <v>45</v>
      </c>
      <c r="M19" s="24" t="s">
        <v>46</v>
      </c>
      <c r="N19" s="24" t="s">
        <v>47</v>
      </c>
      <c r="O19" s="24" t="s">
        <v>48</v>
      </c>
      <c r="P19" s="23" t="s">
        <v>28</v>
      </c>
    </row>
    <row r="20" spans="2:16">
      <c r="B20"/>
      <c r="C20" s="19" t="str">
        <f>DataSheet!C1</f>
        <v>Students - Govt School</v>
      </c>
      <c r="D20" s="3" t="e">
        <f>SUMPRODUCT(--(Roster_TypeOfOrganizer=$C$20),--(Roster_WorkshopType=$D$5),--(MONTH(Roster_WorkshopDate)=1),--(YEAR(Roster_WorkshopDate)=D4),Roster_NoOfAttendees)</f>
        <v>#VALUE!</v>
      </c>
      <c r="E20" s="3" t="e">
        <f>SUMPRODUCT(--(Roster_TypeOfOrganizer=$C$20),--(Roster_WorkshopType=$D$5),--(MONTH(Roster_WorkshopDate)=2),--(YEAR(Roster_WorkshopDate)=D4),Roster_NoOfAttendees)</f>
        <v>#VALUE!</v>
      </c>
      <c r="F20" s="3" t="e">
        <f>SUMPRODUCT(--(Roster_TypeOfOrganizer=$C$20),--(Roster_WorkshopType=$D$5),--(MONTH(Roster_WorkshopDate)=3),--(YEAR(Roster_WorkshopDate)=D4),Roster_NoOfAttendees)</f>
        <v>#VALUE!</v>
      </c>
      <c r="G20" s="3" t="e">
        <f>SUMPRODUCT(--(Roster_TypeOfOrganizer=$C$20),--(Roster_WorkshopType=$D$5),--(MONTH(Roster_WorkshopDate)=4),--(YEAR(Roster_WorkshopDate)=D4),Roster_NoOfAttendees)</f>
        <v>#VALUE!</v>
      </c>
      <c r="H20" s="3" t="e">
        <f>SUMPRODUCT(--(Roster_TypeOfOrganizer=$C$20),--(Roster_WorkshopType=$D$5),--(MONTH(Roster_WorkshopDate)=5),--(YEAR(Roster_WorkshopDate)=D4),Roster_NoOfAttendees)</f>
        <v>#VALUE!</v>
      </c>
      <c r="I20" s="3" t="e">
        <f>SUMPRODUCT(--(Roster_TypeOfOrganizer=$C$20),--(Roster_WorkshopType=$D$5),--(MONTH(Roster_WorkshopDate)=6),--(YEAR(Roster_WorkshopDate)=D4),Roster_NoOfAttendees)</f>
        <v>#VALUE!</v>
      </c>
      <c r="J20" s="3" t="e">
        <f>SUMPRODUCT(--(Roster_TypeOfOrganizer=$C$20),--(Roster_WorkshopType=$D$5),--(MONTH(Roster_WorkshopDate)=7),--(YEAR(Roster_WorkshopDate)=D4),Roster_NoOfAttendees)</f>
        <v>#VALUE!</v>
      </c>
      <c r="K20" s="3" t="e">
        <f>SUMPRODUCT(--(Roster_TypeOfOrganizer=$C$20),--(Roster_WorkshopType=$D$5),--(MONTH(Roster_WorkshopDate)=8),--(YEAR(Roster_WorkshopDate)=D4),Roster_NoOfAttendees)</f>
        <v>#VALUE!</v>
      </c>
      <c r="L20" s="3" t="e">
        <f>SUMPRODUCT(--(Roster_TypeOfOrganizer=$C$20),--(Roster_WorkshopType=$D$5),--(MONTH(Roster_WorkshopDate)=9),--(YEAR(Roster_WorkshopDate)=D4),Roster_NoOfAttendees)</f>
        <v>#VALUE!</v>
      </c>
      <c r="M20" s="3" t="e">
        <f>SUMPRODUCT(--(Roster_TypeOfOrganizer=$C$20),--(Roster_WorkshopType=$D$5),--(MONTH(Roster_WorkshopDate)=10),--(YEAR(Roster_WorkshopDate)=D4),Roster_NoOfAttendees)</f>
        <v>#VALUE!</v>
      </c>
      <c r="N20" s="3" t="e">
        <f>SUMPRODUCT(--(Roster_TypeOfOrganizer=$C$20),--(Roster_WorkshopType=$D$5),--(MONTH(Roster_WorkshopDate)=11),--(YEAR(Roster_WorkshopDate)=D4),Roster_NoOfAttendees)</f>
        <v>#VALUE!</v>
      </c>
      <c r="O20" s="3" t="e">
        <f>SUMPRODUCT(--(Roster_TypeOfOrganizer=$C$20),--(Roster_WorkshopType=$D$5),--(MONTH(Roster_WorkshopDate)=12),--(YEAR(Roster_WorkshopDate)=D4),Roster_NoOfAttendees)</f>
        <v>#VALUE!</v>
      </c>
      <c r="P20" s="30" t="e">
        <f>SUM(Table3[[#This Row],[Jan]:[Dec]])</f>
        <v>#VALUE!</v>
      </c>
    </row>
    <row r="21" spans="2:16">
      <c r="B21"/>
      <c r="C21" s="19" t="str">
        <f>DataSheet!C2</f>
        <v>Students - Pvt School</v>
      </c>
      <c r="D21" s="3" t="e">
        <f>SUMPRODUCT(--(Roster_TypeOfOrganizer=$C$21),--(Roster_WorkshopType=$D$5),--(MONTH(Roster_WorkshopDate)=1),--(YEAR(Roster_WorkshopDate)=D4),Roster_NoOfAttendees)</f>
        <v>#VALUE!</v>
      </c>
      <c r="E21" s="3" t="e">
        <f>SUMPRODUCT(--(Roster_TypeOfOrganizer=$C$21),--(Roster_WorkshopType=$D$5),--(MONTH(Roster_WorkshopDate)=2),--(YEAR(Roster_WorkshopDate)=D4),Roster_NoOfAttendees)</f>
        <v>#VALUE!</v>
      </c>
      <c r="F21" s="3" t="e">
        <f>SUMPRODUCT(--(Roster_TypeOfOrganizer=$C$21),--(Roster_WorkshopType=$D$5),--(MONTH(Roster_WorkshopDate)=3),--(YEAR(Roster_WorkshopDate)=D4),Roster_NoOfAttendees)</f>
        <v>#VALUE!</v>
      </c>
      <c r="G21" s="3" t="e">
        <f>SUMPRODUCT(--(Roster_TypeOfOrganizer=$C$21),--(Roster_WorkshopType=$D$5),--(MONTH(Roster_WorkshopDate)=4),--(YEAR(Roster_WorkshopDate)=D4),Roster_NoOfAttendees)</f>
        <v>#VALUE!</v>
      </c>
      <c r="H21" s="3" t="e">
        <f>SUMPRODUCT(--(Roster_TypeOfOrganizer=$C$21),--(Roster_WorkshopType=$D$5),--(MONTH(Roster_WorkshopDate)=5),--(YEAR(Roster_WorkshopDate)=D4),Roster_NoOfAttendees)</f>
        <v>#VALUE!</v>
      </c>
      <c r="I21" s="3" t="e">
        <f>SUMPRODUCT(--(Roster_TypeOfOrganizer=$C$21),--(Roster_WorkshopType=$D$5),--(MONTH(Roster_WorkshopDate)=6),--(YEAR(Roster_WorkshopDate)=D4),Roster_NoOfAttendees)</f>
        <v>#VALUE!</v>
      </c>
      <c r="J21" s="3" t="e">
        <f>SUMPRODUCT(--(Roster_TypeOfOrganizer=$C$21),--(Roster_WorkshopType=$D$5),--(MONTH(Roster_WorkshopDate)=7),--(YEAR(Roster_WorkshopDate)=D4),Roster_NoOfAttendees)</f>
        <v>#VALUE!</v>
      </c>
      <c r="K21" s="3" t="e">
        <f>SUMPRODUCT(--(Roster_TypeOfOrganizer=$C$21),--(Roster_WorkshopType=$D$5),--(MONTH(Roster_WorkshopDate)=8),--(YEAR(Roster_WorkshopDate)=D4),Roster_NoOfAttendees)</f>
        <v>#VALUE!</v>
      </c>
      <c r="L21" s="3" t="e">
        <f>SUMPRODUCT(--(Roster_TypeOfOrganizer=$C$21),--(Roster_WorkshopType=$D$5),--(MONTH(Roster_WorkshopDate)=9),--(YEAR(Roster_WorkshopDate)=D4),Roster_NoOfAttendees)</f>
        <v>#VALUE!</v>
      </c>
      <c r="M21" s="3" t="e">
        <f>SUMPRODUCT(--(Roster_TypeOfOrganizer=$C$21),--(Roster_WorkshopType=$D$5),--(MONTH(Roster_WorkshopDate)=10),--(YEAR(Roster_WorkshopDate)=D4),Roster_NoOfAttendees)</f>
        <v>#VALUE!</v>
      </c>
      <c r="N21" s="3" t="e">
        <f>SUMPRODUCT(--(Roster_TypeOfOrganizer=$C$21),--(Roster_WorkshopType=$D$5),--(MONTH(Roster_WorkshopDate)=11),--(YEAR(Roster_WorkshopDate)=D4),Roster_NoOfAttendees)</f>
        <v>#VALUE!</v>
      </c>
      <c r="O21" s="3" t="e">
        <f>SUMPRODUCT(--(Roster_TypeOfOrganizer=$C$21),--(Roster_WorkshopType=$D$5),--(MONTH(Roster_WorkshopDate)=12),--(YEAR(Roster_WorkshopDate)=D4),Roster_NoOfAttendees)</f>
        <v>#VALUE!</v>
      </c>
      <c r="P21" s="30" t="e">
        <f>SUM(Table3[[#This Row],[Jan]:[Dec]])</f>
        <v>#VALUE!</v>
      </c>
    </row>
    <row r="22" spans="2:16">
      <c r="B22"/>
      <c r="C22" s="19" t="str">
        <f>DataSheet!C3</f>
        <v>Students - Govt College / University</v>
      </c>
      <c r="D22" s="3" t="e">
        <f>SUMPRODUCT(--(Roster_TypeOfOrganizer=$C$22),--(Roster_WorkshopType=$D$5),--(MONTH(Roster_WorkshopDate)=1),--(YEAR(Roster_WorkshopDate)=D4),Roster_NoOfAttendees)</f>
        <v>#VALUE!</v>
      </c>
      <c r="E22" s="3" t="e">
        <f>SUMPRODUCT(--(Roster_TypeOfOrganizer=$C$22),--(Roster_WorkshopType=$D$5),--(MONTH(Roster_WorkshopDate)=2),--(YEAR(Roster_WorkshopDate)=D4),Roster_NoOfAttendees)</f>
        <v>#VALUE!</v>
      </c>
      <c r="F22" s="3" t="e">
        <f>SUMPRODUCT(--(Roster_TypeOfOrganizer=$C$22),--(Roster_WorkshopType=$D$5),--(MONTH(Roster_WorkshopDate)=3),--(YEAR(Roster_WorkshopDate)=D4),Roster_NoOfAttendees)</f>
        <v>#VALUE!</v>
      </c>
      <c r="G22" s="3" t="e">
        <f>SUMPRODUCT(--(Roster_TypeOfOrganizer=$C$22),--(Roster_WorkshopType=$D$5),--(MONTH(Roster_WorkshopDate)=4),--(YEAR(Roster_WorkshopDate)=D4),Roster_NoOfAttendees)</f>
        <v>#VALUE!</v>
      </c>
      <c r="H22" s="3" t="e">
        <f>SUMPRODUCT(--(Roster_TypeOfOrganizer=$C$22),--(Roster_WorkshopType=$D$5),--(MONTH(Roster_WorkshopDate)=5),--(YEAR(Roster_WorkshopDate)=D4),Roster_NoOfAttendees)</f>
        <v>#VALUE!</v>
      </c>
      <c r="I22" s="3" t="e">
        <f>SUMPRODUCT(--(Roster_TypeOfOrganizer=$C$22),--(Roster_WorkshopType=$D$5),--(MONTH(Roster_WorkshopDate)=6),--(YEAR(Roster_WorkshopDate)=D4),Roster_NoOfAttendees)</f>
        <v>#VALUE!</v>
      </c>
      <c r="J22" s="3" t="e">
        <f>SUMPRODUCT(--(Roster_TypeOfOrganizer=$C$22),--(Roster_WorkshopType=$D$5),--(MONTH(Roster_WorkshopDate)=7),--(YEAR(Roster_WorkshopDate)=D4),Roster_NoOfAttendees)</f>
        <v>#VALUE!</v>
      </c>
      <c r="K22" s="3" t="e">
        <f>SUMPRODUCT(--(Roster_TypeOfOrganizer=$C$22),--(Roster_WorkshopType=$D$5),--(MONTH(Roster_WorkshopDate)=8),--(YEAR(Roster_WorkshopDate)=D4),Roster_NoOfAttendees)</f>
        <v>#VALUE!</v>
      </c>
      <c r="L22" s="3" t="e">
        <f>SUMPRODUCT(--(Roster_TypeOfOrganizer=$C$22),--(Roster_WorkshopType=$D$5),--(MONTH(Roster_WorkshopDate)=9),--(YEAR(Roster_WorkshopDate)=D4),Roster_NoOfAttendees)</f>
        <v>#VALUE!</v>
      </c>
      <c r="M22" s="3" t="e">
        <f>SUMPRODUCT(--(Roster_TypeOfOrganizer=$C$22),--(Roster_WorkshopType=$D$5),--(MONTH(Roster_WorkshopDate)=10),--(YEAR(Roster_WorkshopDate)=D4),Roster_NoOfAttendees)</f>
        <v>#VALUE!</v>
      </c>
      <c r="N22" s="3" t="e">
        <f>SUMPRODUCT(--(Roster_TypeOfOrganizer=$C$22),--(Roster_WorkshopType=$D$5),--(MONTH(Roster_WorkshopDate)=11),--(YEAR(Roster_WorkshopDate)=D4),Roster_NoOfAttendees)</f>
        <v>#VALUE!</v>
      </c>
      <c r="O22" s="3" t="e">
        <f>SUMPRODUCT(--(Roster_TypeOfOrganizer=$C$22),--(Roster_WorkshopType=$D$5),--(MONTH(Roster_WorkshopDate)=12),--(YEAR(Roster_WorkshopDate)=D4),Roster_NoOfAttendees)</f>
        <v>#VALUE!</v>
      </c>
      <c r="P22" s="30" t="e">
        <f>SUM(Table3[[#This Row],[Jan]:[Dec]])</f>
        <v>#VALUE!</v>
      </c>
    </row>
    <row r="23" spans="2:16">
      <c r="B23"/>
      <c r="C23" s="19" t="str">
        <f>DataSheet!C4</f>
        <v>Students - Pvt College / University</v>
      </c>
      <c r="D23" s="3" t="e">
        <f>SUMPRODUCT(--(Roster_TypeOfOrganizer=$C$23),--(Roster_WorkshopType=$D$5),--(MONTH(Roster_WorkshopDate)=1),--(YEAR(Roster_WorkshopDate)=D4),Roster_NoOfAttendees)</f>
        <v>#VALUE!</v>
      </c>
      <c r="E23" s="3" t="e">
        <f>SUMPRODUCT(--(Roster_TypeOfOrganizer=$C$23),--(Roster_WorkshopType=$D$5),--(MONTH(Roster_WorkshopDate)=2),--(YEAR(Roster_WorkshopDate)=D4),Roster_NoOfAttendees)</f>
        <v>#VALUE!</v>
      </c>
      <c r="F23" s="3" t="e">
        <f>SUMPRODUCT(--(Roster_TypeOfOrganizer=$C$23),--(Roster_WorkshopType=$D$5),--(MONTH(Roster_WorkshopDate)=3),--(YEAR(Roster_WorkshopDate)=D4),Roster_NoOfAttendees)</f>
        <v>#VALUE!</v>
      </c>
      <c r="G23" s="3" t="e">
        <f>SUMPRODUCT(--(Roster_TypeOfOrganizer=$C$23),--(Roster_WorkshopType=$D$5),--(MONTH(Roster_WorkshopDate)=4),--(YEAR(Roster_WorkshopDate)=D4),Roster_NoOfAttendees)</f>
        <v>#VALUE!</v>
      </c>
      <c r="H23" s="3" t="e">
        <f>SUMPRODUCT(--(Roster_TypeOfOrganizer=$C$23),--(Roster_WorkshopType=$D$5),--(MONTH(Roster_WorkshopDate)=5),--(YEAR(Roster_WorkshopDate)=D4),Roster_NoOfAttendees)</f>
        <v>#VALUE!</v>
      </c>
      <c r="I23" s="3" t="e">
        <f>SUMPRODUCT(--(Roster_TypeOfOrganizer=$C$23),--(Roster_WorkshopType=$D$5),--(MONTH(Roster_WorkshopDate)=6),--(YEAR(Roster_WorkshopDate)=D4),Roster_NoOfAttendees)</f>
        <v>#VALUE!</v>
      </c>
      <c r="J23" s="3" t="e">
        <f>SUMPRODUCT(--(Roster_TypeOfOrganizer=$C$23),--(Roster_WorkshopType=$D$5),--(MONTH(Roster_WorkshopDate)=7),--(YEAR(Roster_WorkshopDate)=D4),Roster_NoOfAttendees)</f>
        <v>#VALUE!</v>
      </c>
      <c r="K23" s="3" t="e">
        <f>SUMPRODUCT(--(Roster_TypeOfOrganizer=$C$23),--(Roster_WorkshopType=$D$5),--(MONTH(Roster_WorkshopDate)=8),--(YEAR(Roster_WorkshopDate)=D4),Roster_NoOfAttendees)</f>
        <v>#VALUE!</v>
      </c>
      <c r="L23" s="3" t="e">
        <f>SUMPRODUCT(--(Roster_TypeOfOrganizer=$C$23),--(Roster_WorkshopType=$D$5),--(MONTH(Roster_WorkshopDate)=9),--(YEAR(Roster_WorkshopDate)=D4),Roster_NoOfAttendees)</f>
        <v>#VALUE!</v>
      </c>
      <c r="M23" s="3" t="e">
        <f>SUMPRODUCT(--(Roster_TypeOfOrganizer=$C$23),--(Roster_WorkshopType=$D$5),--(MONTH(Roster_WorkshopDate)=10),--(YEAR(Roster_WorkshopDate)=D4),Roster_NoOfAttendees)</f>
        <v>#VALUE!</v>
      </c>
      <c r="N23" s="3" t="e">
        <f>SUMPRODUCT(--(Roster_TypeOfOrganizer=$C$23),--(Roster_WorkshopType=$D$5),--(MONTH(Roster_WorkshopDate)=11),--(YEAR(Roster_WorkshopDate)=D4),Roster_NoOfAttendees)</f>
        <v>#VALUE!</v>
      </c>
      <c r="O23" s="3" t="e">
        <f>SUMPRODUCT(--(Roster_TypeOfOrganizer=$C$23),--(Roster_WorkshopType=$D$5),--(MONTH(Roster_WorkshopDate)=12),--(YEAR(Roster_WorkshopDate)=D4),Roster_NoOfAttendees)</f>
        <v>#VALUE!</v>
      </c>
      <c r="P23" s="30" t="e">
        <f>SUM(Table3[[#This Row],[Jan]:[Dec]])</f>
        <v>#VALUE!</v>
      </c>
    </row>
    <row r="24" spans="2:16">
      <c r="B24"/>
      <c r="C24" s="19" t="str">
        <f>DataSheet!C5</f>
        <v>Govt Organization</v>
      </c>
      <c r="D24" s="3" t="e">
        <f>SUMPRODUCT(--(Roster_TypeOfOrganizer=$C$24),--(Roster_WorkshopType=$D$5),--(MONTH(Roster_WorkshopDate)=1),--(YEAR(Roster_WorkshopDate)=D4),Roster_NoOfAttendees)</f>
        <v>#VALUE!</v>
      </c>
      <c r="E24" s="3" t="e">
        <f>SUMPRODUCT(--(Roster_TypeOfOrganizer=$C$24),--(Roster_WorkshopType=$D$5),--(MONTH(Roster_WorkshopDate)=2),--(YEAR(Roster_WorkshopDate)=D4),Roster_NoOfAttendees)</f>
        <v>#VALUE!</v>
      </c>
      <c r="F24" s="3" t="e">
        <f>SUMPRODUCT(--(Roster_TypeOfOrganizer=$C$24),--(Roster_WorkshopType=$D$5),--(MONTH(Roster_WorkshopDate)=3),--(YEAR(Roster_WorkshopDate)=D4),Roster_NoOfAttendees)</f>
        <v>#VALUE!</v>
      </c>
      <c r="G24" s="3" t="e">
        <f>SUMPRODUCT(--(Roster_TypeOfOrganizer=$C$24),--(Roster_WorkshopType=$D$5),--(MONTH(Roster_WorkshopDate)=4),--(YEAR(Roster_WorkshopDate)=D4),Roster_NoOfAttendees)</f>
        <v>#VALUE!</v>
      </c>
      <c r="H24" s="3" t="e">
        <f>SUMPRODUCT(--(Roster_TypeOfOrganizer=$C$24),--(Roster_WorkshopType=$D$5),--(MONTH(Roster_WorkshopDate)=5),--(YEAR(Roster_WorkshopDate)=D4),Roster_NoOfAttendees)</f>
        <v>#VALUE!</v>
      </c>
      <c r="I24" s="3" t="e">
        <f>SUMPRODUCT(--(Roster_TypeOfOrganizer=$C$24),--(Roster_WorkshopType=$D$5),--(MONTH(Roster_WorkshopDate)=6),--(YEAR(Roster_WorkshopDate)=D4),Roster_NoOfAttendees)</f>
        <v>#VALUE!</v>
      </c>
      <c r="J24" s="3" t="e">
        <f>SUMPRODUCT(--(Roster_TypeOfOrganizer=$C$24),--(Roster_WorkshopType=$D$5),--(MONTH(Roster_WorkshopDate)=7),--(YEAR(Roster_WorkshopDate)=D4),Roster_NoOfAttendees)</f>
        <v>#VALUE!</v>
      </c>
      <c r="K24" s="3" t="e">
        <f>SUMPRODUCT(--(Roster_TypeOfOrganizer=$C$24),--(Roster_WorkshopType=$D$5),--(MONTH(Roster_WorkshopDate)=8),--(YEAR(Roster_WorkshopDate)=D4),Roster_NoOfAttendees)</f>
        <v>#VALUE!</v>
      </c>
      <c r="L24" s="3" t="e">
        <f>SUMPRODUCT(--(Roster_TypeOfOrganizer=$C$24),--(Roster_WorkshopType=$D$5),--(MONTH(Roster_WorkshopDate)=9),--(YEAR(Roster_WorkshopDate)=D4),Roster_NoOfAttendees)</f>
        <v>#VALUE!</v>
      </c>
      <c r="M24" s="3" t="e">
        <f>SUMPRODUCT(--(Roster_TypeOfOrganizer=$C$24),--(Roster_WorkshopType=$D$5),--(MONTH(Roster_WorkshopDate)=10),--(YEAR(Roster_WorkshopDate)=D4),Roster_NoOfAttendees)</f>
        <v>#VALUE!</v>
      </c>
      <c r="N24" s="3" t="e">
        <f>SUMPRODUCT(--(Roster_TypeOfOrganizer=$C$24),--(Roster_WorkshopType=$D$5),--(MONTH(Roster_WorkshopDate)=11),--(YEAR(Roster_WorkshopDate)=D4),Roster_NoOfAttendees)</f>
        <v>#VALUE!</v>
      </c>
      <c r="O24" s="3" t="e">
        <f>SUMPRODUCT(--(Roster_TypeOfOrganizer=$C$24),--(Roster_WorkshopType=$D$5),--(MONTH(Roster_WorkshopDate)=12),--(YEAR(Roster_WorkshopDate)=D4),Roster_NoOfAttendees)</f>
        <v>#VALUE!</v>
      </c>
      <c r="P24" s="30" t="e">
        <f>SUM(Table3[[#This Row],[Jan]:[Dec]])</f>
        <v>#VALUE!</v>
      </c>
    </row>
    <row r="25" spans="2:16">
      <c r="B25"/>
      <c r="C25" s="19" t="str">
        <f>DataSheet!C6</f>
        <v>Corporates</v>
      </c>
      <c r="D25" s="3" t="e">
        <f>SUMPRODUCT(--(Roster_TypeOfOrganizer=$C$25),--(Roster_WorkshopType=$D$5),--(MONTH(Roster_WorkshopDate)=1),--(YEAR(Roster_WorkshopDate)=D4),Roster_NoOfAttendees)</f>
        <v>#VALUE!</v>
      </c>
      <c r="E25" s="3" t="e">
        <f>SUMPRODUCT(--(Roster_TypeOfOrganizer=$C$25),--(Roster_WorkshopType=$D$5),--(MONTH(Roster_WorkshopDate)=2),--(YEAR(Roster_WorkshopDate)=D4),Roster_NoOfAttendees)</f>
        <v>#VALUE!</v>
      </c>
      <c r="F25" s="3" t="e">
        <f>SUMPRODUCT(--(Roster_TypeOfOrganizer=$C$25),--(Roster_WorkshopType=$D$5),--(MONTH(Roster_WorkshopDate)=3),--(YEAR(Roster_WorkshopDate)=D4),Roster_NoOfAttendees)</f>
        <v>#VALUE!</v>
      </c>
      <c r="G25" s="3" t="e">
        <f>SUMPRODUCT(--(Roster_TypeOfOrganizer=$C$25),--(Roster_WorkshopType=$D$5),--(MONTH(Roster_WorkshopDate)=4),--(YEAR(Roster_WorkshopDate)=D4),Roster_NoOfAttendees)</f>
        <v>#VALUE!</v>
      </c>
      <c r="H25" s="3" t="e">
        <f>SUMPRODUCT(--(Roster_TypeOfOrganizer=$C$25),--(Roster_WorkshopType=$D$5),--(MONTH(Roster_WorkshopDate)=5),--(YEAR(Roster_WorkshopDate)=D4),Roster_NoOfAttendees)</f>
        <v>#VALUE!</v>
      </c>
      <c r="I25" s="3" t="e">
        <f>SUMPRODUCT(--(Roster_TypeOfOrganizer=$C$25),--(Roster_WorkshopType=$D$5),--(MONTH(Roster_WorkshopDate)=6),--(YEAR(Roster_WorkshopDate)=D4),Roster_NoOfAttendees)</f>
        <v>#VALUE!</v>
      </c>
      <c r="J25" s="3" t="e">
        <f>SUMPRODUCT(--(Roster_TypeOfOrganizer=$C$25),--(Roster_WorkshopType=$D$5),--(MONTH(Roster_WorkshopDate)=7),--(YEAR(Roster_WorkshopDate)=D4),Roster_NoOfAttendees)</f>
        <v>#VALUE!</v>
      </c>
      <c r="K25" s="3" t="e">
        <f>SUMPRODUCT(--(Roster_TypeOfOrganizer=$C$25),--(Roster_WorkshopType=$D$5),--(MONTH(Roster_WorkshopDate)=8),--(YEAR(Roster_WorkshopDate)=D4),Roster_NoOfAttendees)</f>
        <v>#VALUE!</v>
      </c>
      <c r="L25" s="3" t="e">
        <f>SUMPRODUCT(--(Roster_TypeOfOrganizer=$C$25),--(Roster_WorkshopType=$D$5),--(MONTH(Roster_WorkshopDate)=9),--(YEAR(Roster_WorkshopDate)=D4),Roster_NoOfAttendees)</f>
        <v>#VALUE!</v>
      </c>
      <c r="M25" s="3" t="e">
        <f>SUMPRODUCT(--(Roster_TypeOfOrganizer=$C$25),--(Roster_WorkshopType=$D$5),--(MONTH(Roster_WorkshopDate)=10),--(YEAR(Roster_WorkshopDate)=D4),Roster_NoOfAttendees)</f>
        <v>#VALUE!</v>
      </c>
      <c r="N25" s="3" t="e">
        <f>SUMPRODUCT(--(Roster_TypeOfOrganizer=$C$25),--(Roster_WorkshopType=$D$5),--(MONTH(Roster_WorkshopDate)=11),--(YEAR(Roster_WorkshopDate)=D4),Roster_NoOfAttendees)</f>
        <v>#VALUE!</v>
      </c>
      <c r="O25" s="3" t="e">
        <f>SUMPRODUCT(--(Roster_TypeOfOrganizer=$C$25),--(Roster_WorkshopType=$D$5),--(MONTH(Roster_WorkshopDate)=12),--(YEAR(Roster_WorkshopDate)=D4),Roster_NoOfAttendees)</f>
        <v>#VALUE!</v>
      </c>
      <c r="P25" s="30" t="e">
        <f>SUM(Table3[[#This Row],[Jan]:[Dec]])</f>
        <v>#VALUE!</v>
      </c>
    </row>
    <row r="26" spans="2:16">
      <c r="B26"/>
      <c r="C26" s="19" t="str">
        <f>DataSheet!C7</f>
        <v>Auto Drivers</v>
      </c>
      <c r="D26" s="3" t="e">
        <f>SUMPRODUCT(--(Roster_TypeOfOrganizer=$C$26),--(Roster_WorkshopType=$D$5),--(MONTH(Roster_WorkshopDate)=1),--(YEAR(Roster_WorkshopDate)=D4),Roster_NoOfAttendees)</f>
        <v>#VALUE!</v>
      </c>
      <c r="E26" s="3" t="e">
        <f>SUMPRODUCT(--(Roster_TypeOfOrganizer=$C$26),--(Roster_WorkshopType=$D$5),--(MONTH(Roster_WorkshopDate)=2),--(YEAR(Roster_WorkshopDate)=D4),Roster_NoOfAttendees)</f>
        <v>#VALUE!</v>
      </c>
      <c r="F26" s="3" t="e">
        <f>SUMPRODUCT(--(Roster_TypeOfOrganizer=$C$26),--(Roster_WorkshopType=$D$5),--(MONTH(Roster_WorkshopDate)=3),--(YEAR(Roster_WorkshopDate)=D4),Roster_NoOfAttendees)</f>
        <v>#VALUE!</v>
      </c>
      <c r="G26" s="3" t="e">
        <f>SUMPRODUCT(--(Roster_TypeOfOrganizer=$C$26),--(Roster_WorkshopType=$D$5),--(MONTH(Roster_WorkshopDate)=4),--(YEAR(Roster_WorkshopDate)=D4),Roster_NoOfAttendees)</f>
        <v>#VALUE!</v>
      </c>
      <c r="H26" s="3" t="e">
        <f>SUMPRODUCT(--(Roster_TypeOfOrganizer=$C$26),--(Roster_WorkshopType=$D$5),--(MONTH(Roster_WorkshopDate)=5),--(YEAR(Roster_WorkshopDate)=D4),Roster_NoOfAttendees)</f>
        <v>#VALUE!</v>
      </c>
      <c r="I26" s="3" t="e">
        <f>SUMPRODUCT(--(Roster_TypeOfOrganizer=$C$26),--(Roster_WorkshopType=$D$5),--(MONTH(Roster_WorkshopDate)=6),--(YEAR(Roster_WorkshopDate)=D4),Roster_NoOfAttendees)</f>
        <v>#VALUE!</v>
      </c>
      <c r="J26" s="3" t="e">
        <f>SUMPRODUCT(--(Roster_TypeOfOrganizer=$C$26),--(Roster_WorkshopType=$D$5),--(MONTH(Roster_WorkshopDate)=7),--(YEAR(Roster_WorkshopDate)=D4),Roster_NoOfAttendees)</f>
        <v>#VALUE!</v>
      </c>
      <c r="K26" s="3" t="e">
        <f>SUMPRODUCT(--(Roster_TypeOfOrganizer=$C$26),--(Roster_WorkshopType=$D$5),--(MONTH(Roster_WorkshopDate)=8),--(YEAR(Roster_WorkshopDate)=D4),Roster_NoOfAttendees)</f>
        <v>#VALUE!</v>
      </c>
      <c r="L26" s="3" t="e">
        <f>SUMPRODUCT(--(Roster_TypeOfOrganizer=$C$26),--(Roster_WorkshopType=$D$5),--(MONTH(Roster_WorkshopDate)=9),--(YEAR(Roster_WorkshopDate)=D4),Roster_NoOfAttendees)</f>
        <v>#VALUE!</v>
      </c>
      <c r="M26" s="3" t="e">
        <f>SUMPRODUCT(--(Roster_TypeOfOrganizer=$C$26),--(Roster_WorkshopType=$D$5),--(MONTH(Roster_WorkshopDate)=10),--(YEAR(Roster_WorkshopDate)=D4),Roster_NoOfAttendees)</f>
        <v>#VALUE!</v>
      </c>
      <c r="N26" s="3" t="e">
        <f>SUMPRODUCT(--(Roster_TypeOfOrganizer=$C$26),--(Roster_WorkshopType=$D$5),--(MONTH(Roster_WorkshopDate)=11),--(YEAR(Roster_WorkshopDate)=D4),Roster_NoOfAttendees)</f>
        <v>#VALUE!</v>
      </c>
      <c r="O26" s="3" t="e">
        <f>SUMPRODUCT(--(Roster_TypeOfOrganizer=$C$26),--(Roster_WorkshopType=$D$5),--(MONTH(Roster_WorkshopDate)=12),--(YEAR(Roster_WorkshopDate)=D4),Roster_NoOfAttendees)</f>
        <v>#VALUE!</v>
      </c>
      <c r="P26" s="30" t="e">
        <f>SUM(Table3[[#This Row],[Jan]:[Dec]])</f>
        <v>#VALUE!</v>
      </c>
    </row>
    <row r="27" spans="2:16">
      <c r="B27"/>
      <c r="C27" s="19" t="str">
        <f>DataSheet!C8</f>
        <v>Cab Drivers</v>
      </c>
      <c r="D27" s="3" t="e">
        <f>SUMPRODUCT(--(Roster_TypeOfOrganizer=$C$27),--(Roster_WorkshopType=$D$5),--(MONTH(Roster_WorkshopDate)=1),--(YEAR(Roster_WorkshopDate)=D4),Roster_NoOfAttendees)</f>
        <v>#VALUE!</v>
      </c>
      <c r="E27" s="3" t="e">
        <f>SUMPRODUCT(--(Roster_TypeOfOrganizer=$C$27),--(Roster_WorkshopType=$D$5),--(MONTH(Roster_WorkshopDate)=2),--(YEAR(Roster_WorkshopDate)=D4),Roster_NoOfAttendees)</f>
        <v>#VALUE!</v>
      </c>
      <c r="F27" s="3" t="e">
        <f>SUMPRODUCT(--(Roster_TypeOfOrganizer=$C$27),--(Roster_WorkshopType=$D$5),--(MONTH(Roster_WorkshopDate)=3),--(YEAR(Roster_WorkshopDate)=D4),Roster_NoOfAttendees)</f>
        <v>#VALUE!</v>
      </c>
      <c r="G27" s="3" t="e">
        <f>SUMPRODUCT(--(Roster_TypeOfOrganizer=$C$27),--(Roster_WorkshopType=$D$5),--(MONTH(Roster_WorkshopDate)=4),--(YEAR(Roster_WorkshopDate)=D4),Roster_NoOfAttendees)</f>
        <v>#VALUE!</v>
      </c>
      <c r="H27" s="3" t="e">
        <f>SUMPRODUCT(--(Roster_TypeOfOrganizer=$C$27),--(Roster_WorkshopType=$D$5),--(MONTH(Roster_WorkshopDate)=5),--(YEAR(Roster_WorkshopDate)=D4),Roster_NoOfAttendees)</f>
        <v>#VALUE!</v>
      </c>
      <c r="I27" s="3" t="e">
        <f>SUMPRODUCT(--(Roster_TypeOfOrganizer=$C$27),--(Roster_WorkshopType=$D$5),--(MONTH(Roster_WorkshopDate)=6),--(YEAR(Roster_WorkshopDate)=D4),Roster_NoOfAttendees)</f>
        <v>#VALUE!</v>
      </c>
      <c r="J27" s="3" t="e">
        <f>SUMPRODUCT(--(Roster_TypeOfOrganizer=$C$27),--(Roster_WorkshopType=$D$5),--(MONTH(Roster_WorkshopDate)=7),--(YEAR(Roster_WorkshopDate)=D4),Roster_NoOfAttendees)</f>
        <v>#VALUE!</v>
      </c>
      <c r="K27" s="3" t="e">
        <f>SUMPRODUCT(--(Roster_TypeOfOrganizer=$C$27),--(Roster_WorkshopType=$D$5),--(MONTH(Roster_WorkshopDate)=8),--(YEAR(Roster_WorkshopDate)=D4),Roster_NoOfAttendees)</f>
        <v>#VALUE!</v>
      </c>
      <c r="L27" s="3" t="e">
        <f>SUMPRODUCT(--(Roster_TypeOfOrganizer=$C$27),--(Roster_WorkshopType=$D$5),--(MONTH(Roster_WorkshopDate)=9),--(YEAR(Roster_WorkshopDate)=D4),Roster_NoOfAttendees)</f>
        <v>#VALUE!</v>
      </c>
      <c r="M27" s="3" t="e">
        <f>SUMPRODUCT(--(Roster_TypeOfOrganizer=$C$27),--(Roster_WorkshopType=$D$5),--(MONTH(Roster_WorkshopDate)=10),--(YEAR(Roster_WorkshopDate)=D4),Roster_NoOfAttendees)</f>
        <v>#VALUE!</v>
      </c>
      <c r="N27" s="3" t="e">
        <f>SUMPRODUCT(--(Roster_TypeOfOrganizer=$C$27),--(Roster_WorkshopType=$D$5),--(MONTH(Roster_WorkshopDate)=11),--(YEAR(Roster_WorkshopDate)=D4),Roster_NoOfAttendees)</f>
        <v>#VALUE!</v>
      </c>
      <c r="O27" s="3" t="e">
        <f>SUMPRODUCT(--(Roster_TypeOfOrganizer=$C$27),--(Roster_WorkshopType=$D$5),--(MONTH(Roster_WorkshopDate)=12),--(YEAR(Roster_WorkshopDate)=D4),Roster_NoOfAttendees)</f>
        <v>#VALUE!</v>
      </c>
      <c r="P27" s="30" t="e">
        <f>SUM(Table3[[#This Row],[Jan]:[Dec]])</f>
        <v>#VALUE!</v>
      </c>
    </row>
    <row r="28" spans="2:16">
      <c r="B28"/>
      <c r="C28" s="19" t="str">
        <f>DataSheet!C9</f>
        <v>Club</v>
      </c>
      <c r="D28" s="3" t="e">
        <f>SUMPRODUCT(--(Roster_TypeOfOrganizer=$C$28),--(Roster_WorkshopType=$D$5),--(MONTH(Roster_WorkshopDate)=1),--(YEAR(Roster_WorkshopDate)=D4),Roster_NoOfAttendees)</f>
        <v>#VALUE!</v>
      </c>
      <c r="E28" s="3" t="e">
        <f>SUMPRODUCT(--(Roster_TypeOfOrganizer=$C$28),--(Roster_WorkshopType=$D$5),--(MONTH(Roster_WorkshopDate)=2),--(YEAR(Roster_WorkshopDate)=D4),Roster_NoOfAttendees)</f>
        <v>#VALUE!</v>
      </c>
      <c r="F28" s="3" t="e">
        <f>SUMPRODUCT(--(Roster_TypeOfOrganizer=$C$28),--(Roster_WorkshopType=$D$5),--(MONTH(Roster_WorkshopDate)=3),--(YEAR(Roster_WorkshopDate)=D4),Roster_NoOfAttendees)</f>
        <v>#VALUE!</v>
      </c>
      <c r="G28" s="3" t="e">
        <f>SUMPRODUCT(--(Roster_TypeOfOrganizer=$C$28),--(Roster_WorkshopType=$D$5),--(MONTH(Roster_WorkshopDate)=4),--(YEAR(Roster_WorkshopDate)=D4),Roster_NoOfAttendees)</f>
        <v>#VALUE!</v>
      </c>
      <c r="H28" s="3" t="e">
        <f>SUMPRODUCT(--(Roster_TypeOfOrganizer=$C$28),--(Roster_WorkshopType=$D$5),--(MONTH(Roster_WorkshopDate)=5),--(YEAR(Roster_WorkshopDate)=D4),Roster_NoOfAttendees)</f>
        <v>#VALUE!</v>
      </c>
      <c r="I28" s="3" t="e">
        <f>SUMPRODUCT(--(Roster_TypeOfOrganizer=$C$28),--(Roster_WorkshopType=$D$5),--(MONTH(Roster_WorkshopDate)=6),--(YEAR(Roster_WorkshopDate)=D4),Roster_NoOfAttendees)</f>
        <v>#VALUE!</v>
      </c>
      <c r="J28" s="3" t="e">
        <f>SUMPRODUCT(--(Roster_TypeOfOrganizer=$C$28),--(Roster_WorkshopType=$D$5),--(MONTH(Roster_WorkshopDate)=7),--(YEAR(Roster_WorkshopDate)=D4),Roster_NoOfAttendees)</f>
        <v>#VALUE!</v>
      </c>
      <c r="K28" s="3" t="e">
        <f>SUMPRODUCT(--(Roster_TypeOfOrganizer=$C$28),--(Roster_WorkshopType=$D$5),--(MONTH(Roster_WorkshopDate)=8),--(YEAR(Roster_WorkshopDate)=D4),Roster_NoOfAttendees)</f>
        <v>#VALUE!</v>
      </c>
      <c r="L28" s="3" t="e">
        <f>SUMPRODUCT(--(Roster_TypeOfOrganizer=$C$28),--(Roster_WorkshopType=$D$5),--(MONTH(Roster_WorkshopDate)=9),--(YEAR(Roster_WorkshopDate)=D4),Roster_NoOfAttendees)</f>
        <v>#VALUE!</v>
      </c>
      <c r="M28" s="3" t="e">
        <f>SUMPRODUCT(--(Roster_TypeOfOrganizer=$C$28),--(Roster_WorkshopType=$D$5),--(MONTH(Roster_WorkshopDate)=10),--(YEAR(Roster_WorkshopDate)=D4),Roster_NoOfAttendees)</f>
        <v>#VALUE!</v>
      </c>
      <c r="N28" s="3" t="e">
        <f>SUMPRODUCT(--(Roster_TypeOfOrganizer=$C$28),--(Roster_WorkshopType=$D$5),--(MONTH(Roster_WorkshopDate)=11),--(YEAR(Roster_WorkshopDate)=D4),Roster_NoOfAttendees)</f>
        <v>#VALUE!</v>
      </c>
      <c r="O28" s="3" t="e">
        <f>SUMPRODUCT(--(Roster_TypeOfOrganizer=$C$28),--(Roster_WorkshopType=$D$5),--(MONTH(Roster_WorkshopDate)=12),--(YEAR(Roster_WorkshopDate)=D4),Roster_NoOfAttendees)</f>
        <v>#VALUE!</v>
      </c>
      <c r="P28" s="30" t="e">
        <f>SUM(Table3[[#This Row],[Jan]:[Dec]])</f>
        <v>#VALUE!</v>
      </c>
    </row>
    <row r="29" spans="2:16">
      <c r="B29"/>
      <c r="C29" s="19" t="str">
        <f>DataSheet!C10</f>
        <v>ALERT Volunteer(s)</v>
      </c>
      <c r="D29" s="3" t="e">
        <f>SUMPRODUCT(--(Roster_TypeOfOrganizer=$C$29),--(Roster_WorkshopType=$D$5),--(MONTH(Roster_WorkshopDate)=1),--(YEAR(Roster_WorkshopDate)=D4),Roster_NoOfAttendees)</f>
        <v>#VALUE!</v>
      </c>
      <c r="E29" s="3" t="e">
        <f>SUMPRODUCT(--(Roster_TypeOfOrganizer=$C$29),--(Roster_WorkshopType=$D$5),--(MONTH(Roster_WorkshopDate)=2),--(YEAR(Roster_WorkshopDate)=D4),Roster_NoOfAttendees)</f>
        <v>#VALUE!</v>
      </c>
      <c r="F29" s="3" t="e">
        <f>SUMPRODUCT(--(Roster_TypeOfOrganizer=$C$29),--(Roster_WorkshopType=$D$5),--(MONTH(Roster_WorkshopDate)=3),--(YEAR(Roster_WorkshopDate)=D4),Roster_NoOfAttendees)</f>
        <v>#VALUE!</v>
      </c>
      <c r="G29" s="3" t="e">
        <f>SUMPRODUCT(--(Roster_TypeOfOrganizer=$C$29),--(Roster_WorkshopType=$D$5),--(MONTH(Roster_WorkshopDate)=4),--(YEAR(Roster_WorkshopDate)=D4),Roster_NoOfAttendees)</f>
        <v>#VALUE!</v>
      </c>
      <c r="H29" s="3" t="e">
        <f>SUMPRODUCT(--(Roster_TypeOfOrganizer=$C$29),--(Roster_WorkshopType=$D$5),--(MONTH(Roster_WorkshopDate)=5),--(YEAR(Roster_WorkshopDate)=D4),Roster_NoOfAttendees)</f>
        <v>#VALUE!</v>
      </c>
      <c r="I29" s="3" t="e">
        <f>SUMPRODUCT(--(Roster_TypeOfOrganizer=$C$29),--(Roster_WorkshopType=$D$5),--(MONTH(Roster_WorkshopDate)=6),--(YEAR(Roster_WorkshopDate)=D4),Roster_NoOfAttendees)</f>
        <v>#VALUE!</v>
      </c>
      <c r="J29" s="3" t="e">
        <f>SUMPRODUCT(--(Roster_TypeOfOrganizer=$C$29),--(Roster_WorkshopType=$D$5),--(MONTH(Roster_WorkshopDate)=7),--(YEAR(Roster_WorkshopDate)=D4),Roster_NoOfAttendees)</f>
        <v>#VALUE!</v>
      </c>
      <c r="K29" s="3" t="e">
        <f>SUMPRODUCT(--(Roster_TypeOfOrganizer=$C$29),--(Roster_WorkshopType=$D$5),--(MONTH(Roster_WorkshopDate)=8),--(YEAR(Roster_WorkshopDate)=D4),Roster_NoOfAttendees)</f>
        <v>#VALUE!</v>
      </c>
      <c r="L29" s="3" t="e">
        <f>SUMPRODUCT(--(Roster_TypeOfOrganizer=$C$29),--(Roster_WorkshopType=$D$5),--(MONTH(Roster_WorkshopDate)=9),--(YEAR(Roster_WorkshopDate)=D4),Roster_NoOfAttendees)</f>
        <v>#VALUE!</v>
      </c>
      <c r="M29" s="3" t="e">
        <f>SUMPRODUCT(--(Roster_TypeOfOrganizer=$C$29),--(Roster_WorkshopType=$D$5),--(MONTH(Roster_WorkshopDate)=10),--(YEAR(Roster_WorkshopDate)=D4),Roster_NoOfAttendees)</f>
        <v>#VALUE!</v>
      </c>
      <c r="N29" s="3" t="e">
        <f>SUMPRODUCT(--(Roster_TypeOfOrganizer=$C$29),--(Roster_WorkshopType=$D$5),--(MONTH(Roster_WorkshopDate)=11),--(YEAR(Roster_WorkshopDate)=D4),Roster_NoOfAttendees)</f>
        <v>#VALUE!</v>
      </c>
      <c r="O29" s="3" t="e">
        <f>SUMPRODUCT(--(Roster_TypeOfOrganizer=$C$29),--(Roster_WorkshopType=$D$5),--(MONTH(Roster_WorkshopDate)=12),--(YEAR(Roster_WorkshopDate)=D4),Roster_NoOfAttendees)</f>
        <v>#VALUE!</v>
      </c>
      <c r="P29" s="30" t="e">
        <f>SUM(Table3[[#This Row],[Jan]:[Dec]])</f>
        <v>#VALUE!</v>
      </c>
    </row>
    <row r="30" spans="2:16">
      <c r="B30"/>
      <c r="C30" s="19" t="str">
        <f>DataSheet!C11</f>
        <v>Hotel</v>
      </c>
      <c r="D30" s="3" t="e">
        <f>SUMPRODUCT(--(Roster_TypeOfOrganizer=$C$30),--(Roster_WorkshopType=$D$5),--(MONTH(Roster_WorkshopDate)=1),--(YEAR(Roster_WorkshopDate)=D4),Roster_NoOfAttendees)</f>
        <v>#VALUE!</v>
      </c>
      <c r="E30" s="3" t="e">
        <f>SUMPRODUCT(--(Roster_TypeOfOrganizer=$C$30),--(Roster_WorkshopType=$D$5),--(MONTH(Roster_WorkshopDate)=2),--(YEAR(Roster_WorkshopDate)=D4),Roster_NoOfAttendees)</f>
        <v>#VALUE!</v>
      </c>
      <c r="F30" s="3" t="e">
        <f>SUMPRODUCT(--(Roster_TypeOfOrganizer=$C$30),--(Roster_WorkshopType=$D$5),--(MONTH(Roster_WorkshopDate)=3),--(YEAR(Roster_WorkshopDate)=D4),Roster_NoOfAttendees)</f>
        <v>#VALUE!</v>
      </c>
      <c r="G30" s="3" t="e">
        <f>SUMPRODUCT(--(Roster_TypeOfOrganizer=$C$30),--(Roster_WorkshopType=$D$5),--(MONTH(Roster_WorkshopDate)=4),--(YEAR(Roster_WorkshopDate)=D4),Roster_NoOfAttendees)</f>
        <v>#VALUE!</v>
      </c>
      <c r="H30" s="3" t="e">
        <f>SUMPRODUCT(--(Roster_TypeOfOrganizer=$C$30),--(Roster_WorkshopType=$D$5),--(MONTH(Roster_WorkshopDate)=5),--(YEAR(Roster_WorkshopDate)=D4),Roster_NoOfAttendees)</f>
        <v>#VALUE!</v>
      </c>
      <c r="I30" s="3" t="e">
        <f>SUMPRODUCT(--(Roster_TypeOfOrganizer=$C$30),--(Roster_WorkshopType=$D$5),--(MONTH(Roster_WorkshopDate)=6),--(YEAR(Roster_WorkshopDate)=D4),Roster_NoOfAttendees)</f>
        <v>#VALUE!</v>
      </c>
      <c r="J30" s="3" t="e">
        <f>SUMPRODUCT(--(Roster_TypeOfOrganizer=$C$30),--(Roster_WorkshopType=$D$5),--(MONTH(Roster_WorkshopDate)=7),--(YEAR(Roster_WorkshopDate)=D4),Roster_NoOfAttendees)</f>
        <v>#VALUE!</v>
      </c>
      <c r="K30" s="3" t="e">
        <f>SUMPRODUCT(--(Roster_TypeOfOrganizer=$C$30),--(Roster_WorkshopType=$D$5),--(MONTH(Roster_WorkshopDate)=8),--(YEAR(Roster_WorkshopDate)=D4),Roster_NoOfAttendees)</f>
        <v>#VALUE!</v>
      </c>
      <c r="L30" s="3" t="e">
        <f>SUMPRODUCT(--(Roster_TypeOfOrganizer=$C$30),--(Roster_WorkshopType=$D$5),--(MONTH(Roster_WorkshopDate)=9),--(YEAR(Roster_WorkshopDate)=D4),Roster_NoOfAttendees)</f>
        <v>#VALUE!</v>
      </c>
      <c r="M30" s="3" t="e">
        <f>SUMPRODUCT(--(Roster_TypeOfOrganizer=$C$30),--(Roster_WorkshopType=$D$5),--(MONTH(Roster_WorkshopDate)=10),--(YEAR(Roster_WorkshopDate)=D4),Roster_NoOfAttendees)</f>
        <v>#VALUE!</v>
      </c>
      <c r="N30" s="3" t="e">
        <f>SUMPRODUCT(--(Roster_TypeOfOrganizer=$C$30),--(Roster_WorkshopType=$D$5),--(MONTH(Roster_WorkshopDate)=11),--(YEAR(Roster_WorkshopDate)=D4),Roster_NoOfAttendees)</f>
        <v>#VALUE!</v>
      </c>
      <c r="O30" s="3" t="e">
        <f>SUMPRODUCT(--(Roster_TypeOfOrganizer=$C$30),--(Roster_WorkshopType=$D$5),--(MONTH(Roster_WorkshopDate)=12),--(YEAR(Roster_WorkshopDate)=D4),Roster_NoOfAttendees)</f>
        <v>#VALUE!</v>
      </c>
      <c r="P30" s="30" t="e">
        <f>SUM(Table3[[#This Row],[Jan]:[Dec]])</f>
        <v>#VALUE!</v>
      </c>
    </row>
    <row r="31" spans="2:16">
      <c r="B31"/>
      <c r="C31" s="19" t="str">
        <f>DataSheet!C12</f>
        <v>Cinema</v>
      </c>
      <c r="D31" s="3" t="e">
        <f>SUMPRODUCT(--(Roster_TypeOfOrganizer=$C$31),--(Roster_WorkshopType=$D$5),--(MONTH(Roster_WorkshopDate)=1),--(YEAR(Roster_WorkshopDate)=D4),Roster_NoOfAttendees)</f>
        <v>#VALUE!</v>
      </c>
      <c r="E31" s="3" t="e">
        <f>SUMPRODUCT(--(Roster_TypeOfOrganizer=$C$31),--(Roster_WorkshopType=$D$5),--(MONTH(Roster_WorkshopDate)=2),--(YEAR(Roster_WorkshopDate)=D4),Roster_NoOfAttendees)</f>
        <v>#VALUE!</v>
      </c>
      <c r="F31" s="3" t="e">
        <f>SUMPRODUCT(--(Roster_TypeOfOrganizer=$C$31),--(Roster_WorkshopType=$D$5),--(MONTH(Roster_WorkshopDate)=3),--(YEAR(Roster_WorkshopDate)=D4),Roster_NoOfAttendees)</f>
        <v>#VALUE!</v>
      </c>
      <c r="G31" s="3" t="e">
        <f>SUMPRODUCT(--(Roster_TypeOfOrganizer=$C$31),--(Roster_WorkshopType=$D$5),--(MONTH(Roster_WorkshopDate)=4),--(YEAR(Roster_WorkshopDate)=D4),Roster_NoOfAttendees)</f>
        <v>#VALUE!</v>
      </c>
      <c r="H31" s="3" t="e">
        <f>SUMPRODUCT(--(Roster_TypeOfOrganizer=$C$31),--(Roster_WorkshopType=$D$5),--(MONTH(Roster_WorkshopDate)=5),--(YEAR(Roster_WorkshopDate)=D4),Roster_NoOfAttendees)</f>
        <v>#VALUE!</v>
      </c>
      <c r="I31" s="3" t="e">
        <f>SUMPRODUCT(--(Roster_TypeOfOrganizer=$C$31),--(Roster_WorkshopType=$D$5),--(MONTH(Roster_WorkshopDate)=6),--(YEAR(Roster_WorkshopDate)=D4),Roster_NoOfAttendees)</f>
        <v>#VALUE!</v>
      </c>
      <c r="J31" s="3" t="e">
        <f>SUMPRODUCT(--(Roster_TypeOfOrganizer=$C$31),--(Roster_WorkshopType=$D$5),--(MONTH(Roster_WorkshopDate)=7),--(YEAR(Roster_WorkshopDate)=D4),Roster_NoOfAttendees)</f>
        <v>#VALUE!</v>
      </c>
      <c r="K31" s="3" t="e">
        <f>SUMPRODUCT(--(Roster_TypeOfOrganizer=$C$31),--(Roster_WorkshopType=$D$5),--(MONTH(Roster_WorkshopDate)=8),--(YEAR(Roster_WorkshopDate)=D4),Roster_NoOfAttendees)</f>
        <v>#VALUE!</v>
      </c>
      <c r="L31" s="3" t="e">
        <f>SUMPRODUCT(--(Roster_TypeOfOrganizer=$C$31),--(Roster_WorkshopType=$D$5),--(MONTH(Roster_WorkshopDate)=9),--(YEAR(Roster_WorkshopDate)=D4),Roster_NoOfAttendees)</f>
        <v>#VALUE!</v>
      </c>
      <c r="M31" s="3" t="e">
        <f>SUMPRODUCT(--(Roster_TypeOfOrganizer=$C$31),--(Roster_WorkshopType=$D$5),--(MONTH(Roster_WorkshopDate)=10),--(YEAR(Roster_WorkshopDate)=D4),Roster_NoOfAttendees)</f>
        <v>#VALUE!</v>
      </c>
      <c r="N31" s="3" t="e">
        <f>SUMPRODUCT(--(Roster_TypeOfOrganizer=$C$31),--(Roster_WorkshopType=$D$5),--(MONTH(Roster_WorkshopDate)=11),--(YEAR(Roster_WorkshopDate)=D4),Roster_NoOfAttendees)</f>
        <v>#VALUE!</v>
      </c>
      <c r="O31" s="3" t="e">
        <f>SUMPRODUCT(--(Roster_TypeOfOrganizer=$C$31),--(Roster_WorkshopType=$D$5),--(MONTH(Roster_WorkshopDate)=12),--(YEAR(Roster_WorkshopDate)=D4),Roster_NoOfAttendees)</f>
        <v>#VALUE!</v>
      </c>
      <c r="P31" s="30" t="e">
        <f>SUM(Table3[[#This Row],[Jan]:[Dec]])</f>
        <v>#VALUE!</v>
      </c>
    </row>
    <row r="32" spans="2:16">
      <c r="B32"/>
      <c r="C32" s="20" t="str">
        <f>DataSheet!C13</f>
        <v>Others</v>
      </c>
      <c r="D32" s="4" t="e">
        <f>SUMPRODUCT(--(Roster_TypeOfOrganizer=$C$32),--(Roster_WorkshopType=$D$5),--(MONTH(Roster_WorkshopDate)=1),--(YEAR(Roster_WorkshopDate)=D4),Roster_NoOfAttendees)</f>
        <v>#VALUE!</v>
      </c>
      <c r="E32" s="4" t="e">
        <f>SUMPRODUCT(--(Roster_TypeOfOrganizer=$C$32),--(Roster_WorkshopType=$D$5),--(MONTH(Roster_WorkshopDate)=2),--(YEAR(Roster_WorkshopDate)=D4),Roster_NoOfAttendees)</f>
        <v>#VALUE!</v>
      </c>
      <c r="F32" s="4" t="e">
        <f>SUMPRODUCT(--(Roster_TypeOfOrganizer=$C$32),--(Roster_WorkshopType=$D$5),--(MONTH(Roster_WorkshopDate)=3),--(YEAR(Roster_WorkshopDate)=D4),Roster_NoOfAttendees)</f>
        <v>#VALUE!</v>
      </c>
      <c r="G32" s="4" t="e">
        <f>SUMPRODUCT(--(Roster_TypeOfOrganizer=$C$32),--(Roster_WorkshopType=$D$5),--(MONTH(Roster_WorkshopDate)=4),--(YEAR(Roster_WorkshopDate)=D4),Roster_NoOfAttendees)</f>
        <v>#VALUE!</v>
      </c>
      <c r="H32" s="4" t="e">
        <f>SUMPRODUCT(--(Roster_TypeOfOrganizer=$C$32),--(Roster_WorkshopType=$D$5),--(MONTH(Roster_WorkshopDate)=5),--(YEAR(Roster_WorkshopDate)=D4),Roster_NoOfAttendees)</f>
        <v>#VALUE!</v>
      </c>
      <c r="I32" s="4" t="e">
        <f>SUMPRODUCT(--(Roster_TypeOfOrganizer=$C$32),--(Roster_WorkshopType=$D$5),--(MONTH(Roster_WorkshopDate)=6),--(YEAR(Roster_WorkshopDate)=D4),Roster_NoOfAttendees)</f>
        <v>#VALUE!</v>
      </c>
      <c r="J32" s="4" t="e">
        <f>SUMPRODUCT(--(Roster_TypeOfOrganizer=$C$32),--(Roster_WorkshopType=$D$5),--(MONTH(Roster_WorkshopDate)=7),--(YEAR(Roster_WorkshopDate)=D4),Roster_NoOfAttendees)</f>
        <v>#VALUE!</v>
      </c>
      <c r="K32" s="4" t="e">
        <f>SUMPRODUCT(--(Roster_TypeOfOrganizer=$C$32),--(Roster_WorkshopType=$D$5),--(MONTH(Roster_WorkshopDate)=8),--(YEAR(Roster_WorkshopDate)=D4),Roster_NoOfAttendees)</f>
        <v>#VALUE!</v>
      </c>
      <c r="L32" s="4" t="e">
        <f>SUMPRODUCT(--(Roster_TypeOfOrganizer=$C$32),--(Roster_WorkshopType=$D$5),--(MONTH(Roster_WorkshopDate)=9),--(YEAR(Roster_WorkshopDate)=D4),Roster_NoOfAttendees)</f>
        <v>#VALUE!</v>
      </c>
      <c r="M32" s="4" t="e">
        <f>SUMPRODUCT(--(Roster_TypeOfOrganizer=$C$32),--(Roster_WorkshopType=$D$5),--(MONTH(Roster_WorkshopDate)=10),--(YEAR(Roster_WorkshopDate)=D4),Roster_NoOfAttendees)</f>
        <v>#VALUE!</v>
      </c>
      <c r="N32" s="4" t="e">
        <f>SUMPRODUCT(--(Roster_TypeOfOrganizer=$C$32),--(Roster_WorkshopType=$D$5),--(MONTH(Roster_WorkshopDate)=11),--(YEAR(Roster_WorkshopDate)=D4),Roster_NoOfAttendees)</f>
        <v>#VALUE!</v>
      </c>
      <c r="O32" s="4" t="e">
        <f>SUMPRODUCT(--(Roster_TypeOfOrganizer=$C$32),--(Roster_WorkshopType=$D$5),--(MONTH(Roster_WorkshopDate)=12),--(YEAR(Roster_WorkshopDate)=D4),Roster_NoOfAttendees)</f>
        <v>#VALUE!</v>
      </c>
      <c r="P32" s="31" t="e">
        <f>SUM(Table3[[#This Row],[Jan]:[Dec]])</f>
        <v>#VALUE!</v>
      </c>
    </row>
    <row r="33" spans="2:16" s="2" customFormat="1">
      <c r="C33" s="20">
        <f>DataSheet!C14</f>
        <v>0</v>
      </c>
      <c r="D33" s="4" t="e">
        <f>SUMPRODUCT(--(Roster_TypeOfOrganizer=$C$33),--(Roster_WorkshopType=$D$5),--(MONTH(Roster_WorkshopDate)=1),--(YEAR(Roster_WorkshopDate)=D4),Roster_NoOfAttendees)</f>
        <v>#VALUE!</v>
      </c>
      <c r="E33" s="4" t="e">
        <f>SUMPRODUCT(--(Roster_TypeOfOrganizer=$C$33),--(Roster_WorkshopType=$D$5),--(MONTH(Roster_WorkshopDate)=2),--(YEAR(Roster_WorkshopDate)=D4),Roster_NoOfAttendees)</f>
        <v>#VALUE!</v>
      </c>
      <c r="F33" s="4" t="e">
        <f>SUMPRODUCT(--(Roster_TypeOfOrganizer=$C$33),--(Roster_WorkshopType=$D$5),--(MONTH(Roster_WorkshopDate)=3),--(YEAR(Roster_WorkshopDate)=D4),Roster_NoOfAttendees)</f>
        <v>#VALUE!</v>
      </c>
      <c r="G33" s="4" t="e">
        <f>SUMPRODUCT(--(Roster_TypeOfOrganizer=$C$33),--(Roster_WorkshopType=$D$5),--(MONTH(Roster_WorkshopDate)=4),--(YEAR(Roster_WorkshopDate)=D4),Roster_NoOfAttendees)</f>
        <v>#VALUE!</v>
      </c>
      <c r="H33" s="4" t="e">
        <f>SUMPRODUCT(--(Roster_TypeOfOrganizer=$C$33),--(Roster_WorkshopType=$D$5),--(MONTH(Roster_WorkshopDate)=5),--(YEAR(Roster_WorkshopDate)=D4),Roster_NoOfAttendees)</f>
        <v>#VALUE!</v>
      </c>
      <c r="I33" s="4" t="e">
        <f>SUMPRODUCT(--(Roster_TypeOfOrganizer=$C$33),--(Roster_WorkshopType=$D$5),--(MONTH(Roster_WorkshopDate)=6),--(YEAR(Roster_WorkshopDate)=D4),Roster_NoOfAttendees)</f>
        <v>#VALUE!</v>
      </c>
      <c r="J33" s="4" t="e">
        <f>SUMPRODUCT(--(Roster_TypeOfOrganizer=$C$33),--(Roster_WorkshopType=$D$5),--(MONTH(Roster_WorkshopDate)=7),--(YEAR(Roster_WorkshopDate)=D4),Roster_NoOfAttendees)</f>
        <v>#VALUE!</v>
      </c>
      <c r="K33" s="4" t="e">
        <f>SUMPRODUCT(--(Roster_TypeOfOrganizer=$C$33),--(Roster_WorkshopType=$D$5),--(MONTH(Roster_WorkshopDate)=8),--(YEAR(Roster_WorkshopDate)=D4),Roster_NoOfAttendees)</f>
        <v>#VALUE!</v>
      </c>
      <c r="L33" s="4" t="e">
        <f>SUMPRODUCT(--(Roster_TypeOfOrganizer=$C$33),--(Roster_WorkshopType=$D$5),--(MONTH(Roster_WorkshopDate)=9),--(YEAR(Roster_WorkshopDate)=D4),Roster_NoOfAttendees)</f>
        <v>#VALUE!</v>
      </c>
      <c r="M33" s="4" t="e">
        <f>SUMPRODUCT(--(Roster_TypeOfOrganizer=$C$33),--(Roster_WorkshopType=$D$5),--(MONTH(Roster_WorkshopDate)=10),--(YEAR(Roster_WorkshopDate)=D4),Roster_NoOfAttendees)</f>
        <v>#VALUE!</v>
      </c>
      <c r="N33" s="4" t="e">
        <f>SUMPRODUCT(--(Roster_TypeOfOrganizer=$C$33),--(Roster_WorkshopType=$D$5),--(MONTH(Roster_WorkshopDate)=11),--(YEAR(Roster_WorkshopDate)=D4),Roster_NoOfAttendees)</f>
        <v>#VALUE!</v>
      </c>
      <c r="O33" s="4" t="e">
        <f>SUMPRODUCT(--(Roster_TypeOfOrganizer=$C$33),--(Roster_WorkshopType=$D$5),--(MONTH(Roster_WorkshopDate)=12),--(YEAR(Roster_WorkshopDate)=D4),Roster_NoOfAttendees)</f>
        <v>#VALUE!</v>
      </c>
      <c r="P33" s="31" t="e">
        <f>SUM(Table3[[#This Row],[Jan]:[Dec]])</f>
        <v>#VALUE!</v>
      </c>
    </row>
    <row r="34" spans="2:16" s="2" customFormat="1">
      <c r="C34" s="20">
        <f>DataSheet!C15</f>
        <v>0</v>
      </c>
      <c r="D34" s="4" t="e">
        <f>SUMPRODUCT(--(Roster_TypeOfOrganizer=$C$34),--(Roster_WorkshopType=$D$5),--(MONTH(Roster_WorkshopDate)=1),--(YEAR(Roster_WorkshopDate)=D4),Roster_NoOfAttendees)</f>
        <v>#VALUE!</v>
      </c>
      <c r="E34" s="4" t="e">
        <f>SUMPRODUCT(--(Roster_TypeOfOrganizer=$C$34),--(Roster_WorkshopType=$D$5),--(MONTH(Roster_WorkshopDate)=2),--(YEAR(Roster_WorkshopDate)=D4),Roster_NoOfAttendees)</f>
        <v>#VALUE!</v>
      </c>
      <c r="F34" s="4" t="e">
        <f>SUMPRODUCT(--(Roster_TypeOfOrganizer=$C$34),--(Roster_WorkshopType=$D$5),--(MONTH(Roster_WorkshopDate)=3),--(YEAR(Roster_WorkshopDate)=D4),Roster_NoOfAttendees)</f>
        <v>#VALUE!</v>
      </c>
      <c r="G34" s="4" t="e">
        <f>SUMPRODUCT(--(Roster_TypeOfOrganizer=$C$34),--(Roster_WorkshopType=$D$5),--(MONTH(Roster_WorkshopDate)=4),--(YEAR(Roster_WorkshopDate)=D4),Roster_NoOfAttendees)</f>
        <v>#VALUE!</v>
      </c>
      <c r="H34" s="4" t="e">
        <f>SUMPRODUCT(--(Roster_TypeOfOrganizer=$C$34),--(Roster_WorkshopType=$D$5),--(MONTH(Roster_WorkshopDate)=5),--(YEAR(Roster_WorkshopDate)=D4),Roster_NoOfAttendees)</f>
        <v>#VALUE!</v>
      </c>
      <c r="I34" s="4" t="e">
        <f>SUMPRODUCT(--(Roster_TypeOfOrganizer=$C$34),--(Roster_WorkshopType=$D$5),--(MONTH(Roster_WorkshopDate)=6),--(YEAR(Roster_WorkshopDate)=D4),Roster_NoOfAttendees)</f>
        <v>#VALUE!</v>
      </c>
      <c r="J34" s="4" t="e">
        <f>SUMPRODUCT(--(Roster_TypeOfOrganizer=$C$34),--(Roster_WorkshopType=$D$5),--(MONTH(Roster_WorkshopDate)=7),--(YEAR(Roster_WorkshopDate)=D4),Roster_NoOfAttendees)</f>
        <v>#VALUE!</v>
      </c>
      <c r="K34" s="4" t="e">
        <f>SUMPRODUCT(--(Roster_TypeOfOrganizer=$C$34),--(Roster_WorkshopType=$D$5),--(MONTH(Roster_WorkshopDate)=8),--(YEAR(Roster_WorkshopDate)=D4),Roster_NoOfAttendees)</f>
        <v>#VALUE!</v>
      </c>
      <c r="L34" s="4" t="e">
        <f>SUMPRODUCT(--(Roster_TypeOfOrganizer=$C$34),--(Roster_WorkshopType=$D$5),--(MONTH(Roster_WorkshopDate)=9),--(YEAR(Roster_WorkshopDate)=D4),Roster_NoOfAttendees)</f>
        <v>#VALUE!</v>
      </c>
      <c r="M34" s="4" t="e">
        <f>SUMPRODUCT(--(Roster_TypeOfOrganizer=$C$34),--(Roster_WorkshopType=$D$5),--(MONTH(Roster_WorkshopDate)=10),--(YEAR(Roster_WorkshopDate)=D4),Roster_NoOfAttendees)</f>
        <v>#VALUE!</v>
      </c>
      <c r="N34" s="4" t="e">
        <f>SUMPRODUCT(--(Roster_TypeOfOrganizer=$C$34),--(Roster_WorkshopType=$D$5),--(MONTH(Roster_WorkshopDate)=11),--(YEAR(Roster_WorkshopDate)=D4),Roster_NoOfAttendees)</f>
        <v>#VALUE!</v>
      </c>
      <c r="O34" s="4" t="e">
        <f>SUMPRODUCT(--(Roster_TypeOfOrganizer=$C$34),--(Roster_WorkshopType=$D$5),--(MONTH(Roster_WorkshopDate)=12),--(YEAR(Roster_WorkshopDate)=D4),Roster_NoOfAttendees)</f>
        <v>#VALUE!</v>
      </c>
      <c r="P34" s="31" t="e">
        <f>SUM(Table3[[#This Row],[Jan]:[Dec]])</f>
        <v>#VALUE!</v>
      </c>
    </row>
    <row r="35" spans="2:16" s="2" customFormat="1">
      <c r="C35" s="20">
        <f>DataSheet!C16</f>
        <v>0</v>
      </c>
      <c r="D35" s="4" t="e">
        <f>SUMPRODUCT(--(Roster_TypeOfOrganizer=$C$35),--(Roster_WorkshopType=$D$5),--(MONTH(Roster_WorkshopDate)=1),--(YEAR(Roster_WorkshopDate)=D4),Roster_NoOfAttendees)</f>
        <v>#VALUE!</v>
      </c>
      <c r="E35" s="4" t="e">
        <f>SUMPRODUCT(--(Roster_TypeOfOrganizer=$C$35),--(Roster_WorkshopType=$D$5),--(MONTH(Roster_WorkshopDate)=2),--(YEAR(Roster_WorkshopDate)=D4),Roster_NoOfAttendees)</f>
        <v>#VALUE!</v>
      </c>
      <c r="F35" s="4" t="e">
        <f>SUMPRODUCT(--(Roster_TypeOfOrganizer=$C$35),--(Roster_WorkshopType=$D$5),--(MONTH(Roster_WorkshopDate)=3),--(YEAR(Roster_WorkshopDate)=D4),Roster_NoOfAttendees)</f>
        <v>#VALUE!</v>
      </c>
      <c r="G35" s="4" t="e">
        <f>SUMPRODUCT(--(Roster_TypeOfOrganizer=$C$35),--(Roster_WorkshopType=$D$5),--(MONTH(Roster_WorkshopDate)=4),--(YEAR(Roster_WorkshopDate)=D4),Roster_NoOfAttendees)</f>
        <v>#VALUE!</v>
      </c>
      <c r="H35" s="4" t="e">
        <f>SUMPRODUCT(--(Roster_TypeOfOrganizer=$C$35),--(Roster_WorkshopType=$D$5),--(MONTH(Roster_WorkshopDate)=5),--(YEAR(Roster_WorkshopDate)=D4),Roster_NoOfAttendees)</f>
        <v>#VALUE!</v>
      </c>
      <c r="I35" s="4" t="e">
        <f>SUMPRODUCT(--(Roster_TypeOfOrganizer=$C$35),--(Roster_WorkshopType=$D$5),--(MONTH(Roster_WorkshopDate)=6),--(YEAR(Roster_WorkshopDate)=D4),Roster_NoOfAttendees)</f>
        <v>#VALUE!</v>
      </c>
      <c r="J35" s="4" t="e">
        <f>SUMPRODUCT(--(Roster_TypeOfOrganizer=$C$35),--(Roster_WorkshopType=$D$5),--(MONTH(Roster_WorkshopDate)=7),--(YEAR(Roster_WorkshopDate)=D4),Roster_NoOfAttendees)</f>
        <v>#VALUE!</v>
      </c>
      <c r="K35" s="4" t="e">
        <f>SUMPRODUCT(--(Roster_TypeOfOrganizer=$C$35),--(Roster_WorkshopType=$D$5),--(MONTH(Roster_WorkshopDate)=8),--(YEAR(Roster_WorkshopDate)=D4),Roster_NoOfAttendees)</f>
        <v>#VALUE!</v>
      </c>
      <c r="L35" s="4" t="e">
        <f>SUMPRODUCT(--(Roster_TypeOfOrganizer=$C$35),--(Roster_WorkshopType=$D$5),--(MONTH(Roster_WorkshopDate)=9),--(YEAR(Roster_WorkshopDate)=D4),Roster_NoOfAttendees)</f>
        <v>#VALUE!</v>
      </c>
      <c r="M35" s="4" t="e">
        <f>SUMPRODUCT(--(Roster_TypeOfOrganizer=$C$35),--(Roster_WorkshopType=$D$5),--(MONTH(Roster_WorkshopDate)=10),--(YEAR(Roster_WorkshopDate)=D4),Roster_NoOfAttendees)</f>
        <v>#VALUE!</v>
      </c>
      <c r="N35" s="4" t="e">
        <f>SUMPRODUCT(--(Roster_TypeOfOrganizer=$C$35),--(Roster_WorkshopType=$D$5),--(MONTH(Roster_WorkshopDate)=11),--(YEAR(Roster_WorkshopDate)=D4),Roster_NoOfAttendees)</f>
        <v>#VALUE!</v>
      </c>
      <c r="O35" s="4" t="e">
        <f>SUMPRODUCT(--(Roster_TypeOfOrganizer=$C$35),--(Roster_WorkshopType=$D$5),--(MONTH(Roster_WorkshopDate)=12),--(YEAR(Roster_WorkshopDate)=D4),Roster_NoOfAttendees)</f>
        <v>#VALUE!</v>
      </c>
      <c r="P35" s="31" t="e">
        <f>SUM(Table3[[#This Row],[Jan]:[Dec]])</f>
        <v>#VALUE!</v>
      </c>
    </row>
    <row r="36" spans="2:16" s="2" customFormat="1">
      <c r="C36" s="20">
        <f>DataSheet!C17</f>
        <v>0</v>
      </c>
      <c r="D36" s="4" t="e">
        <f>SUMPRODUCT(--(Roster_TypeOfOrganizer=$C$36),--(Roster_WorkshopType=$D$5),--(MONTH(Roster_WorkshopDate)=1),--(YEAR(Roster_WorkshopDate)=D4),Roster_NoOfAttendees)</f>
        <v>#VALUE!</v>
      </c>
      <c r="E36" s="4" t="e">
        <f>SUMPRODUCT(--(Roster_TypeOfOrganizer=$C$36),--(Roster_WorkshopType=$D$5),--(MONTH(Roster_WorkshopDate)=2),--(YEAR(Roster_WorkshopDate)=D4),Roster_NoOfAttendees)</f>
        <v>#VALUE!</v>
      </c>
      <c r="F36" s="4" t="e">
        <f>SUMPRODUCT(--(Roster_TypeOfOrganizer=$C$36),--(Roster_WorkshopType=$D$5),--(MONTH(Roster_WorkshopDate)=3),--(YEAR(Roster_WorkshopDate)=D4),Roster_NoOfAttendees)</f>
        <v>#VALUE!</v>
      </c>
      <c r="G36" s="4" t="e">
        <f>SUMPRODUCT(--(Roster_TypeOfOrganizer=$C$36),--(Roster_WorkshopType=$D$5),--(MONTH(Roster_WorkshopDate)=4),--(YEAR(Roster_WorkshopDate)=D4),Roster_NoOfAttendees)</f>
        <v>#VALUE!</v>
      </c>
      <c r="H36" s="4" t="e">
        <f>SUMPRODUCT(--(Roster_TypeOfOrganizer=$C$36),--(Roster_WorkshopType=$D$5),--(MONTH(Roster_WorkshopDate)=5),--(YEAR(Roster_WorkshopDate)=D4),Roster_NoOfAttendees)</f>
        <v>#VALUE!</v>
      </c>
      <c r="I36" s="4" t="e">
        <f>SUMPRODUCT(--(Roster_TypeOfOrganizer=$C$36),--(Roster_WorkshopType=$D$5),--(MONTH(Roster_WorkshopDate)=6),--(YEAR(Roster_WorkshopDate)=D4),Roster_NoOfAttendees)</f>
        <v>#VALUE!</v>
      </c>
      <c r="J36" s="4" t="e">
        <f>SUMPRODUCT(--(Roster_TypeOfOrganizer=$C$36),--(Roster_WorkshopType=$D$5),--(MONTH(Roster_WorkshopDate)=7),--(YEAR(Roster_WorkshopDate)=D4),Roster_NoOfAttendees)</f>
        <v>#VALUE!</v>
      </c>
      <c r="K36" s="4" t="e">
        <f>SUMPRODUCT(--(Roster_TypeOfOrganizer=$C$36),--(Roster_WorkshopType=$D$5),--(MONTH(Roster_WorkshopDate)=8),--(YEAR(Roster_WorkshopDate)=D4),Roster_NoOfAttendees)</f>
        <v>#VALUE!</v>
      </c>
      <c r="L36" s="4" t="e">
        <f>SUMPRODUCT(--(Roster_TypeOfOrganizer=$C$36),--(Roster_WorkshopType=$D$5),--(MONTH(Roster_WorkshopDate)=9),--(YEAR(Roster_WorkshopDate)=D4),Roster_NoOfAttendees)</f>
        <v>#VALUE!</v>
      </c>
      <c r="M36" s="4" t="e">
        <f>SUMPRODUCT(--(Roster_TypeOfOrganizer=$C$36),--(Roster_WorkshopType=$D$5),--(MONTH(Roster_WorkshopDate)=10),--(YEAR(Roster_WorkshopDate)=D4),Roster_NoOfAttendees)</f>
        <v>#VALUE!</v>
      </c>
      <c r="N36" s="4" t="e">
        <f>SUMPRODUCT(--(Roster_TypeOfOrganizer=$C$36),--(Roster_WorkshopType=$D$5),--(MONTH(Roster_WorkshopDate)=11),--(YEAR(Roster_WorkshopDate)=D4),Roster_NoOfAttendees)</f>
        <v>#VALUE!</v>
      </c>
      <c r="O36" s="4" t="e">
        <f>SUMPRODUCT(--(Roster_TypeOfOrganizer=$C$36),--(Roster_WorkshopType=$D$5),--(MONTH(Roster_WorkshopDate)=12),--(YEAR(Roster_WorkshopDate)=D4),Roster_NoOfAttendees)</f>
        <v>#VALUE!</v>
      </c>
      <c r="P36" s="31" t="e">
        <f>SUM(Table3[[#This Row],[Jan]:[Dec]])</f>
        <v>#VALUE!</v>
      </c>
    </row>
    <row r="37" spans="2:16" s="2" customFormat="1"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39"/>
    </row>
    <row r="38" spans="2:16" s="2" customFormat="1" ht="15.75" thickBot="1">
      <c r="C38" s="39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39"/>
    </row>
    <row r="39" spans="2:16" ht="16.5" thickBot="1">
      <c r="C39" s="130" t="s">
        <v>97</v>
      </c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2"/>
    </row>
    <row r="40" spans="2:16" ht="25.5">
      <c r="B40"/>
      <c r="C40" s="28" t="s">
        <v>51</v>
      </c>
      <c r="D40" s="29" t="s">
        <v>37</v>
      </c>
      <c r="E40" s="29" t="s">
        <v>38</v>
      </c>
      <c r="F40" s="29" t="s">
        <v>39</v>
      </c>
      <c r="G40" s="29" t="s">
        <v>40</v>
      </c>
      <c r="H40" s="29" t="s">
        <v>41</v>
      </c>
      <c r="I40" s="29" t="s">
        <v>42</v>
      </c>
      <c r="J40" s="29" t="s">
        <v>43</v>
      </c>
      <c r="K40" s="29" t="s">
        <v>44</v>
      </c>
      <c r="L40" s="29" t="s">
        <v>45</v>
      </c>
      <c r="M40" s="29" t="s">
        <v>46</v>
      </c>
      <c r="N40" s="29" t="s">
        <v>47</v>
      </c>
      <c r="O40" s="29" t="s">
        <v>48</v>
      </c>
      <c r="P40" s="28" t="s">
        <v>28</v>
      </c>
    </row>
    <row r="41" spans="2:16">
      <c r="B41"/>
      <c r="C41" s="25" t="str">
        <f>DataSheet!B1</f>
        <v>Kala B</v>
      </c>
      <c r="D41" s="3" t="e">
        <f>SUMPRODUCT(--(Roster_Trainer=$C$41),--(Roster_WorkshopType=$D$5),--(MONTH(Roster_WorkshopDate)=1),--(YEAR(Roster_WorkshopDate)=$D$4),Roster_NoOfAttendees)</f>
        <v>#VALUE!</v>
      </c>
      <c r="E41" s="3" t="e">
        <f>SUMPRODUCT(--(Roster_Trainer=$C$41),--(Roster_WorkshopType=$D$5),--(MONTH(Roster_WorkshopDate)=2),--(YEAR(Roster_WorkshopDate)=$D$4),Roster_NoOfAttendees)</f>
        <v>#VALUE!</v>
      </c>
      <c r="F41" s="3" t="e">
        <f>SUMPRODUCT(--(Roster_Trainer=$C$41),--(Roster_WorkshopType=$D$5),--(MONTH(Roster_WorkshopDate)=3),--(YEAR(Roster_WorkshopDate)=$D$4),Roster_NoOfAttendees)</f>
        <v>#VALUE!</v>
      </c>
      <c r="G41" s="3" t="e">
        <f>SUMPRODUCT(--(Roster_Trainer=$C$41),--(Roster_WorkshopType=$D$5),--(MONTH(Roster_WorkshopDate)=4),--(YEAR(Roster_WorkshopDate)=$D$4),Roster_NoOfAttendees)</f>
        <v>#VALUE!</v>
      </c>
      <c r="H41" s="3" t="e">
        <f>SUMPRODUCT(--(Roster_Trainer=$C$41),--(Roster_WorkshopType=$D$5),--(MONTH(Roster_WorkshopDate)=5),--(YEAR(Roster_WorkshopDate)=$D$4),Roster_NoOfAttendees)</f>
        <v>#VALUE!</v>
      </c>
      <c r="I41" s="3" t="e">
        <f>SUMPRODUCT(--(Roster_Trainer=$C$41),--(Roster_WorkshopType=$D$5),--(MONTH(Roster_WorkshopDate)=6),--(YEAR(Roster_WorkshopDate)=$D$4),Roster_NoOfAttendees)</f>
        <v>#VALUE!</v>
      </c>
      <c r="J41" s="3" t="e">
        <f>SUMPRODUCT(--(Roster_Trainer=$C$41),--(Roster_WorkshopType=$D$5),--(MONTH(Roster_WorkshopDate)=7),--(YEAR(Roster_WorkshopDate)=$D$4),Roster_NoOfAttendees)</f>
        <v>#VALUE!</v>
      </c>
      <c r="K41" s="3" t="e">
        <f>SUMPRODUCT(--(Roster_Trainer=$C$41),--(Roster_WorkshopType=$D$5),--(MONTH(Roster_WorkshopDate)=8),--(YEAR(Roster_WorkshopDate)=$D$4),Roster_NoOfAttendees)</f>
        <v>#VALUE!</v>
      </c>
      <c r="L41" s="3" t="e">
        <f>SUMPRODUCT(--(Roster_Trainer=$C$41),--(Roster_WorkshopType=$D$5),--(MONTH(Roster_WorkshopDate)=9),--(YEAR(Roster_WorkshopDate)=$D$4),Roster_NoOfAttendees)</f>
        <v>#VALUE!</v>
      </c>
      <c r="M41" s="3" t="e">
        <f>SUMPRODUCT(--(Roster_Trainer=$C$41),--(Roster_WorkshopType=$D$5),--(MONTH(Roster_WorkshopDate)=10),--(YEAR(Roster_WorkshopDate)=$D$4),Roster_NoOfAttendees)</f>
        <v>#VALUE!</v>
      </c>
      <c r="N41" s="3" t="e">
        <f>SUMPRODUCT(--(Roster_Trainer=$C$41),--(Roster_WorkshopType=$D$5),--(MONTH(Roster_WorkshopDate)=11),--(YEAR(Roster_WorkshopDate)=$D$4),Roster_NoOfAttendees)</f>
        <v>#VALUE!</v>
      </c>
      <c r="O41" s="3" t="e">
        <f>SUMPRODUCT(--(Roster_Trainer=$C$41),--(Roster_WorkshopType=$D$5),--(MONTH(Roster_WorkshopDate)=12),--(YEAR(Roster_WorkshopDate)=$D$4),Roster_NoOfAttendees)</f>
        <v>#VALUE!</v>
      </c>
      <c r="P41" s="44" t="e">
        <f>SUM(Table4[[#This Row],[Jan]:[Dec]])</f>
        <v>#VALUE!</v>
      </c>
    </row>
    <row r="42" spans="2:16">
      <c r="B42"/>
      <c r="C42" s="25" t="str">
        <f>DataSheet!B2</f>
        <v>Rajesh</v>
      </c>
      <c r="D42" s="3" t="e">
        <f>SUMPRODUCT(--(Roster_Trainer=$C$42),--(Roster_WorkshopType=$D$5),--(MONTH(Roster_WorkshopDate)=1),--(YEAR(Roster_WorkshopDate)=$D$4),Roster_NoOfAttendees)</f>
        <v>#VALUE!</v>
      </c>
      <c r="E42" s="3" t="e">
        <f>SUMPRODUCT(--(Roster_Trainer=$C$42),--(Roster_WorkshopType=$D$5),--(MONTH(Roster_WorkshopDate)=2),--(YEAR(Roster_WorkshopDate)=$D$4),Roster_NoOfAttendees)</f>
        <v>#VALUE!</v>
      </c>
      <c r="F42" s="3" t="e">
        <f>SUMPRODUCT(--(Roster_Trainer=$C$42),--(Roster_WorkshopType=$D$5),--(MONTH(Roster_WorkshopDate)=3),--(YEAR(Roster_WorkshopDate)=$D$4),Roster_NoOfAttendees)</f>
        <v>#VALUE!</v>
      </c>
      <c r="G42" s="3" t="e">
        <f>SUMPRODUCT(--(Roster_Trainer=$C$42),--(Roster_WorkshopType=$D$5),--(MONTH(Roster_WorkshopDate)=4),--(YEAR(Roster_WorkshopDate)=$D$4),Roster_NoOfAttendees)</f>
        <v>#VALUE!</v>
      </c>
      <c r="H42" s="3" t="e">
        <f>SUMPRODUCT(--(Roster_Trainer=$C$42),--(Roster_WorkshopType=$D$5),--(MONTH(Roster_WorkshopDate)=5),--(YEAR(Roster_WorkshopDate)=$D$4),Roster_NoOfAttendees)</f>
        <v>#VALUE!</v>
      </c>
      <c r="I42" s="3" t="e">
        <f>SUMPRODUCT(--(Roster_Trainer=$C$42),--(Roster_WorkshopType=$D$5),--(MONTH(Roster_WorkshopDate)=6),--(YEAR(Roster_WorkshopDate)=$D$4),Roster_NoOfAttendees)</f>
        <v>#VALUE!</v>
      </c>
      <c r="J42" s="3" t="e">
        <f>SUMPRODUCT(--(Roster_Trainer=$C$42),--(Roster_WorkshopType=$D$5),--(MONTH(Roster_WorkshopDate)=7),--(YEAR(Roster_WorkshopDate)=$D$4),Roster_NoOfAttendees)</f>
        <v>#VALUE!</v>
      </c>
      <c r="K42" s="3" t="e">
        <f>SUMPRODUCT(--(Roster_Trainer=$C$42),--(Roster_WorkshopType=$D$5),--(MONTH(Roster_WorkshopDate)=8),--(YEAR(Roster_WorkshopDate)=$D$4),Roster_NoOfAttendees)</f>
        <v>#VALUE!</v>
      </c>
      <c r="L42" s="3" t="e">
        <f>SUMPRODUCT(--(Roster_Trainer=$C$42),--(Roster_WorkshopType=$D$5),--(MONTH(Roster_WorkshopDate)=9),--(YEAR(Roster_WorkshopDate)=$D$4),Roster_NoOfAttendees)</f>
        <v>#VALUE!</v>
      </c>
      <c r="M42" s="3" t="e">
        <f>SUMPRODUCT(--(Roster_Trainer=$C$42),--(Roster_WorkshopType=$D$5),--(MONTH(Roster_WorkshopDate)=10),--(YEAR(Roster_WorkshopDate)=$D$4),Roster_NoOfAttendees)</f>
        <v>#VALUE!</v>
      </c>
      <c r="N42" s="3" t="e">
        <f>SUMPRODUCT(--(Roster_Trainer=$C$42),--(Roster_WorkshopType=$D$5),--(MONTH(Roster_WorkshopDate)=11),--(YEAR(Roster_WorkshopDate)=$D$4),Roster_NoOfAttendees)</f>
        <v>#VALUE!</v>
      </c>
      <c r="O42" s="3" t="e">
        <f>SUMPRODUCT(--(Roster_Trainer=$C$42),--(Roster_WorkshopType=$D$5),--(MONTH(Roster_WorkshopDate)=12),--(YEAR(Roster_WorkshopDate)=$D$4),Roster_NoOfAttendees)</f>
        <v>#VALUE!</v>
      </c>
      <c r="P42" s="44" t="e">
        <f>SUM(Table4[[#This Row],[Jan]:[Dec]])</f>
        <v>#VALUE!</v>
      </c>
    </row>
    <row r="43" spans="2:16">
      <c r="B43"/>
      <c r="C43" s="25" t="str">
        <f>DataSheet!B3</f>
        <v>Balaji</v>
      </c>
      <c r="D43" s="3" t="e">
        <f>SUMPRODUCT(--(Roster_Trainer=$C$43),--(Roster_WorkshopType=$D$5),--(MONTH(Roster_WorkshopDate)=1),--(YEAR(Roster_WorkshopDate)=$D$4),Roster_NoOfAttendees)</f>
        <v>#VALUE!</v>
      </c>
      <c r="E43" s="3" t="e">
        <f>SUMPRODUCT(--(Roster_Trainer=$C$43),--(Roster_WorkshopType=$D$5),--(MONTH(Roster_WorkshopDate)=2),--(YEAR(Roster_WorkshopDate)=$D$4),Roster_NoOfAttendees)</f>
        <v>#VALUE!</v>
      </c>
      <c r="F43" s="3" t="e">
        <f>SUMPRODUCT(--(Roster_Trainer=$C$43),--(Roster_WorkshopType=$D$5),--(MONTH(Roster_WorkshopDate)=3),--(YEAR(Roster_WorkshopDate)=$D$4),Roster_NoOfAttendees)</f>
        <v>#VALUE!</v>
      </c>
      <c r="G43" s="3" t="e">
        <f>SUMPRODUCT(--(Roster_Trainer=$C$43),--(Roster_WorkshopType=$D$5),--(MONTH(Roster_WorkshopDate)=4),--(YEAR(Roster_WorkshopDate)=$D$4),Roster_NoOfAttendees)</f>
        <v>#VALUE!</v>
      </c>
      <c r="H43" s="3" t="e">
        <f>SUMPRODUCT(--(Roster_Trainer=$C$43),--(Roster_WorkshopType=$D$5),--(MONTH(Roster_WorkshopDate)=5),--(YEAR(Roster_WorkshopDate)=$D$4),Roster_NoOfAttendees)</f>
        <v>#VALUE!</v>
      </c>
      <c r="I43" s="3" t="e">
        <f>SUMPRODUCT(--(Roster_Trainer=$C$43),--(Roster_WorkshopType=$D$5),--(MONTH(Roster_WorkshopDate)=6),--(YEAR(Roster_WorkshopDate)=$D$4),Roster_NoOfAttendees)</f>
        <v>#VALUE!</v>
      </c>
      <c r="J43" s="3" t="e">
        <f>SUMPRODUCT(--(Roster_Trainer=$C$43),--(Roster_WorkshopType=$D$5),--(MONTH(Roster_WorkshopDate)=7),--(YEAR(Roster_WorkshopDate)=$D$4),Roster_NoOfAttendees)</f>
        <v>#VALUE!</v>
      </c>
      <c r="K43" s="3" t="e">
        <f>SUMPRODUCT(--(Roster_Trainer=$C$43),--(Roster_WorkshopType=$D$5),--(MONTH(Roster_WorkshopDate)=8),--(YEAR(Roster_WorkshopDate)=$D$4),Roster_NoOfAttendees)</f>
        <v>#VALUE!</v>
      </c>
      <c r="L43" s="3" t="e">
        <f>SUMPRODUCT(--(Roster_Trainer=$C$43),--(Roster_WorkshopType=$D$5),--(MONTH(Roster_WorkshopDate)=9),--(YEAR(Roster_WorkshopDate)=$D$4),Roster_NoOfAttendees)</f>
        <v>#VALUE!</v>
      </c>
      <c r="M43" s="3" t="e">
        <f>SUMPRODUCT(--(Roster_Trainer=$C$43),--(Roster_WorkshopType=$D$5),--(MONTH(Roster_WorkshopDate)=10),--(YEAR(Roster_WorkshopDate)=$D$4),Roster_NoOfAttendees)</f>
        <v>#VALUE!</v>
      </c>
      <c r="N43" s="3" t="e">
        <f>SUMPRODUCT(--(Roster_Trainer=$C$43),--(Roster_WorkshopType=$D$5),--(MONTH(Roster_WorkshopDate)=11),--(YEAR(Roster_WorkshopDate)=$D$4),Roster_NoOfAttendees)</f>
        <v>#VALUE!</v>
      </c>
      <c r="O43" s="3" t="e">
        <f>SUMPRODUCT(--(Roster_Trainer=$C$43),--(Roster_WorkshopType=$D$5),--(MONTH(Roster_WorkshopDate)=12),--(YEAR(Roster_WorkshopDate)=$D$4),Roster_NoOfAttendees)</f>
        <v>#VALUE!</v>
      </c>
      <c r="P43" s="44" t="e">
        <f>SUM(Table4[[#This Row],[Jan]:[Dec]])</f>
        <v>#VALUE!</v>
      </c>
    </row>
    <row r="44" spans="2:16">
      <c r="B44"/>
      <c r="C44" s="25" t="str">
        <f>DataSheet!B4</f>
        <v>Srivathsan</v>
      </c>
      <c r="D44" s="3" t="e">
        <f>SUMPRODUCT(--(Roster_Trainer=$C$44),--(Roster_WorkshopType=$D$5),--(MONTH(Roster_WorkshopDate)=1),--(YEAR(Roster_WorkshopDate)=$D$4),Roster_NoOfAttendees)</f>
        <v>#VALUE!</v>
      </c>
      <c r="E44" s="3" t="e">
        <f>SUMPRODUCT(--(Roster_Trainer=$C$44),--(Roster_WorkshopType=$D$5),--(MONTH(Roster_WorkshopDate)=2),--(YEAR(Roster_WorkshopDate)=$D$4),Roster_NoOfAttendees)</f>
        <v>#VALUE!</v>
      </c>
      <c r="F44" s="3" t="e">
        <f>SUMPRODUCT(--(Roster_Trainer=$C$44),--(Roster_WorkshopType=$D$5),--(MONTH(Roster_WorkshopDate)=3),--(YEAR(Roster_WorkshopDate)=$D$4),Roster_NoOfAttendees)</f>
        <v>#VALUE!</v>
      </c>
      <c r="G44" s="3" t="e">
        <f>SUMPRODUCT(--(Roster_Trainer=$C$44),--(Roster_WorkshopType=$D$5),--(MONTH(Roster_WorkshopDate)=4),--(YEAR(Roster_WorkshopDate)=$D$4),Roster_NoOfAttendees)</f>
        <v>#VALUE!</v>
      </c>
      <c r="H44" s="3" t="e">
        <f>SUMPRODUCT(--(Roster_Trainer=$C$44),--(Roster_WorkshopType=$D$5),--(MONTH(Roster_WorkshopDate)=5),--(YEAR(Roster_WorkshopDate)=$D$4),Roster_NoOfAttendees)</f>
        <v>#VALUE!</v>
      </c>
      <c r="I44" s="3" t="e">
        <f>SUMPRODUCT(--(Roster_Trainer=$C$44),--(Roster_WorkshopType=$D$5),--(MONTH(Roster_WorkshopDate)=6),--(YEAR(Roster_WorkshopDate)=$D$4),Roster_NoOfAttendees)</f>
        <v>#VALUE!</v>
      </c>
      <c r="J44" s="3" t="e">
        <f>SUMPRODUCT(--(Roster_Trainer=$C$44),--(Roster_WorkshopType=$D$5),--(MONTH(Roster_WorkshopDate)=7),--(YEAR(Roster_WorkshopDate)=$D$4),Roster_NoOfAttendees)</f>
        <v>#VALUE!</v>
      </c>
      <c r="K44" s="3" t="e">
        <f>SUMPRODUCT(--(Roster_Trainer=$C$44),--(Roster_WorkshopType=$D$5),--(MONTH(Roster_WorkshopDate)=8),--(YEAR(Roster_WorkshopDate)=$D$4),Roster_NoOfAttendees)</f>
        <v>#VALUE!</v>
      </c>
      <c r="L44" s="3" t="e">
        <f>SUMPRODUCT(--(Roster_Trainer=$C$44),--(Roster_WorkshopType=$D$5),--(MONTH(Roster_WorkshopDate)=9),--(YEAR(Roster_WorkshopDate)=$D$4),Roster_NoOfAttendees)</f>
        <v>#VALUE!</v>
      </c>
      <c r="M44" s="3" t="e">
        <f>SUMPRODUCT(--(Roster_Trainer=$C$44),--(Roster_WorkshopType=$D$5),--(MONTH(Roster_WorkshopDate)=10),--(YEAR(Roster_WorkshopDate)=$D$4),Roster_NoOfAttendees)</f>
        <v>#VALUE!</v>
      </c>
      <c r="N44" s="3" t="e">
        <f>SUMPRODUCT(--(Roster_Trainer=$C$44),--(Roster_WorkshopType=$D$5),--(MONTH(Roster_WorkshopDate)=11),--(YEAR(Roster_WorkshopDate)=$D$4),Roster_NoOfAttendees)</f>
        <v>#VALUE!</v>
      </c>
      <c r="O44" s="3" t="e">
        <f>SUMPRODUCT(--(Roster_Trainer=$C$44),--(Roster_WorkshopType=$D$5),--(MONTH(Roster_WorkshopDate)=12),--(YEAR(Roster_WorkshopDate)=$D$4),Roster_NoOfAttendees)</f>
        <v>#VALUE!</v>
      </c>
      <c r="P44" s="44" t="e">
        <f>SUM(Table4[[#This Row],[Jan]:[Dec]])</f>
        <v>#VALUE!</v>
      </c>
    </row>
    <row r="45" spans="2:16">
      <c r="B45"/>
      <c r="C45" s="26" t="str">
        <f>DataSheet!B5</f>
        <v>Nalini Ravindran</v>
      </c>
      <c r="D45" s="3" t="e">
        <f>SUMPRODUCT(--(Roster_Trainer=$C$45),--(Roster_WorkshopType=$D$5),--(MONTH(Roster_WorkshopDate)=1),--(YEAR(Roster_WorkshopDate)=$D$4),Roster_NoOfAttendees)</f>
        <v>#VALUE!</v>
      </c>
      <c r="E45" s="3" t="e">
        <f>SUMPRODUCT(--(Roster_Trainer=$C$45),--(Roster_WorkshopType=$D$5),--(MONTH(Roster_WorkshopDate)=2),--(YEAR(Roster_WorkshopDate)=$D$4),Roster_NoOfAttendees)</f>
        <v>#VALUE!</v>
      </c>
      <c r="F45" s="3" t="e">
        <f>SUMPRODUCT(--(Roster_Trainer=$C$45),--(Roster_WorkshopType=$D$5),--(MONTH(Roster_WorkshopDate)=3),--(YEAR(Roster_WorkshopDate)=$D$4),Roster_NoOfAttendees)</f>
        <v>#VALUE!</v>
      </c>
      <c r="G45" s="3" t="e">
        <f>SUMPRODUCT(--(Roster_Trainer=$C$45),--(Roster_WorkshopType=$D$5),--(MONTH(Roster_WorkshopDate)=4),--(YEAR(Roster_WorkshopDate)=$D$4),Roster_NoOfAttendees)</f>
        <v>#VALUE!</v>
      </c>
      <c r="H45" s="3" t="e">
        <f>SUMPRODUCT(--(Roster_Trainer=$C$45),--(Roster_WorkshopType=$D$5),--(MONTH(Roster_WorkshopDate)=5),--(YEAR(Roster_WorkshopDate)=$D$4),Roster_NoOfAttendees)</f>
        <v>#VALUE!</v>
      </c>
      <c r="I45" s="3" t="e">
        <f>SUMPRODUCT(--(Roster_Trainer=$C$45),--(Roster_WorkshopType=$D$5),--(MONTH(Roster_WorkshopDate)=6),--(YEAR(Roster_WorkshopDate)=$D$4),Roster_NoOfAttendees)</f>
        <v>#VALUE!</v>
      </c>
      <c r="J45" s="3" t="e">
        <f>SUMPRODUCT(--(Roster_Trainer=$C$45),--(Roster_WorkshopType=$D$5),--(MONTH(Roster_WorkshopDate)=7),--(YEAR(Roster_WorkshopDate)=$D$4),Roster_NoOfAttendees)</f>
        <v>#VALUE!</v>
      </c>
      <c r="K45" s="3" t="e">
        <f>SUMPRODUCT(--(Roster_Trainer=$C$45),--(Roster_WorkshopType=$D$5),--(MONTH(Roster_WorkshopDate)=8),--(YEAR(Roster_WorkshopDate)=$D$4),Roster_NoOfAttendees)</f>
        <v>#VALUE!</v>
      </c>
      <c r="L45" s="3" t="e">
        <f>SUMPRODUCT(--(Roster_Trainer=$C$45),--(Roster_WorkshopType=$D$5),--(MONTH(Roster_WorkshopDate)=9),--(YEAR(Roster_WorkshopDate)=$D$4),Roster_NoOfAttendees)</f>
        <v>#VALUE!</v>
      </c>
      <c r="M45" s="3" t="e">
        <f>SUMPRODUCT(--(Roster_Trainer=$C$45),--(Roster_WorkshopType=$D$5),--(MONTH(Roster_WorkshopDate)=10),--(YEAR(Roster_WorkshopDate)=$D$4),Roster_NoOfAttendees)</f>
        <v>#VALUE!</v>
      </c>
      <c r="N45" s="3" t="e">
        <f>SUMPRODUCT(--(Roster_Trainer=$C$45),--(Roster_WorkshopType=$D$5),--(MONTH(Roster_WorkshopDate)=11),--(YEAR(Roster_WorkshopDate)=$D$4),Roster_NoOfAttendees)</f>
        <v>#VALUE!</v>
      </c>
      <c r="O45" s="3" t="e">
        <f>SUMPRODUCT(--(Roster_Trainer=$C$45),--(Roster_WorkshopType=$D$5),--(MONTH(Roster_WorkshopDate)=12),--(YEAR(Roster_WorkshopDate)=$D$4),Roster_NoOfAttendees)</f>
        <v>#VALUE!</v>
      </c>
      <c r="P45" s="44" t="e">
        <f>SUM(Table4[[#This Row],[Jan]:[Dec]])</f>
        <v>#VALUE!</v>
      </c>
    </row>
    <row r="46" spans="2:16">
      <c r="B46"/>
      <c r="C46" s="26" t="str">
        <f>DataSheet!B6</f>
        <v>Vasudevan</v>
      </c>
      <c r="D46" s="3" t="e">
        <f>SUMPRODUCT(--(Roster_Trainer=$C$46),--(Roster_WorkshopType=$D$5),--(MONTH(Roster_WorkshopDate)=1),--(YEAR(Roster_WorkshopDate)=$D$4),Roster_NoOfAttendees)</f>
        <v>#VALUE!</v>
      </c>
      <c r="E46" s="3" t="e">
        <f>SUMPRODUCT(--(Roster_Trainer=$C$46),--(Roster_WorkshopType=$D$5),--(MONTH(Roster_WorkshopDate)=2),--(YEAR(Roster_WorkshopDate)=$D$4),Roster_NoOfAttendees)</f>
        <v>#VALUE!</v>
      </c>
      <c r="F46" s="3" t="e">
        <f>SUMPRODUCT(--(Roster_Trainer=$C$46),--(Roster_WorkshopType=$D$5),--(MONTH(Roster_WorkshopDate)=3),--(YEAR(Roster_WorkshopDate)=$D$4),Roster_NoOfAttendees)</f>
        <v>#VALUE!</v>
      </c>
      <c r="G46" s="3" t="e">
        <f>SUMPRODUCT(--(Roster_Trainer=$C$46),--(Roster_WorkshopType=$D$5),--(MONTH(Roster_WorkshopDate)=4),--(YEAR(Roster_WorkshopDate)=$D$4),Roster_NoOfAttendees)</f>
        <v>#VALUE!</v>
      </c>
      <c r="H46" s="3" t="e">
        <f>SUMPRODUCT(--(Roster_Trainer=$C$46),--(Roster_WorkshopType=$D$5),--(MONTH(Roster_WorkshopDate)=5),--(YEAR(Roster_WorkshopDate)=$D$4),Roster_NoOfAttendees)</f>
        <v>#VALUE!</v>
      </c>
      <c r="I46" s="3" t="e">
        <f>SUMPRODUCT(--(Roster_Trainer=$C$46),--(Roster_WorkshopType=$D$5),--(MONTH(Roster_WorkshopDate)=6),--(YEAR(Roster_WorkshopDate)=$D$4),Roster_NoOfAttendees)</f>
        <v>#VALUE!</v>
      </c>
      <c r="J46" s="3" t="e">
        <f>SUMPRODUCT(--(Roster_Trainer=$C$46),--(Roster_WorkshopType=$D$5),--(MONTH(Roster_WorkshopDate)=7),--(YEAR(Roster_WorkshopDate)=$D$4),Roster_NoOfAttendees)</f>
        <v>#VALUE!</v>
      </c>
      <c r="K46" s="3" t="e">
        <f>SUMPRODUCT(--(Roster_Trainer=$C$46),--(Roster_WorkshopType=$D$5),--(MONTH(Roster_WorkshopDate)=8),--(YEAR(Roster_WorkshopDate)=$D$4),Roster_NoOfAttendees)</f>
        <v>#VALUE!</v>
      </c>
      <c r="L46" s="3" t="e">
        <f>SUMPRODUCT(--(Roster_Trainer=$C$46),--(Roster_WorkshopType=$D$5),--(MONTH(Roster_WorkshopDate)=9),--(YEAR(Roster_WorkshopDate)=$D$4),Roster_NoOfAttendees)</f>
        <v>#VALUE!</v>
      </c>
      <c r="M46" s="3" t="e">
        <f>SUMPRODUCT(--(Roster_Trainer=$C$46),--(Roster_WorkshopType=$D$5),--(MONTH(Roster_WorkshopDate)=10),--(YEAR(Roster_WorkshopDate)=$D$4),Roster_NoOfAttendees)</f>
        <v>#VALUE!</v>
      </c>
      <c r="N46" s="3" t="e">
        <f>SUMPRODUCT(--(Roster_Trainer=$C$46),--(Roster_WorkshopType=$D$5),--(MONTH(Roster_WorkshopDate)=11),--(YEAR(Roster_WorkshopDate)=$D$4),Roster_NoOfAttendees)</f>
        <v>#VALUE!</v>
      </c>
      <c r="O46" s="3" t="e">
        <f>SUMPRODUCT(--(Roster_Trainer=$C$46),--(Roster_WorkshopType=$D$5),--(MONTH(Roster_WorkshopDate)=12),--(YEAR(Roster_WorkshopDate)=$D$4),Roster_NoOfAttendees)</f>
        <v>#VALUE!</v>
      </c>
      <c r="P46" s="44" t="e">
        <f>SUM(Table4[[#This Row],[Jan]:[Dec]])</f>
        <v>#VALUE!</v>
      </c>
    </row>
    <row r="47" spans="2:16">
      <c r="B47"/>
      <c r="C47" s="26" t="str">
        <f>DataSheet!B7</f>
        <v>Srikanth</v>
      </c>
      <c r="D47" s="3" t="e">
        <f>SUMPRODUCT(--(Roster_Trainer=$C$47),--(Roster_WorkshopType=$D$5),--(MONTH(Roster_WorkshopDate)=1),--(YEAR(Roster_WorkshopDate)=$D$4),Roster_NoOfAttendees)</f>
        <v>#VALUE!</v>
      </c>
      <c r="E47" s="3" t="e">
        <f>SUMPRODUCT(--(Roster_Trainer=$C$47),--(Roster_WorkshopType=$D$5),--(MONTH(Roster_WorkshopDate)=2),--(YEAR(Roster_WorkshopDate)=$D$4),Roster_NoOfAttendees)</f>
        <v>#VALUE!</v>
      </c>
      <c r="F47" s="3" t="e">
        <f>SUMPRODUCT(--(Roster_Trainer=$C$47),--(Roster_WorkshopType=$D$5),--(MONTH(Roster_WorkshopDate)=3),--(YEAR(Roster_WorkshopDate)=$D$4),Roster_NoOfAttendees)</f>
        <v>#VALUE!</v>
      </c>
      <c r="G47" s="3" t="e">
        <f>SUMPRODUCT(--(Roster_Trainer=$C$47),--(Roster_WorkshopType=$D$5),--(MONTH(Roster_WorkshopDate)=4),--(YEAR(Roster_WorkshopDate)=$D$4),Roster_NoOfAttendees)</f>
        <v>#VALUE!</v>
      </c>
      <c r="H47" s="3" t="e">
        <f>SUMPRODUCT(--(Roster_Trainer=$C$47),--(Roster_WorkshopType=$D$5),--(MONTH(Roster_WorkshopDate)=5),--(YEAR(Roster_WorkshopDate)=$D$4),Roster_NoOfAttendees)</f>
        <v>#VALUE!</v>
      </c>
      <c r="I47" s="3" t="e">
        <f>SUMPRODUCT(--(Roster_Trainer=$C$47),--(Roster_WorkshopType=$D$5),--(MONTH(Roster_WorkshopDate)=6),--(YEAR(Roster_WorkshopDate)=$D$4),Roster_NoOfAttendees)</f>
        <v>#VALUE!</v>
      </c>
      <c r="J47" s="3" t="e">
        <f>SUMPRODUCT(--(Roster_Trainer=$C$47),--(Roster_WorkshopType=$D$5),--(MONTH(Roster_WorkshopDate)=7),--(YEAR(Roster_WorkshopDate)=$D$4),Roster_NoOfAttendees)</f>
        <v>#VALUE!</v>
      </c>
      <c r="K47" s="3" t="e">
        <f>SUMPRODUCT(--(Roster_Trainer=$C$47),--(Roster_WorkshopType=$D$5),--(MONTH(Roster_WorkshopDate)=8),--(YEAR(Roster_WorkshopDate)=$D$4),Roster_NoOfAttendees)</f>
        <v>#VALUE!</v>
      </c>
      <c r="L47" s="3" t="e">
        <f>SUMPRODUCT(--(Roster_Trainer=$C$47),--(Roster_WorkshopType=$D$5),--(MONTH(Roster_WorkshopDate)=9),--(YEAR(Roster_WorkshopDate)=$D$4),Roster_NoOfAttendees)</f>
        <v>#VALUE!</v>
      </c>
      <c r="M47" s="3" t="e">
        <f>SUMPRODUCT(--(Roster_Trainer=$C$47),--(Roster_WorkshopType=$D$5),--(MONTH(Roster_WorkshopDate)=10),--(YEAR(Roster_WorkshopDate)=$D$4),Roster_NoOfAttendees)</f>
        <v>#VALUE!</v>
      </c>
      <c r="N47" s="3" t="e">
        <f>SUMPRODUCT(--(Roster_Trainer=$C$47),--(Roster_WorkshopType=$D$5),--(MONTH(Roster_WorkshopDate)=11),--(YEAR(Roster_WorkshopDate)=$D$4),Roster_NoOfAttendees)</f>
        <v>#VALUE!</v>
      </c>
      <c r="O47" s="3" t="e">
        <f>SUMPRODUCT(--(Roster_Trainer=$C$47),--(Roster_WorkshopType=$D$5),--(MONTH(Roster_WorkshopDate)=12),--(YEAR(Roster_WorkshopDate)=$D$4),Roster_NoOfAttendees)</f>
        <v>#VALUE!</v>
      </c>
      <c r="P47" s="44" t="e">
        <f>SUM(Table4[[#This Row],[Jan]:[Dec]])</f>
        <v>#VALUE!</v>
      </c>
    </row>
    <row r="48" spans="2:16">
      <c r="B48"/>
      <c r="C48" s="25" t="str">
        <f>DataSheet!B8</f>
        <v>Dileep</v>
      </c>
      <c r="D48" s="3" t="e">
        <f>SUMPRODUCT(--(Roster_Trainer=$C$48),--(Roster_WorkshopType=$D$5),--(MONTH(Roster_WorkshopDate)=1),--(YEAR(Roster_WorkshopDate)=$D$4),Roster_NoOfAttendees)</f>
        <v>#VALUE!</v>
      </c>
      <c r="E48" s="3" t="e">
        <f>SUMPRODUCT(--(Roster_Trainer=$C$48),--(Roster_WorkshopType=$D$5),--(MONTH(Roster_WorkshopDate)=2),--(YEAR(Roster_WorkshopDate)=$D$4),Roster_NoOfAttendees)</f>
        <v>#VALUE!</v>
      </c>
      <c r="F48" s="3" t="e">
        <f>SUMPRODUCT(--(Roster_Trainer=$C$48),--(Roster_WorkshopType=$D$5),--(MONTH(Roster_WorkshopDate)=3),--(YEAR(Roster_WorkshopDate)=$D$4),Roster_NoOfAttendees)</f>
        <v>#VALUE!</v>
      </c>
      <c r="G48" s="3" t="e">
        <f>SUMPRODUCT(--(Roster_Trainer=$C$48),--(Roster_WorkshopType=$D$5),--(MONTH(Roster_WorkshopDate)=4),--(YEAR(Roster_WorkshopDate)=$D$4),Roster_NoOfAttendees)</f>
        <v>#VALUE!</v>
      </c>
      <c r="H48" s="3" t="e">
        <f>SUMPRODUCT(--(Roster_Trainer=$C$48),--(Roster_WorkshopType=$D$5),--(MONTH(Roster_WorkshopDate)=5),--(YEAR(Roster_WorkshopDate)=$D$4),Roster_NoOfAttendees)</f>
        <v>#VALUE!</v>
      </c>
      <c r="I48" s="3" t="e">
        <f>SUMPRODUCT(--(Roster_Trainer=$C$48),--(Roster_WorkshopType=$D$5),--(MONTH(Roster_WorkshopDate)=6),--(YEAR(Roster_WorkshopDate)=$D$4),Roster_NoOfAttendees)</f>
        <v>#VALUE!</v>
      </c>
      <c r="J48" s="3" t="e">
        <f>SUMPRODUCT(--(Roster_Trainer=$C$48),--(Roster_WorkshopType=$D$5),--(MONTH(Roster_WorkshopDate)=7),--(YEAR(Roster_WorkshopDate)=$D$4),Roster_NoOfAttendees)</f>
        <v>#VALUE!</v>
      </c>
      <c r="K48" s="3" t="e">
        <f>SUMPRODUCT(--(Roster_Trainer=$C$48),--(Roster_WorkshopType=$D$5),--(MONTH(Roster_WorkshopDate)=8),--(YEAR(Roster_WorkshopDate)=$D$4),Roster_NoOfAttendees)</f>
        <v>#VALUE!</v>
      </c>
      <c r="L48" s="3" t="e">
        <f>SUMPRODUCT(--(Roster_Trainer=$C$48),--(Roster_WorkshopType=$D$5),--(MONTH(Roster_WorkshopDate)=9),--(YEAR(Roster_WorkshopDate)=$D$4),Roster_NoOfAttendees)</f>
        <v>#VALUE!</v>
      </c>
      <c r="M48" s="3" t="e">
        <f>SUMPRODUCT(--(Roster_Trainer=$C$48),--(Roster_WorkshopType=$D$5),--(MONTH(Roster_WorkshopDate)=10),--(YEAR(Roster_WorkshopDate)=$D$4),Roster_NoOfAttendees)</f>
        <v>#VALUE!</v>
      </c>
      <c r="N48" s="3" t="e">
        <f>SUMPRODUCT(--(Roster_Trainer=$C$48),--(Roster_WorkshopType=$D$5),--(MONTH(Roster_WorkshopDate)=11),--(YEAR(Roster_WorkshopDate)=$D$4),Roster_NoOfAttendees)</f>
        <v>#VALUE!</v>
      </c>
      <c r="O48" s="3" t="e">
        <f>SUMPRODUCT(--(Roster_Trainer=$C$48),--(Roster_WorkshopType=$D$5),--(MONTH(Roster_WorkshopDate)=12),--(YEAR(Roster_WorkshopDate)=$D$4),Roster_NoOfAttendees)</f>
        <v>#VALUE!</v>
      </c>
      <c r="P48" s="44" t="e">
        <f>SUM(Table4[[#This Row],[Jan]:[Dec]])</f>
        <v>#VALUE!</v>
      </c>
    </row>
    <row r="49" spans="2:16">
      <c r="B49"/>
      <c r="C49" s="25" t="str">
        <f>DataSheet!B9</f>
        <v>Karthik</v>
      </c>
      <c r="D49" s="3" t="e">
        <f>SUMPRODUCT(--(Roster_Trainer=$C$49),--(Roster_WorkshopType=$D$5),--(MONTH(Roster_WorkshopDate)=1),--(YEAR(Roster_WorkshopDate)=$D$4),Roster_NoOfAttendees)</f>
        <v>#VALUE!</v>
      </c>
      <c r="E49" s="3" t="e">
        <f>SUMPRODUCT(--(Roster_Trainer=$C$49),--(Roster_WorkshopType=$D$5),--(MONTH(Roster_WorkshopDate)=2),--(YEAR(Roster_WorkshopDate)=$D$4),Roster_NoOfAttendees)</f>
        <v>#VALUE!</v>
      </c>
      <c r="F49" s="3" t="e">
        <f>SUMPRODUCT(--(Roster_Trainer=$C$49),--(Roster_WorkshopType=$D$5),--(MONTH(Roster_WorkshopDate)=3),--(YEAR(Roster_WorkshopDate)=$D$4),Roster_NoOfAttendees)</f>
        <v>#VALUE!</v>
      </c>
      <c r="G49" s="3" t="e">
        <f>SUMPRODUCT(--(Roster_Trainer=$C$49),--(Roster_WorkshopType=$D$5),--(MONTH(Roster_WorkshopDate)=4),--(YEAR(Roster_WorkshopDate)=$D$4),Roster_NoOfAttendees)</f>
        <v>#VALUE!</v>
      </c>
      <c r="H49" s="3" t="e">
        <f>SUMPRODUCT(--(Roster_Trainer=$C$49),--(Roster_WorkshopType=$D$5),--(MONTH(Roster_WorkshopDate)=5),--(YEAR(Roster_WorkshopDate)=$D$4),Roster_NoOfAttendees)</f>
        <v>#VALUE!</v>
      </c>
      <c r="I49" s="3" t="e">
        <f>SUMPRODUCT(--(Roster_Trainer=$C$49),--(Roster_WorkshopType=$D$5),--(MONTH(Roster_WorkshopDate)=6),--(YEAR(Roster_WorkshopDate)=$D$4),Roster_NoOfAttendees)</f>
        <v>#VALUE!</v>
      </c>
      <c r="J49" s="3" t="e">
        <f>SUMPRODUCT(--(Roster_Trainer=$C$49),--(Roster_WorkshopType=$D$5),--(MONTH(Roster_WorkshopDate)=7),--(YEAR(Roster_WorkshopDate)=$D$4),Roster_NoOfAttendees)</f>
        <v>#VALUE!</v>
      </c>
      <c r="K49" s="3" t="e">
        <f>SUMPRODUCT(--(Roster_Trainer=$C$49),--(Roster_WorkshopType=$D$5),--(MONTH(Roster_WorkshopDate)=8),--(YEAR(Roster_WorkshopDate)=$D$4),Roster_NoOfAttendees)</f>
        <v>#VALUE!</v>
      </c>
      <c r="L49" s="3" t="e">
        <f>SUMPRODUCT(--(Roster_Trainer=$C$49),--(Roster_WorkshopType=$D$5),--(MONTH(Roster_WorkshopDate)=9),--(YEAR(Roster_WorkshopDate)=$D$4),Roster_NoOfAttendees)</f>
        <v>#VALUE!</v>
      </c>
      <c r="M49" s="3" t="e">
        <f>SUMPRODUCT(--(Roster_Trainer=$C$49),--(Roster_WorkshopType=$D$5),--(MONTH(Roster_WorkshopDate)=10),--(YEAR(Roster_WorkshopDate)=$D$4),Roster_NoOfAttendees)</f>
        <v>#VALUE!</v>
      </c>
      <c r="N49" s="3" t="e">
        <f>SUMPRODUCT(--(Roster_Trainer=$C$49),--(Roster_WorkshopType=$D$5),--(MONTH(Roster_WorkshopDate)=11),--(YEAR(Roster_WorkshopDate)=$D$4),Roster_NoOfAttendees)</f>
        <v>#VALUE!</v>
      </c>
      <c r="O49" s="3" t="e">
        <f>SUMPRODUCT(--(Roster_Trainer=$C$49),--(Roster_WorkshopType=$D$5),--(MONTH(Roster_WorkshopDate)=12),--(YEAR(Roster_WorkshopDate)=$D$4),Roster_NoOfAttendees)</f>
        <v>#VALUE!</v>
      </c>
      <c r="P49" s="44" t="e">
        <f>SUM(Table4[[#This Row],[Jan]:[Dec]])</f>
        <v>#VALUE!</v>
      </c>
    </row>
    <row r="50" spans="2:16">
      <c r="B50"/>
      <c r="C50" s="25" t="str">
        <f>DataSheet!B10</f>
        <v>Murli</v>
      </c>
      <c r="D50" s="3" t="e">
        <f>SUMPRODUCT(--(Roster_Trainer=$C$50),--(Roster_WorkshopType=$D$5),--(MONTH(Roster_WorkshopDate)=1),--(YEAR(Roster_WorkshopDate)=$D$4),Roster_NoOfAttendees)</f>
        <v>#VALUE!</v>
      </c>
      <c r="E50" s="3" t="e">
        <f>SUMPRODUCT(--(Roster_Trainer=$C$50),--(Roster_WorkshopType=$D$5),--(MONTH(Roster_WorkshopDate)=2),--(YEAR(Roster_WorkshopDate)=$D$4),Roster_NoOfAttendees)</f>
        <v>#VALUE!</v>
      </c>
      <c r="F50" s="3" t="e">
        <f>SUMPRODUCT(--(Roster_Trainer=$C$50),--(Roster_WorkshopType=$D$5),--(MONTH(Roster_WorkshopDate)=3),--(YEAR(Roster_WorkshopDate)=$D$4),Roster_NoOfAttendees)</f>
        <v>#VALUE!</v>
      </c>
      <c r="G50" s="3" t="e">
        <f>SUMPRODUCT(--(Roster_Trainer=$C$50),--(Roster_WorkshopType=$D$5),--(MONTH(Roster_WorkshopDate)=4),--(YEAR(Roster_WorkshopDate)=$D$4),Roster_NoOfAttendees)</f>
        <v>#VALUE!</v>
      </c>
      <c r="H50" s="3" t="e">
        <f>SUMPRODUCT(--(Roster_Trainer=$C$50),--(Roster_WorkshopType=$D$5),--(MONTH(Roster_WorkshopDate)=5),--(YEAR(Roster_WorkshopDate)=$D$4),Roster_NoOfAttendees)</f>
        <v>#VALUE!</v>
      </c>
      <c r="I50" s="3" t="e">
        <f>SUMPRODUCT(--(Roster_Trainer=$C$50),--(Roster_WorkshopType=$D$5),--(MONTH(Roster_WorkshopDate)=6),--(YEAR(Roster_WorkshopDate)=$D$4),Roster_NoOfAttendees)</f>
        <v>#VALUE!</v>
      </c>
      <c r="J50" s="3" t="e">
        <f>SUMPRODUCT(--(Roster_Trainer=$C$50),--(Roster_WorkshopType=$D$5),--(MONTH(Roster_WorkshopDate)=7),--(YEAR(Roster_WorkshopDate)=$D$4),Roster_NoOfAttendees)</f>
        <v>#VALUE!</v>
      </c>
      <c r="K50" s="3" t="e">
        <f>SUMPRODUCT(--(Roster_Trainer=$C$50),--(Roster_WorkshopType=$D$5),--(MONTH(Roster_WorkshopDate)=8),--(YEAR(Roster_WorkshopDate)=$D$4),Roster_NoOfAttendees)</f>
        <v>#VALUE!</v>
      </c>
      <c r="L50" s="3" t="e">
        <f>SUMPRODUCT(--(Roster_Trainer=$C$50),--(Roster_WorkshopType=$D$5),--(MONTH(Roster_WorkshopDate)=9),--(YEAR(Roster_WorkshopDate)=$D$4),Roster_NoOfAttendees)</f>
        <v>#VALUE!</v>
      </c>
      <c r="M50" s="3" t="e">
        <f>SUMPRODUCT(--(Roster_Trainer=$C$50),--(Roster_WorkshopType=$D$5),--(MONTH(Roster_WorkshopDate)=10),--(YEAR(Roster_WorkshopDate)=$D$4),Roster_NoOfAttendees)</f>
        <v>#VALUE!</v>
      </c>
      <c r="N50" s="3" t="e">
        <f>SUMPRODUCT(--(Roster_Trainer=$C$50),--(Roster_WorkshopType=$D$5),--(MONTH(Roster_WorkshopDate)=11),--(YEAR(Roster_WorkshopDate)=$D$4),Roster_NoOfAttendees)</f>
        <v>#VALUE!</v>
      </c>
      <c r="O50" s="3" t="e">
        <f>SUMPRODUCT(--(Roster_Trainer=$C$50),--(Roster_WorkshopType=$D$5),--(MONTH(Roster_WorkshopDate)=12),--(YEAR(Roster_WorkshopDate)=$D$4),Roster_NoOfAttendees)</f>
        <v>#VALUE!</v>
      </c>
      <c r="P50" s="44" t="e">
        <f>SUM(Table4[[#This Row],[Jan]:[Dec]])</f>
        <v>#VALUE!</v>
      </c>
    </row>
    <row r="51" spans="2:16" hidden="1">
      <c r="B51"/>
      <c r="C51" s="25">
        <f>DataSheet!B11</f>
        <v>0</v>
      </c>
      <c r="D51" s="3" t="e">
        <f>SUMPRODUCT(--(Roster_Trainer=$C$51),--(Roster_WorkshopType=$D$5),--(MONTH(Roster_WorkshopDate)=1),--(YEAR(Roster_WorkshopDate)=$D$4),Roster_NoOfAttendees)</f>
        <v>#VALUE!</v>
      </c>
      <c r="E51" s="3" t="e">
        <f>SUMPRODUCT(--(Roster_Trainer=$C$51),--(Roster_WorkshopType=$D$5),--(MONTH(Roster_WorkshopDate)=2),--(YEAR(Roster_WorkshopDate)=$D$4),Roster_NoOfAttendees)</f>
        <v>#VALUE!</v>
      </c>
      <c r="F51" s="3" t="e">
        <f>SUMPRODUCT(--(Roster_Trainer=$C$51),--(Roster_WorkshopType=$D$5),--(MONTH(Roster_WorkshopDate)=3),--(YEAR(Roster_WorkshopDate)=$D$4),Roster_NoOfAttendees)</f>
        <v>#VALUE!</v>
      </c>
      <c r="G51" s="3" t="e">
        <f>SUMPRODUCT(--(Roster_Trainer=$C$51),--(Roster_WorkshopType=$D$5),--(MONTH(Roster_WorkshopDate)=4),--(YEAR(Roster_WorkshopDate)=$D$4),Roster_NoOfAttendees)</f>
        <v>#VALUE!</v>
      </c>
      <c r="H51" s="3" t="e">
        <f>SUMPRODUCT(--(Roster_Trainer=$C$51),--(Roster_WorkshopType=$D$5),--(MONTH(Roster_WorkshopDate)=5),--(YEAR(Roster_WorkshopDate)=$D$4),Roster_NoOfAttendees)</f>
        <v>#VALUE!</v>
      </c>
      <c r="I51" s="3" t="e">
        <f>SUMPRODUCT(--(Roster_Trainer=$C$51),--(Roster_WorkshopType=$D$5),--(MONTH(Roster_WorkshopDate)=6),--(YEAR(Roster_WorkshopDate)=$D$4),Roster_NoOfAttendees)</f>
        <v>#VALUE!</v>
      </c>
      <c r="J51" s="3" t="e">
        <f>SUMPRODUCT(--(Roster_Trainer=$C$51),--(Roster_WorkshopType=$D$5),--(MONTH(Roster_WorkshopDate)=7),--(YEAR(Roster_WorkshopDate)=$D$4),Roster_NoOfAttendees)</f>
        <v>#VALUE!</v>
      </c>
      <c r="K51" s="3" t="e">
        <f>SUMPRODUCT(--(Roster_Trainer=$C$51),--(Roster_WorkshopType=$D$5),--(MONTH(Roster_WorkshopDate)=8),--(YEAR(Roster_WorkshopDate)=$D$4),Roster_NoOfAttendees)</f>
        <v>#VALUE!</v>
      </c>
      <c r="L51" s="3" t="e">
        <f>SUMPRODUCT(--(Roster_Trainer=$C$51),--(Roster_WorkshopType=$D$5),--(MONTH(Roster_WorkshopDate)=9),--(YEAR(Roster_WorkshopDate)=$D$4),Roster_NoOfAttendees)</f>
        <v>#VALUE!</v>
      </c>
      <c r="M51" s="3" t="e">
        <f>SUMPRODUCT(--(Roster_Trainer=$C$51),--(Roster_WorkshopType=$D$5),--(MONTH(Roster_WorkshopDate)=10),--(YEAR(Roster_WorkshopDate)=$D$4),Roster_NoOfAttendees)</f>
        <v>#VALUE!</v>
      </c>
      <c r="N51" s="3" t="e">
        <f>SUMPRODUCT(--(Roster_Trainer=$C$51),--(Roster_WorkshopType=$D$5),--(MONTH(Roster_WorkshopDate)=11),--(YEAR(Roster_WorkshopDate)=$D$4),Roster_NoOfAttendees)</f>
        <v>#VALUE!</v>
      </c>
      <c r="O51" s="3" t="e">
        <f>SUMPRODUCT(--(Roster_Trainer=$C$51),--(Roster_WorkshopType=$D$5),--(MONTH(Roster_WorkshopDate)=12),--(YEAR(Roster_WorkshopDate)=$D$4),Roster_NoOfAttendees)</f>
        <v>#VALUE!</v>
      </c>
      <c r="P51" s="44" t="e">
        <f>SUM(Table4[[#This Row],[Jan]:[Dec]])</f>
        <v>#VALUE!</v>
      </c>
    </row>
    <row r="52" spans="2:16" hidden="1">
      <c r="B52"/>
      <c r="C52" s="25">
        <f>DataSheet!B12</f>
        <v>0</v>
      </c>
      <c r="D52" s="3" t="e">
        <f>SUMPRODUCT(--(Roster_Trainer=$C$52),--(Roster_WorkshopType=$D$5),--(MONTH(Roster_WorkshopDate)=1),--(YEAR(Roster_WorkshopDate)=$D$4),Roster_NoOfAttendees)</f>
        <v>#VALUE!</v>
      </c>
      <c r="E52" s="3" t="e">
        <f>SUMPRODUCT(--(Roster_Trainer=$C$52),--(Roster_WorkshopType=$D$5),--(MONTH(Roster_WorkshopDate)=2),--(YEAR(Roster_WorkshopDate)=$D$4),Roster_NoOfAttendees)</f>
        <v>#VALUE!</v>
      </c>
      <c r="F52" s="3" t="e">
        <f>SUMPRODUCT(--(Roster_Trainer=$C$52),--(Roster_WorkshopType=$D$5),--(MONTH(Roster_WorkshopDate)=3),--(YEAR(Roster_WorkshopDate)=$D$4),Roster_NoOfAttendees)</f>
        <v>#VALUE!</v>
      </c>
      <c r="G52" s="3" t="e">
        <f>SUMPRODUCT(--(Roster_Trainer=$C$52),--(Roster_WorkshopType=$D$5),--(MONTH(Roster_WorkshopDate)=4),--(YEAR(Roster_WorkshopDate)=$D$4),Roster_NoOfAttendees)</f>
        <v>#VALUE!</v>
      </c>
      <c r="H52" s="3" t="e">
        <f>SUMPRODUCT(--(Roster_Trainer=$C$52),--(Roster_WorkshopType=$D$5),--(MONTH(Roster_WorkshopDate)=5),--(YEAR(Roster_WorkshopDate)=$D$4),Roster_NoOfAttendees)</f>
        <v>#VALUE!</v>
      </c>
      <c r="I52" s="3" t="e">
        <f>SUMPRODUCT(--(Roster_Trainer=$C$52),--(Roster_WorkshopType=$D$5),--(MONTH(Roster_WorkshopDate)=6),--(YEAR(Roster_WorkshopDate)=$D$4),Roster_NoOfAttendees)</f>
        <v>#VALUE!</v>
      </c>
      <c r="J52" s="3" t="e">
        <f>SUMPRODUCT(--(Roster_Trainer=$C$52),--(Roster_WorkshopType=$D$5),--(MONTH(Roster_WorkshopDate)=7),--(YEAR(Roster_WorkshopDate)=$D$4),Roster_NoOfAttendees)</f>
        <v>#VALUE!</v>
      </c>
      <c r="K52" s="3" t="e">
        <f>SUMPRODUCT(--(Roster_Trainer=$C$52),--(Roster_WorkshopType=$D$5),--(MONTH(Roster_WorkshopDate)=8),--(YEAR(Roster_WorkshopDate)=$D$4),Roster_NoOfAttendees)</f>
        <v>#VALUE!</v>
      </c>
      <c r="L52" s="3" t="e">
        <f>SUMPRODUCT(--(Roster_Trainer=$C$52),--(Roster_WorkshopType=$D$5),--(MONTH(Roster_WorkshopDate)=9),--(YEAR(Roster_WorkshopDate)=$D$4),Roster_NoOfAttendees)</f>
        <v>#VALUE!</v>
      </c>
      <c r="M52" s="3" t="e">
        <f>SUMPRODUCT(--(Roster_Trainer=$C$52),--(Roster_WorkshopType=$D$5),--(MONTH(Roster_WorkshopDate)=10),--(YEAR(Roster_WorkshopDate)=$D$4),Roster_NoOfAttendees)</f>
        <v>#VALUE!</v>
      </c>
      <c r="N52" s="3" t="e">
        <f>SUMPRODUCT(--(Roster_Trainer=$C$52),--(Roster_WorkshopType=$D$5),--(MONTH(Roster_WorkshopDate)=11),--(YEAR(Roster_WorkshopDate)=$D$4),Roster_NoOfAttendees)</f>
        <v>#VALUE!</v>
      </c>
      <c r="O52" s="3" t="e">
        <f>SUMPRODUCT(--(Roster_Trainer=$C$52),--(Roster_WorkshopType=$D$5),--(MONTH(Roster_WorkshopDate)=12),--(YEAR(Roster_WorkshopDate)=$D$4),Roster_NoOfAttendees)</f>
        <v>#VALUE!</v>
      </c>
      <c r="P52" s="44" t="e">
        <f>SUM(Table4[[#This Row],[Jan]:[Dec]])</f>
        <v>#VALUE!</v>
      </c>
    </row>
    <row r="53" spans="2:16" hidden="1">
      <c r="B53"/>
      <c r="C53" s="25">
        <f>DataSheet!B13</f>
        <v>0</v>
      </c>
      <c r="D53" s="3" t="e">
        <f>SUMPRODUCT(--(Roster_Trainer=$C$53),--(Roster_WorkshopType=$D$5),--(MONTH(Roster_WorkshopDate)=1),--(YEAR(Roster_WorkshopDate)=$D$4),Roster_NoOfAttendees)</f>
        <v>#VALUE!</v>
      </c>
      <c r="E53" s="3" t="e">
        <f>SUMPRODUCT(--(Roster_Trainer=$C$53),--(Roster_WorkshopType=$D$5),--(MONTH(Roster_WorkshopDate)=2),--(YEAR(Roster_WorkshopDate)=$D$4),Roster_NoOfAttendees)</f>
        <v>#VALUE!</v>
      </c>
      <c r="F53" s="3" t="e">
        <f>SUMPRODUCT(--(Roster_Trainer=$C$53),--(Roster_WorkshopType=$D$5),--(MONTH(Roster_WorkshopDate)=3),--(YEAR(Roster_WorkshopDate)=$D$4),Roster_NoOfAttendees)</f>
        <v>#VALUE!</v>
      </c>
      <c r="G53" s="3" t="e">
        <f>SUMPRODUCT(--(Roster_Trainer=$C$53),--(Roster_WorkshopType=$D$5),--(MONTH(Roster_WorkshopDate)=4),--(YEAR(Roster_WorkshopDate)=$D$4),Roster_NoOfAttendees)</f>
        <v>#VALUE!</v>
      </c>
      <c r="H53" s="3" t="e">
        <f>SUMPRODUCT(--(Roster_Trainer=$C$53),--(Roster_WorkshopType=$D$5),--(MONTH(Roster_WorkshopDate)=5),--(YEAR(Roster_WorkshopDate)=$D$4),Roster_NoOfAttendees)</f>
        <v>#VALUE!</v>
      </c>
      <c r="I53" s="3" t="e">
        <f>SUMPRODUCT(--(Roster_Trainer=$C$53),--(Roster_WorkshopType=$D$5),--(MONTH(Roster_WorkshopDate)=6),--(YEAR(Roster_WorkshopDate)=$D$4),Roster_NoOfAttendees)</f>
        <v>#VALUE!</v>
      </c>
      <c r="J53" s="3" t="e">
        <f>SUMPRODUCT(--(Roster_Trainer=$C$53),--(Roster_WorkshopType=$D$5),--(MONTH(Roster_WorkshopDate)=7),--(YEAR(Roster_WorkshopDate)=$D$4),Roster_NoOfAttendees)</f>
        <v>#VALUE!</v>
      </c>
      <c r="K53" s="3" t="e">
        <f>SUMPRODUCT(--(Roster_Trainer=$C$53),--(Roster_WorkshopType=$D$5),--(MONTH(Roster_WorkshopDate)=8),--(YEAR(Roster_WorkshopDate)=$D$4),Roster_NoOfAttendees)</f>
        <v>#VALUE!</v>
      </c>
      <c r="L53" s="3" t="e">
        <f>SUMPRODUCT(--(Roster_Trainer=$C$53),--(Roster_WorkshopType=$D$5),--(MONTH(Roster_WorkshopDate)=9),--(YEAR(Roster_WorkshopDate)=$D$4),Roster_NoOfAttendees)</f>
        <v>#VALUE!</v>
      </c>
      <c r="M53" s="3" t="e">
        <f>SUMPRODUCT(--(Roster_Trainer=$C$53),--(Roster_WorkshopType=$D$5),--(MONTH(Roster_WorkshopDate)=10),--(YEAR(Roster_WorkshopDate)=$D$4),Roster_NoOfAttendees)</f>
        <v>#VALUE!</v>
      </c>
      <c r="N53" s="3" t="e">
        <f>SUMPRODUCT(--(Roster_Trainer=$C$53),--(Roster_WorkshopType=$D$5),--(MONTH(Roster_WorkshopDate)=11),--(YEAR(Roster_WorkshopDate)=$D$4),Roster_NoOfAttendees)</f>
        <v>#VALUE!</v>
      </c>
      <c r="O53" s="3" t="e">
        <f>SUMPRODUCT(--(Roster_Trainer=$C$53),--(Roster_WorkshopType=$D$5),--(MONTH(Roster_WorkshopDate)=12),--(YEAR(Roster_WorkshopDate)=$D$4),Roster_NoOfAttendees)</f>
        <v>#VALUE!</v>
      </c>
      <c r="P53" s="44" t="e">
        <f>SUM(Table4[[#This Row],[Jan]:[Dec]])</f>
        <v>#VALUE!</v>
      </c>
    </row>
    <row r="54" spans="2:16" hidden="1">
      <c r="B54"/>
      <c r="C54" s="25">
        <f>DataSheet!B14</f>
        <v>0</v>
      </c>
      <c r="D54" s="3" t="e">
        <f>SUMPRODUCT(--(Roster_Trainer=$C$54),--(Roster_WorkshopType=$D$5),--(MONTH(Roster_WorkshopDate)=1),--(YEAR(Roster_WorkshopDate)=$D$4),Roster_NoOfAttendees)</f>
        <v>#VALUE!</v>
      </c>
      <c r="E54" s="3" t="e">
        <f>SUMPRODUCT(--(Roster_Trainer=$C$54),--(Roster_WorkshopType=$D$5),--(MONTH(Roster_WorkshopDate)=2),--(YEAR(Roster_WorkshopDate)=$D$4),Roster_NoOfAttendees)</f>
        <v>#VALUE!</v>
      </c>
      <c r="F54" s="3" t="e">
        <f>SUMPRODUCT(--(Roster_Trainer=$C$54),--(Roster_WorkshopType=$D$5),--(MONTH(Roster_WorkshopDate)=3),--(YEAR(Roster_WorkshopDate)=$D$4),Roster_NoOfAttendees)</f>
        <v>#VALUE!</v>
      </c>
      <c r="G54" s="3" t="e">
        <f>SUMPRODUCT(--(Roster_Trainer=$C$54),--(Roster_WorkshopType=$D$5),--(MONTH(Roster_WorkshopDate)=4),--(YEAR(Roster_WorkshopDate)=$D$4),Roster_NoOfAttendees)</f>
        <v>#VALUE!</v>
      </c>
      <c r="H54" s="3" t="e">
        <f>SUMPRODUCT(--(Roster_Trainer=$C$54),--(Roster_WorkshopType=$D$5),--(MONTH(Roster_WorkshopDate)=5),--(YEAR(Roster_WorkshopDate)=$D$4),Roster_NoOfAttendees)</f>
        <v>#VALUE!</v>
      </c>
      <c r="I54" s="3" t="e">
        <f>SUMPRODUCT(--(Roster_Trainer=$C$54),--(Roster_WorkshopType=$D$5),--(MONTH(Roster_WorkshopDate)=6),--(YEAR(Roster_WorkshopDate)=$D$4),Roster_NoOfAttendees)</f>
        <v>#VALUE!</v>
      </c>
      <c r="J54" s="3" t="e">
        <f>SUMPRODUCT(--(Roster_Trainer=$C$54),--(Roster_WorkshopType=$D$5),--(MONTH(Roster_WorkshopDate)=7),--(YEAR(Roster_WorkshopDate)=$D$4),Roster_NoOfAttendees)</f>
        <v>#VALUE!</v>
      </c>
      <c r="K54" s="3" t="e">
        <f>SUMPRODUCT(--(Roster_Trainer=$C$54),--(Roster_WorkshopType=$D$5),--(MONTH(Roster_WorkshopDate)=8),--(YEAR(Roster_WorkshopDate)=$D$4),Roster_NoOfAttendees)</f>
        <v>#VALUE!</v>
      </c>
      <c r="L54" s="3" t="e">
        <f>SUMPRODUCT(--(Roster_Trainer=$C$54),--(Roster_WorkshopType=$D$5),--(MONTH(Roster_WorkshopDate)=9),--(YEAR(Roster_WorkshopDate)=$D$4),Roster_NoOfAttendees)</f>
        <v>#VALUE!</v>
      </c>
      <c r="M54" s="3" t="e">
        <f>SUMPRODUCT(--(Roster_Trainer=$C$54),--(Roster_WorkshopType=$D$5),--(MONTH(Roster_WorkshopDate)=10),--(YEAR(Roster_WorkshopDate)=$D$4),Roster_NoOfAttendees)</f>
        <v>#VALUE!</v>
      </c>
      <c r="N54" s="3" t="e">
        <f>SUMPRODUCT(--(Roster_Trainer=$C$54),--(Roster_WorkshopType=$D$5),--(MONTH(Roster_WorkshopDate)=11),--(YEAR(Roster_WorkshopDate)=$D$4),Roster_NoOfAttendees)</f>
        <v>#VALUE!</v>
      </c>
      <c r="O54" s="3" t="e">
        <f>SUMPRODUCT(--(Roster_Trainer=$C$54),--(Roster_WorkshopType=$D$5),--(MONTH(Roster_WorkshopDate)=12),--(YEAR(Roster_WorkshopDate)=$D$4),Roster_NoOfAttendees)</f>
        <v>#VALUE!</v>
      </c>
      <c r="P54" s="44" t="e">
        <f>SUM(Table4[[#This Row],[Jan]:[Dec]])</f>
        <v>#VALUE!</v>
      </c>
    </row>
    <row r="55" spans="2:16" hidden="1">
      <c r="B55"/>
      <c r="C55" s="25">
        <f>DataSheet!B15</f>
        <v>0</v>
      </c>
      <c r="D55" s="3" t="e">
        <f>SUMPRODUCT(--(Roster_Trainer=$C$55),--(Roster_WorkshopType=$D$5),--(MONTH(Roster_WorkshopDate)=1),--(YEAR(Roster_WorkshopDate)=$D$4),Roster_NoOfAttendees)</f>
        <v>#VALUE!</v>
      </c>
      <c r="E55" s="3" t="e">
        <f>SUMPRODUCT(--(Roster_Trainer=$C$55),--(Roster_WorkshopType=$D$5),--(MONTH(Roster_WorkshopDate)=2),--(YEAR(Roster_WorkshopDate)=$D$4),Roster_NoOfAttendees)</f>
        <v>#VALUE!</v>
      </c>
      <c r="F55" s="3" t="e">
        <f>SUMPRODUCT(--(Roster_Trainer=$C$55),--(Roster_WorkshopType=$D$5),--(MONTH(Roster_WorkshopDate)=3),--(YEAR(Roster_WorkshopDate)=$D$4),Roster_NoOfAttendees)</f>
        <v>#VALUE!</v>
      </c>
      <c r="G55" s="3" t="e">
        <f>SUMPRODUCT(--(Roster_Trainer=$C$55),--(Roster_WorkshopType=$D$5),--(MONTH(Roster_WorkshopDate)=4),--(YEAR(Roster_WorkshopDate)=$D$4),Roster_NoOfAttendees)</f>
        <v>#VALUE!</v>
      </c>
      <c r="H55" s="3" t="e">
        <f>SUMPRODUCT(--(Roster_Trainer=$C$55),--(Roster_WorkshopType=$D$5),--(MONTH(Roster_WorkshopDate)=5),--(YEAR(Roster_WorkshopDate)=$D$4),Roster_NoOfAttendees)</f>
        <v>#VALUE!</v>
      </c>
      <c r="I55" s="3" t="e">
        <f>SUMPRODUCT(--(Roster_Trainer=$C$55),--(Roster_WorkshopType=$D$5),--(MONTH(Roster_WorkshopDate)=6),--(YEAR(Roster_WorkshopDate)=$D$4),Roster_NoOfAttendees)</f>
        <v>#VALUE!</v>
      </c>
      <c r="J55" s="3" t="e">
        <f>SUMPRODUCT(--(Roster_Trainer=$C$55),--(Roster_WorkshopType=$D$5),--(MONTH(Roster_WorkshopDate)=7),--(YEAR(Roster_WorkshopDate)=$D$4),Roster_NoOfAttendees)</f>
        <v>#VALUE!</v>
      </c>
      <c r="K55" s="3" t="e">
        <f>SUMPRODUCT(--(Roster_Trainer=$C$55),--(Roster_WorkshopType=$D$5),--(MONTH(Roster_WorkshopDate)=8),--(YEAR(Roster_WorkshopDate)=$D$4),Roster_NoOfAttendees)</f>
        <v>#VALUE!</v>
      </c>
      <c r="L55" s="3" t="e">
        <f>SUMPRODUCT(--(Roster_Trainer=$C$55),--(Roster_WorkshopType=$D$5),--(MONTH(Roster_WorkshopDate)=9),--(YEAR(Roster_WorkshopDate)=$D$4),Roster_NoOfAttendees)</f>
        <v>#VALUE!</v>
      </c>
      <c r="M55" s="3" t="e">
        <f>SUMPRODUCT(--(Roster_Trainer=$C$55),--(Roster_WorkshopType=$D$5),--(MONTH(Roster_WorkshopDate)=10),--(YEAR(Roster_WorkshopDate)=$D$4),Roster_NoOfAttendees)</f>
        <v>#VALUE!</v>
      </c>
      <c r="N55" s="3" t="e">
        <f>SUMPRODUCT(--(Roster_Trainer=$C$55),--(Roster_WorkshopType=$D$5),--(MONTH(Roster_WorkshopDate)=11),--(YEAR(Roster_WorkshopDate)=$D$4),Roster_NoOfAttendees)</f>
        <v>#VALUE!</v>
      </c>
      <c r="O55" s="3" t="e">
        <f>SUMPRODUCT(--(Roster_Trainer=$C$55),--(Roster_WorkshopType=$D$5),--(MONTH(Roster_WorkshopDate)=12),--(YEAR(Roster_WorkshopDate)=$D$4),Roster_NoOfAttendees)</f>
        <v>#VALUE!</v>
      </c>
      <c r="P55" s="44" t="e">
        <f>SUM(Table4[[#This Row],[Jan]:[Dec]])</f>
        <v>#VALUE!</v>
      </c>
    </row>
    <row r="56" spans="2:16" hidden="1">
      <c r="B56"/>
      <c r="C56" s="25">
        <f>DataSheet!B16</f>
        <v>0</v>
      </c>
      <c r="D56" s="3" t="e">
        <f>SUMPRODUCT(--(Roster_Trainer=$C$56),--(Roster_WorkshopType=$D$5),--(MONTH(Roster_WorkshopDate)=1),--(YEAR(Roster_WorkshopDate)=$D$4),Roster_NoOfAttendees)</f>
        <v>#VALUE!</v>
      </c>
      <c r="E56" s="3" t="e">
        <f>SUMPRODUCT(--(Roster_Trainer=$C$56),--(Roster_WorkshopType=$D$5),--(MONTH(Roster_WorkshopDate)=2),--(YEAR(Roster_WorkshopDate)=$D$4),Roster_NoOfAttendees)</f>
        <v>#VALUE!</v>
      </c>
      <c r="F56" s="3" t="e">
        <f>SUMPRODUCT(--(Roster_Trainer=$C$56),--(Roster_WorkshopType=$D$5),--(MONTH(Roster_WorkshopDate)=3),--(YEAR(Roster_WorkshopDate)=$D$4),Roster_NoOfAttendees)</f>
        <v>#VALUE!</v>
      </c>
      <c r="G56" s="3" t="e">
        <f>SUMPRODUCT(--(Roster_Trainer=$C$56),--(Roster_WorkshopType=$D$5),--(MONTH(Roster_WorkshopDate)=4),--(YEAR(Roster_WorkshopDate)=$D$4),Roster_NoOfAttendees)</f>
        <v>#VALUE!</v>
      </c>
      <c r="H56" s="3" t="e">
        <f>SUMPRODUCT(--(Roster_Trainer=$C$56),--(Roster_WorkshopType=$D$5),--(MONTH(Roster_WorkshopDate)=5),--(YEAR(Roster_WorkshopDate)=$D$4),Roster_NoOfAttendees)</f>
        <v>#VALUE!</v>
      </c>
      <c r="I56" s="3" t="e">
        <f>SUMPRODUCT(--(Roster_Trainer=$C$56),--(Roster_WorkshopType=$D$5),--(MONTH(Roster_WorkshopDate)=6),--(YEAR(Roster_WorkshopDate)=$D$4),Roster_NoOfAttendees)</f>
        <v>#VALUE!</v>
      </c>
      <c r="J56" s="3" t="e">
        <f>SUMPRODUCT(--(Roster_Trainer=$C$56),--(Roster_WorkshopType=$D$5),--(MONTH(Roster_WorkshopDate)=7),--(YEAR(Roster_WorkshopDate)=$D$4),Roster_NoOfAttendees)</f>
        <v>#VALUE!</v>
      </c>
      <c r="K56" s="3" t="e">
        <f>SUMPRODUCT(--(Roster_Trainer=$C$56),--(Roster_WorkshopType=$D$5),--(MONTH(Roster_WorkshopDate)=8),--(YEAR(Roster_WorkshopDate)=$D$4),Roster_NoOfAttendees)</f>
        <v>#VALUE!</v>
      </c>
      <c r="L56" s="3" t="e">
        <f>SUMPRODUCT(--(Roster_Trainer=$C$56),--(Roster_WorkshopType=$D$5),--(MONTH(Roster_WorkshopDate)=9),--(YEAR(Roster_WorkshopDate)=$D$4),Roster_NoOfAttendees)</f>
        <v>#VALUE!</v>
      </c>
      <c r="M56" s="3" t="e">
        <f>SUMPRODUCT(--(Roster_Trainer=$C$56),--(Roster_WorkshopType=$D$5),--(MONTH(Roster_WorkshopDate)=10),--(YEAR(Roster_WorkshopDate)=$D$4),Roster_NoOfAttendees)</f>
        <v>#VALUE!</v>
      </c>
      <c r="N56" s="3" t="e">
        <f>SUMPRODUCT(--(Roster_Trainer=$C$56),--(Roster_WorkshopType=$D$5),--(MONTH(Roster_WorkshopDate)=11),--(YEAR(Roster_WorkshopDate)=$D$4),Roster_NoOfAttendees)</f>
        <v>#VALUE!</v>
      </c>
      <c r="O56" s="3" t="e">
        <f>SUMPRODUCT(--(Roster_Trainer=$C$56),--(Roster_WorkshopType=$D$5),--(MONTH(Roster_WorkshopDate)=12),--(YEAR(Roster_WorkshopDate)=$D$4),Roster_NoOfAttendees)</f>
        <v>#VALUE!</v>
      </c>
      <c r="P56" s="44" t="e">
        <f>SUM(Table4[[#This Row],[Jan]:[Dec]])</f>
        <v>#VALUE!</v>
      </c>
    </row>
    <row r="57" spans="2:16" hidden="1">
      <c r="B57"/>
      <c r="C57" s="25">
        <f>DataSheet!B17</f>
        <v>0</v>
      </c>
      <c r="D57" s="3" t="e">
        <f>SUMPRODUCT(--(Roster_Trainer=$C$57),--(Roster_WorkshopType=$D$5),--(MONTH(Roster_WorkshopDate)=1),--(YEAR(Roster_WorkshopDate)=$D$4),Roster_NoOfAttendees)</f>
        <v>#VALUE!</v>
      </c>
      <c r="E57" s="3" t="e">
        <f>SUMPRODUCT(--(Roster_Trainer=$C$57),--(Roster_WorkshopType=$D$5),--(MONTH(Roster_WorkshopDate)=2),--(YEAR(Roster_WorkshopDate)=$D$4),Roster_NoOfAttendees)</f>
        <v>#VALUE!</v>
      </c>
      <c r="F57" s="3" t="e">
        <f>SUMPRODUCT(--(Roster_Trainer=$C$57),--(Roster_WorkshopType=$D$5),--(MONTH(Roster_WorkshopDate)=3),--(YEAR(Roster_WorkshopDate)=$D$4),Roster_NoOfAttendees)</f>
        <v>#VALUE!</v>
      </c>
      <c r="G57" s="3" t="e">
        <f>SUMPRODUCT(--(Roster_Trainer=$C$57),--(Roster_WorkshopType=$D$5),--(MONTH(Roster_WorkshopDate)=4),--(YEAR(Roster_WorkshopDate)=$D$4),Roster_NoOfAttendees)</f>
        <v>#VALUE!</v>
      </c>
      <c r="H57" s="3" t="e">
        <f>SUMPRODUCT(--(Roster_Trainer=$C$57),--(Roster_WorkshopType=$D$5),--(MONTH(Roster_WorkshopDate)=5),--(YEAR(Roster_WorkshopDate)=$D$4),Roster_NoOfAttendees)</f>
        <v>#VALUE!</v>
      </c>
      <c r="I57" s="3" t="e">
        <f>SUMPRODUCT(--(Roster_Trainer=$C$57),--(Roster_WorkshopType=$D$5),--(MONTH(Roster_WorkshopDate)=6),--(YEAR(Roster_WorkshopDate)=$D$4),Roster_NoOfAttendees)</f>
        <v>#VALUE!</v>
      </c>
      <c r="J57" s="3" t="e">
        <f>SUMPRODUCT(--(Roster_Trainer=$C$57),--(Roster_WorkshopType=$D$5),--(MONTH(Roster_WorkshopDate)=7),--(YEAR(Roster_WorkshopDate)=$D$4),Roster_NoOfAttendees)</f>
        <v>#VALUE!</v>
      </c>
      <c r="K57" s="3" t="e">
        <f>SUMPRODUCT(--(Roster_Trainer=$C$57),--(Roster_WorkshopType=$D$5),--(MONTH(Roster_WorkshopDate)=8),--(YEAR(Roster_WorkshopDate)=$D$4),Roster_NoOfAttendees)</f>
        <v>#VALUE!</v>
      </c>
      <c r="L57" s="3" t="e">
        <f>SUMPRODUCT(--(Roster_Trainer=$C$57),--(Roster_WorkshopType=$D$5),--(MONTH(Roster_WorkshopDate)=9),--(YEAR(Roster_WorkshopDate)=$D$4),Roster_NoOfAttendees)</f>
        <v>#VALUE!</v>
      </c>
      <c r="M57" s="3" t="e">
        <f>SUMPRODUCT(--(Roster_Trainer=$C$57),--(Roster_WorkshopType=$D$5),--(MONTH(Roster_WorkshopDate)=10),--(YEAR(Roster_WorkshopDate)=$D$4),Roster_NoOfAttendees)</f>
        <v>#VALUE!</v>
      </c>
      <c r="N57" s="3" t="e">
        <f>SUMPRODUCT(--(Roster_Trainer=$C$57),--(Roster_WorkshopType=$D$5),--(MONTH(Roster_WorkshopDate)=11),--(YEAR(Roster_WorkshopDate)=$D$4),Roster_NoOfAttendees)</f>
        <v>#VALUE!</v>
      </c>
      <c r="O57" s="3" t="e">
        <f>SUMPRODUCT(--(Roster_Trainer=$C$57),--(Roster_WorkshopType=$D$5),--(MONTH(Roster_WorkshopDate)=12),--(YEAR(Roster_WorkshopDate)=$D$4),Roster_NoOfAttendees)</f>
        <v>#VALUE!</v>
      </c>
      <c r="P57" s="44" t="e">
        <f>SUM(Table4[[#This Row],[Jan]:[Dec]])</f>
        <v>#VALUE!</v>
      </c>
    </row>
    <row r="58" spans="2:16" hidden="1">
      <c r="B58"/>
      <c r="C58" s="25">
        <f>DataSheet!B18</f>
        <v>0</v>
      </c>
      <c r="D58" s="3" t="e">
        <f>SUMPRODUCT(--(Roster_Trainer=$C$58),--(Roster_WorkshopType=$D$5),--(MONTH(Roster_WorkshopDate)=1),--(YEAR(Roster_WorkshopDate)=$D$4),Roster_NoOfAttendees)</f>
        <v>#VALUE!</v>
      </c>
      <c r="E58" s="3" t="e">
        <f>SUMPRODUCT(--(Roster_Trainer=$C$58),--(Roster_WorkshopType=$D$5),--(MONTH(Roster_WorkshopDate)=2),--(YEAR(Roster_WorkshopDate)=$D$4),Roster_NoOfAttendees)</f>
        <v>#VALUE!</v>
      </c>
      <c r="F58" s="3" t="e">
        <f>SUMPRODUCT(--(Roster_Trainer=$C$58),--(Roster_WorkshopType=$D$5),--(MONTH(Roster_WorkshopDate)=3),--(YEAR(Roster_WorkshopDate)=$D$4),Roster_NoOfAttendees)</f>
        <v>#VALUE!</v>
      </c>
      <c r="G58" s="3" t="e">
        <f>SUMPRODUCT(--(Roster_Trainer=$C$58),--(Roster_WorkshopType=$D$5),--(MONTH(Roster_WorkshopDate)=4),--(YEAR(Roster_WorkshopDate)=$D$4),Roster_NoOfAttendees)</f>
        <v>#VALUE!</v>
      </c>
      <c r="H58" s="3" t="e">
        <f>SUMPRODUCT(--(Roster_Trainer=$C$58),--(Roster_WorkshopType=$D$5),--(MONTH(Roster_WorkshopDate)=5),--(YEAR(Roster_WorkshopDate)=$D$4),Roster_NoOfAttendees)</f>
        <v>#VALUE!</v>
      </c>
      <c r="I58" s="3" t="e">
        <f>SUMPRODUCT(--(Roster_Trainer=$C$58),--(Roster_WorkshopType=$D$5),--(MONTH(Roster_WorkshopDate)=6),--(YEAR(Roster_WorkshopDate)=$D$4),Roster_NoOfAttendees)</f>
        <v>#VALUE!</v>
      </c>
      <c r="J58" s="3" t="e">
        <f>SUMPRODUCT(--(Roster_Trainer=$C$58),--(Roster_WorkshopType=$D$5),--(MONTH(Roster_WorkshopDate)=7),--(YEAR(Roster_WorkshopDate)=$D$4),Roster_NoOfAttendees)</f>
        <v>#VALUE!</v>
      </c>
      <c r="K58" s="3" t="e">
        <f>SUMPRODUCT(--(Roster_Trainer=$C$58),--(Roster_WorkshopType=$D$5),--(MONTH(Roster_WorkshopDate)=8),--(YEAR(Roster_WorkshopDate)=$D$4),Roster_NoOfAttendees)</f>
        <v>#VALUE!</v>
      </c>
      <c r="L58" s="3" t="e">
        <f>SUMPRODUCT(--(Roster_Trainer=$C$58),--(Roster_WorkshopType=$D$5),--(MONTH(Roster_WorkshopDate)=9),--(YEAR(Roster_WorkshopDate)=$D$4),Roster_NoOfAttendees)</f>
        <v>#VALUE!</v>
      </c>
      <c r="M58" s="3" t="e">
        <f>SUMPRODUCT(--(Roster_Trainer=$C$58),--(Roster_WorkshopType=$D$5),--(MONTH(Roster_WorkshopDate)=10),--(YEAR(Roster_WorkshopDate)=$D$4),Roster_NoOfAttendees)</f>
        <v>#VALUE!</v>
      </c>
      <c r="N58" s="3" t="e">
        <f>SUMPRODUCT(--(Roster_Trainer=$C$58),--(Roster_WorkshopType=$D$5),--(MONTH(Roster_WorkshopDate)=11),--(YEAR(Roster_WorkshopDate)=$D$4),Roster_NoOfAttendees)</f>
        <v>#VALUE!</v>
      </c>
      <c r="O58" s="3" t="e">
        <f>SUMPRODUCT(--(Roster_Trainer=$C$58),--(Roster_WorkshopType=$D$5),--(MONTH(Roster_WorkshopDate)=12),--(YEAR(Roster_WorkshopDate)=$D$4),Roster_NoOfAttendees)</f>
        <v>#VALUE!</v>
      </c>
      <c r="P58" s="44" t="e">
        <f>SUM(Table4[[#This Row],[Jan]:[Dec]])</f>
        <v>#VALUE!</v>
      </c>
    </row>
    <row r="59" spans="2:16" hidden="1">
      <c r="B59"/>
      <c r="C59" s="25">
        <f>DataSheet!B19</f>
        <v>0</v>
      </c>
      <c r="D59" s="3" t="e">
        <f>SUMPRODUCT(--(Roster_Trainer=$C$59),--(Roster_WorkshopType=$D$5),--(MONTH(Roster_WorkshopDate)=1),--(YEAR(Roster_WorkshopDate)=$D$4),Roster_NoOfAttendees)</f>
        <v>#VALUE!</v>
      </c>
      <c r="E59" s="3" t="e">
        <f>SUMPRODUCT(--(Roster_Trainer=$C$59),--(Roster_WorkshopType=$D$5),--(MONTH(Roster_WorkshopDate)=2),--(YEAR(Roster_WorkshopDate)=$D$4),Roster_NoOfAttendees)</f>
        <v>#VALUE!</v>
      </c>
      <c r="F59" s="3" t="e">
        <f>SUMPRODUCT(--(Roster_Trainer=$C$59),--(Roster_WorkshopType=$D$5),--(MONTH(Roster_WorkshopDate)=3),--(YEAR(Roster_WorkshopDate)=$D$4),Roster_NoOfAttendees)</f>
        <v>#VALUE!</v>
      </c>
      <c r="G59" s="3" t="e">
        <f>SUMPRODUCT(--(Roster_Trainer=$C$59),--(Roster_WorkshopType=$D$5),--(MONTH(Roster_WorkshopDate)=4),--(YEAR(Roster_WorkshopDate)=$D$4),Roster_NoOfAttendees)</f>
        <v>#VALUE!</v>
      </c>
      <c r="H59" s="3" t="e">
        <f>SUMPRODUCT(--(Roster_Trainer=$C$59),--(Roster_WorkshopType=$D$5),--(MONTH(Roster_WorkshopDate)=5),--(YEAR(Roster_WorkshopDate)=$D$4),Roster_NoOfAttendees)</f>
        <v>#VALUE!</v>
      </c>
      <c r="I59" s="3" t="e">
        <f>SUMPRODUCT(--(Roster_Trainer=$C$59),--(Roster_WorkshopType=$D$5),--(MONTH(Roster_WorkshopDate)=6),--(YEAR(Roster_WorkshopDate)=$D$4),Roster_NoOfAttendees)</f>
        <v>#VALUE!</v>
      </c>
      <c r="J59" s="3" t="e">
        <f>SUMPRODUCT(--(Roster_Trainer=$C$59),--(Roster_WorkshopType=$D$5),--(MONTH(Roster_WorkshopDate)=7),--(YEAR(Roster_WorkshopDate)=$D$4),Roster_NoOfAttendees)</f>
        <v>#VALUE!</v>
      </c>
      <c r="K59" s="3" t="e">
        <f>SUMPRODUCT(--(Roster_Trainer=$C$59),--(Roster_WorkshopType=$D$5),--(MONTH(Roster_WorkshopDate)=8),--(YEAR(Roster_WorkshopDate)=$D$4),Roster_NoOfAttendees)</f>
        <v>#VALUE!</v>
      </c>
      <c r="L59" s="3" t="e">
        <f>SUMPRODUCT(--(Roster_Trainer=$C$59),--(Roster_WorkshopType=$D$5),--(MONTH(Roster_WorkshopDate)=9),--(YEAR(Roster_WorkshopDate)=$D$4),Roster_NoOfAttendees)</f>
        <v>#VALUE!</v>
      </c>
      <c r="M59" s="3" t="e">
        <f>SUMPRODUCT(--(Roster_Trainer=$C$59),--(Roster_WorkshopType=$D$5),--(MONTH(Roster_WorkshopDate)=10),--(YEAR(Roster_WorkshopDate)=$D$4),Roster_NoOfAttendees)</f>
        <v>#VALUE!</v>
      </c>
      <c r="N59" s="3" t="e">
        <f>SUMPRODUCT(--(Roster_Trainer=$C$59),--(Roster_WorkshopType=$D$5),--(MONTH(Roster_WorkshopDate)=11),--(YEAR(Roster_WorkshopDate)=$D$4),Roster_NoOfAttendees)</f>
        <v>#VALUE!</v>
      </c>
      <c r="O59" s="3" t="e">
        <f>SUMPRODUCT(--(Roster_Trainer=$C$59),--(Roster_WorkshopType=$D$5),--(MONTH(Roster_WorkshopDate)=12),--(YEAR(Roster_WorkshopDate)=$D$4),Roster_NoOfAttendees)</f>
        <v>#VALUE!</v>
      </c>
      <c r="P59" s="44" t="e">
        <f>SUM(Table4[[#This Row],[Jan]:[Dec]])</f>
        <v>#VALUE!</v>
      </c>
    </row>
    <row r="60" spans="2:16" hidden="1">
      <c r="B60"/>
      <c r="C60" s="25">
        <f>DataSheet!B20</f>
        <v>0</v>
      </c>
      <c r="D60" s="3" t="e">
        <f>SUMPRODUCT(--(Roster_Trainer=$C$60),--(Roster_WorkshopType=$D$5),--(MONTH(Roster_WorkshopDate)=1),--(YEAR(Roster_WorkshopDate)=$D$4),Roster_NoOfAttendees)</f>
        <v>#VALUE!</v>
      </c>
      <c r="E60" s="3" t="e">
        <f>SUMPRODUCT(--(Roster_Trainer=$C$60),--(Roster_WorkshopType=$D$5),--(MONTH(Roster_WorkshopDate)=2),--(YEAR(Roster_WorkshopDate)=$D$4),Roster_NoOfAttendees)</f>
        <v>#VALUE!</v>
      </c>
      <c r="F60" s="3" t="e">
        <f>SUMPRODUCT(--(Roster_Trainer=$C$60),--(Roster_WorkshopType=$D$5),--(MONTH(Roster_WorkshopDate)=3),--(YEAR(Roster_WorkshopDate)=$D$4),Roster_NoOfAttendees)</f>
        <v>#VALUE!</v>
      </c>
      <c r="G60" s="3" t="e">
        <f>SUMPRODUCT(--(Roster_Trainer=$C$60),--(Roster_WorkshopType=$D$5),--(MONTH(Roster_WorkshopDate)=4),--(YEAR(Roster_WorkshopDate)=$D$4),Roster_NoOfAttendees)</f>
        <v>#VALUE!</v>
      </c>
      <c r="H60" s="3" t="e">
        <f>SUMPRODUCT(--(Roster_Trainer=$C$60),--(Roster_WorkshopType=$D$5),--(MONTH(Roster_WorkshopDate)=5),--(YEAR(Roster_WorkshopDate)=$D$4),Roster_NoOfAttendees)</f>
        <v>#VALUE!</v>
      </c>
      <c r="I60" s="3" t="e">
        <f>SUMPRODUCT(--(Roster_Trainer=$C$60),--(Roster_WorkshopType=$D$5),--(MONTH(Roster_WorkshopDate)=6),--(YEAR(Roster_WorkshopDate)=$D$4),Roster_NoOfAttendees)</f>
        <v>#VALUE!</v>
      </c>
      <c r="J60" s="3" t="e">
        <f>SUMPRODUCT(--(Roster_Trainer=$C$60),--(Roster_WorkshopType=$D$5),--(MONTH(Roster_WorkshopDate)=7),--(YEAR(Roster_WorkshopDate)=$D$4),Roster_NoOfAttendees)</f>
        <v>#VALUE!</v>
      </c>
      <c r="K60" s="3" t="e">
        <f>SUMPRODUCT(--(Roster_Trainer=$C$60),--(Roster_WorkshopType=$D$5),--(MONTH(Roster_WorkshopDate)=8),--(YEAR(Roster_WorkshopDate)=$D$4),Roster_NoOfAttendees)</f>
        <v>#VALUE!</v>
      </c>
      <c r="L60" s="3" t="e">
        <f>SUMPRODUCT(--(Roster_Trainer=$C$60),--(Roster_WorkshopType=$D$5),--(MONTH(Roster_WorkshopDate)=9),--(YEAR(Roster_WorkshopDate)=$D$4),Roster_NoOfAttendees)</f>
        <v>#VALUE!</v>
      </c>
      <c r="M60" s="3" t="e">
        <f>SUMPRODUCT(--(Roster_Trainer=$C$60),--(Roster_WorkshopType=$D$5),--(MONTH(Roster_WorkshopDate)=10),--(YEAR(Roster_WorkshopDate)=$D$4),Roster_NoOfAttendees)</f>
        <v>#VALUE!</v>
      </c>
      <c r="N60" s="3" t="e">
        <f>SUMPRODUCT(--(Roster_Trainer=$C$60),--(Roster_WorkshopType=$D$5),--(MONTH(Roster_WorkshopDate)=11),--(YEAR(Roster_WorkshopDate)=$D$4),Roster_NoOfAttendees)</f>
        <v>#VALUE!</v>
      </c>
      <c r="O60" s="3" t="e">
        <f>SUMPRODUCT(--(Roster_Trainer=$C$60),--(Roster_WorkshopType=$D$5),--(MONTH(Roster_WorkshopDate)=12),--(YEAR(Roster_WorkshopDate)=$D$4),Roster_NoOfAttendees)</f>
        <v>#VALUE!</v>
      </c>
      <c r="P60" s="44" t="e">
        <f>SUM(Table4[[#This Row],[Jan]:[Dec]])</f>
        <v>#VALUE!</v>
      </c>
    </row>
    <row r="61" spans="2:16" hidden="1">
      <c r="B61"/>
      <c r="C61" s="25">
        <f>DataSheet!B21</f>
        <v>0</v>
      </c>
      <c r="D61" s="3" t="e">
        <f>SUMPRODUCT(--(Roster_Trainer=$C$61),--(Roster_WorkshopType=$D$5),--(MONTH(Roster_WorkshopDate)=1),--(YEAR(Roster_WorkshopDate)=$D$4),Roster_NoOfAttendees)</f>
        <v>#VALUE!</v>
      </c>
      <c r="E61" s="3" t="e">
        <f>SUMPRODUCT(--(Roster_Trainer=$C$61),--(Roster_WorkshopType=$D$5),--(MONTH(Roster_WorkshopDate)=2),--(YEAR(Roster_WorkshopDate)=$D$4),Roster_NoOfAttendees)</f>
        <v>#VALUE!</v>
      </c>
      <c r="F61" s="3" t="e">
        <f>SUMPRODUCT(--(Roster_Trainer=$C$61),--(Roster_WorkshopType=$D$5),--(MONTH(Roster_WorkshopDate)=3),--(YEAR(Roster_WorkshopDate)=$D$4),Roster_NoOfAttendees)</f>
        <v>#VALUE!</v>
      </c>
      <c r="G61" s="3" t="e">
        <f>SUMPRODUCT(--(Roster_Trainer=$C$61),--(Roster_WorkshopType=$D$5),--(MONTH(Roster_WorkshopDate)=4),--(YEAR(Roster_WorkshopDate)=$D$4),Roster_NoOfAttendees)</f>
        <v>#VALUE!</v>
      </c>
      <c r="H61" s="3" t="e">
        <f>SUMPRODUCT(--(Roster_Trainer=$C$61),--(Roster_WorkshopType=$D$5),--(MONTH(Roster_WorkshopDate)=5),--(YEAR(Roster_WorkshopDate)=$D$4),Roster_NoOfAttendees)</f>
        <v>#VALUE!</v>
      </c>
      <c r="I61" s="3" t="e">
        <f>SUMPRODUCT(--(Roster_Trainer=$C$61),--(Roster_WorkshopType=$D$5),--(MONTH(Roster_WorkshopDate)=6),--(YEAR(Roster_WorkshopDate)=$D$4),Roster_NoOfAttendees)</f>
        <v>#VALUE!</v>
      </c>
      <c r="J61" s="3" t="e">
        <f>SUMPRODUCT(--(Roster_Trainer=$C$61),--(Roster_WorkshopType=$D$5),--(MONTH(Roster_WorkshopDate)=7),--(YEAR(Roster_WorkshopDate)=$D$4),Roster_NoOfAttendees)</f>
        <v>#VALUE!</v>
      </c>
      <c r="K61" s="3" t="e">
        <f>SUMPRODUCT(--(Roster_Trainer=$C$61),--(Roster_WorkshopType=$D$5),--(MONTH(Roster_WorkshopDate)=8),--(YEAR(Roster_WorkshopDate)=$D$4),Roster_NoOfAttendees)</f>
        <v>#VALUE!</v>
      </c>
      <c r="L61" s="3" t="e">
        <f>SUMPRODUCT(--(Roster_Trainer=$C$61),--(Roster_WorkshopType=$D$5),--(MONTH(Roster_WorkshopDate)=9),--(YEAR(Roster_WorkshopDate)=$D$4),Roster_NoOfAttendees)</f>
        <v>#VALUE!</v>
      </c>
      <c r="M61" s="3" t="e">
        <f>SUMPRODUCT(--(Roster_Trainer=$C$61),--(Roster_WorkshopType=$D$5),--(MONTH(Roster_WorkshopDate)=10),--(YEAR(Roster_WorkshopDate)=$D$4),Roster_NoOfAttendees)</f>
        <v>#VALUE!</v>
      </c>
      <c r="N61" s="3" t="e">
        <f>SUMPRODUCT(--(Roster_Trainer=$C$61),--(Roster_WorkshopType=$D$5),--(MONTH(Roster_WorkshopDate)=11),--(YEAR(Roster_WorkshopDate)=$D$4),Roster_NoOfAttendees)</f>
        <v>#VALUE!</v>
      </c>
      <c r="O61" s="3" t="e">
        <f>SUMPRODUCT(--(Roster_Trainer=$C$61),--(Roster_WorkshopType=$D$5),--(MONTH(Roster_WorkshopDate)=12),--(YEAR(Roster_WorkshopDate)=$D$4),Roster_NoOfAttendees)</f>
        <v>#VALUE!</v>
      </c>
      <c r="P61" s="44" t="e">
        <f>SUM(Table4[[#This Row],[Jan]:[Dec]])</f>
        <v>#VALUE!</v>
      </c>
    </row>
    <row r="62" spans="2:16" hidden="1">
      <c r="B62"/>
      <c r="C62" s="27">
        <f>DataSheet!B22</f>
        <v>0</v>
      </c>
      <c r="D62" s="4" t="e">
        <f>SUMPRODUCT(--(Roster_Trainer=$C$62),--(Roster_WorkshopType=$D$5),--(MONTH(Roster_WorkshopDate)=1),--(YEAR(Roster_WorkshopDate)=$D$4),Roster_NoOfAttendees)</f>
        <v>#VALUE!</v>
      </c>
      <c r="E62" s="4" t="e">
        <f>SUMPRODUCT(--(Roster_Trainer=$C$62),--(Roster_WorkshopType=$D$5),--(MONTH(Roster_WorkshopDate)=2),--(YEAR(Roster_WorkshopDate)=$D$4),Roster_NoOfAttendees)</f>
        <v>#VALUE!</v>
      </c>
      <c r="F62" s="4" t="e">
        <f>SUMPRODUCT(--(Roster_Trainer=$C$62),--(Roster_WorkshopType=$D$5),--(MONTH(Roster_WorkshopDate)=3),--(YEAR(Roster_WorkshopDate)=$D$4),Roster_NoOfAttendees)</f>
        <v>#VALUE!</v>
      </c>
      <c r="G62" s="4" t="e">
        <f>SUMPRODUCT(--(Roster_Trainer=$C$62),--(Roster_WorkshopType=$D$5),--(MONTH(Roster_WorkshopDate)=4),--(YEAR(Roster_WorkshopDate)=$D$4),Roster_NoOfAttendees)</f>
        <v>#VALUE!</v>
      </c>
      <c r="H62" s="4" t="e">
        <f>SUMPRODUCT(--(Roster_Trainer=$C$62),--(Roster_WorkshopType=$D$5),--(MONTH(Roster_WorkshopDate)=5),--(YEAR(Roster_WorkshopDate)=$D$4),Roster_NoOfAttendees)</f>
        <v>#VALUE!</v>
      </c>
      <c r="I62" s="4" t="e">
        <f>SUMPRODUCT(--(Roster_Trainer=$C$62),--(Roster_WorkshopType=$D$5),--(MONTH(Roster_WorkshopDate)=6),--(YEAR(Roster_WorkshopDate)=$D$4),Roster_NoOfAttendees)</f>
        <v>#VALUE!</v>
      </c>
      <c r="J62" s="4" t="e">
        <f>SUMPRODUCT(--(Roster_Trainer=$C$62),--(Roster_WorkshopType=$D$5),--(MONTH(Roster_WorkshopDate)=7),--(YEAR(Roster_WorkshopDate)=$D$4),Roster_NoOfAttendees)</f>
        <v>#VALUE!</v>
      </c>
      <c r="K62" s="4" t="e">
        <f>SUMPRODUCT(--(Roster_Trainer=$C$62),--(Roster_WorkshopType=$D$5),--(MONTH(Roster_WorkshopDate)=8),--(YEAR(Roster_WorkshopDate)=$D$4),Roster_NoOfAttendees)</f>
        <v>#VALUE!</v>
      </c>
      <c r="L62" s="4" t="e">
        <f>SUMPRODUCT(--(Roster_Trainer=$C$62),--(Roster_WorkshopType=$D$5),--(MONTH(Roster_WorkshopDate)=9),--(YEAR(Roster_WorkshopDate)=$D$4),Roster_NoOfAttendees)</f>
        <v>#VALUE!</v>
      </c>
      <c r="M62" s="4" t="e">
        <f>SUMPRODUCT(--(Roster_Trainer=$C$62),--(Roster_WorkshopType=$D$5),--(MONTH(Roster_WorkshopDate)=10),--(YEAR(Roster_WorkshopDate)=$D$4),Roster_NoOfAttendees)</f>
        <v>#VALUE!</v>
      </c>
      <c r="N62" s="4" t="e">
        <f>SUMPRODUCT(--(Roster_Trainer=$C$62),--(Roster_WorkshopType=$D$5),--(MONTH(Roster_WorkshopDate)=11),--(YEAR(Roster_WorkshopDate)=$D$4),Roster_NoOfAttendees)</f>
        <v>#VALUE!</v>
      </c>
      <c r="O62" s="4" t="e">
        <f>SUMPRODUCT(--(Roster_Trainer=$C$62),--(Roster_WorkshopType=$D$5),--(MONTH(Roster_WorkshopDate)=12),--(YEAR(Roster_WorkshopDate)=$D$4),Roster_NoOfAttendees)</f>
        <v>#VALUE!</v>
      </c>
      <c r="P62" s="45" t="e">
        <f>SUM(Table4[[#This Row],[Jan]:[Dec]])</f>
        <v>#VALUE!</v>
      </c>
    </row>
    <row r="63" spans="2:16" hidden="1">
      <c r="C63" s="42">
        <f>DataSheet!B23</f>
        <v>0</v>
      </c>
      <c r="D63" s="4" t="e">
        <f>SUMPRODUCT(--(Roster_Trainer=$C$63),--(Roster_WorkshopType=$D$5),--(MONTH(Roster_WorkshopDate)=1),--(YEAR(Roster_WorkshopDate)=$D$4),Roster_NoOfAttendees)</f>
        <v>#VALUE!</v>
      </c>
      <c r="E63" s="4" t="e">
        <f>SUMPRODUCT(--(Roster_Trainer=$C$63),--(Roster_WorkshopType=$D$5),--(MONTH(Roster_WorkshopDate)=2),--(YEAR(Roster_WorkshopDate)=$D$4),Roster_NoOfAttendees)</f>
        <v>#VALUE!</v>
      </c>
      <c r="F63" s="4" t="e">
        <f>SUMPRODUCT(--(Roster_Trainer=$C$63),--(Roster_WorkshopType=$D$5),--(MONTH(Roster_WorkshopDate)=3),--(YEAR(Roster_WorkshopDate)=$D$4),Roster_NoOfAttendees)</f>
        <v>#VALUE!</v>
      </c>
      <c r="G63" s="4" t="e">
        <f>SUMPRODUCT(--(Roster_Trainer=$C$63),--(Roster_WorkshopType=$D$5),--(MONTH(Roster_WorkshopDate)=4),--(YEAR(Roster_WorkshopDate)=$D$4),Roster_NoOfAttendees)</f>
        <v>#VALUE!</v>
      </c>
      <c r="H63" s="4" t="e">
        <f>SUMPRODUCT(--(Roster_Trainer=$C$63),--(Roster_WorkshopType=$D$5),--(MONTH(Roster_WorkshopDate)=5),--(YEAR(Roster_WorkshopDate)=$D$4),Roster_NoOfAttendees)</f>
        <v>#VALUE!</v>
      </c>
      <c r="I63" s="4" t="e">
        <f>SUMPRODUCT(--(Roster_Trainer=$C$63),--(Roster_WorkshopType=$D$5),--(MONTH(Roster_WorkshopDate)=6),--(YEAR(Roster_WorkshopDate)=$D$4),Roster_NoOfAttendees)</f>
        <v>#VALUE!</v>
      </c>
      <c r="J63" s="4" t="e">
        <f>SUMPRODUCT(--(Roster_Trainer=$C$63),--(Roster_WorkshopType=$D$5),--(MONTH(Roster_WorkshopDate)=7),--(YEAR(Roster_WorkshopDate)=$D$4),Roster_NoOfAttendees)</f>
        <v>#VALUE!</v>
      </c>
      <c r="K63" s="4" t="e">
        <f>SUMPRODUCT(--(Roster_Trainer=$C$63),--(Roster_WorkshopType=$D$5),--(MONTH(Roster_WorkshopDate)=8),--(YEAR(Roster_WorkshopDate)=$D$4),Roster_NoOfAttendees)</f>
        <v>#VALUE!</v>
      </c>
      <c r="L63" s="4" t="e">
        <f>SUMPRODUCT(--(Roster_Trainer=$C$63),--(Roster_WorkshopType=$D$5),--(MONTH(Roster_WorkshopDate)=9),--(YEAR(Roster_WorkshopDate)=$D$4),Roster_NoOfAttendees)</f>
        <v>#VALUE!</v>
      </c>
      <c r="M63" s="4" t="e">
        <f>SUMPRODUCT(--(Roster_Trainer=$C$63),--(Roster_WorkshopType=$D$5),--(MONTH(Roster_WorkshopDate)=10),--(YEAR(Roster_WorkshopDate)=$D$4),Roster_NoOfAttendees)</f>
        <v>#VALUE!</v>
      </c>
      <c r="N63" s="4" t="e">
        <f>SUMPRODUCT(--(Roster_Trainer=$C$63),--(Roster_WorkshopType=$D$5),--(MONTH(Roster_WorkshopDate)=11),--(YEAR(Roster_WorkshopDate)=$D$4),Roster_NoOfAttendees)</f>
        <v>#VALUE!</v>
      </c>
      <c r="O63" s="4" t="e">
        <f>SUMPRODUCT(--(Roster_Trainer=$C$63),--(Roster_WorkshopType=$D$5),--(MONTH(Roster_WorkshopDate)=12),--(YEAR(Roster_WorkshopDate)=$D$4),Roster_NoOfAttendees)</f>
        <v>#VALUE!</v>
      </c>
      <c r="P63" s="46" t="e">
        <f>SUM(Table4[[#This Row],[Jan]:[Dec]])</f>
        <v>#VALUE!</v>
      </c>
    </row>
    <row r="64" spans="2:16" hidden="1">
      <c r="C64" s="42">
        <f>DataSheet!B24</f>
        <v>0</v>
      </c>
      <c r="D64" s="4" t="e">
        <f>SUMPRODUCT(--(Roster_Trainer=$C$64),--(Roster_WorkshopType=$D$5),--(MONTH(Roster_WorkshopDate)=1),--(YEAR(Roster_WorkshopDate)=$D$4),Roster_NoOfAttendees)</f>
        <v>#VALUE!</v>
      </c>
      <c r="E64" s="4" t="e">
        <f>SUMPRODUCT(--(Roster_Trainer=$C$64),--(Roster_WorkshopType=$D$5),--(MONTH(Roster_WorkshopDate)=2),--(YEAR(Roster_WorkshopDate)=$D$4),Roster_NoOfAttendees)</f>
        <v>#VALUE!</v>
      </c>
      <c r="F64" s="4" t="e">
        <f>SUMPRODUCT(--(Roster_Trainer=$C$64),--(Roster_WorkshopType=$D$5),--(MONTH(Roster_WorkshopDate)=3),--(YEAR(Roster_WorkshopDate)=$D$4),Roster_NoOfAttendees)</f>
        <v>#VALUE!</v>
      </c>
      <c r="G64" s="4" t="e">
        <f>SUMPRODUCT(--(Roster_Trainer=$C$64),--(Roster_WorkshopType=$D$5),--(MONTH(Roster_WorkshopDate)=4),--(YEAR(Roster_WorkshopDate)=$D$4),Roster_NoOfAttendees)</f>
        <v>#VALUE!</v>
      </c>
      <c r="H64" s="4" t="e">
        <f>SUMPRODUCT(--(Roster_Trainer=$C$64),--(Roster_WorkshopType=$D$5),--(MONTH(Roster_WorkshopDate)=5),--(YEAR(Roster_WorkshopDate)=$D$4),Roster_NoOfAttendees)</f>
        <v>#VALUE!</v>
      </c>
      <c r="I64" s="4" t="e">
        <f>SUMPRODUCT(--(Roster_Trainer=$C$64),--(Roster_WorkshopType=$D$5),--(MONTH(Roster_WorkshopDate)=6),--(YEAR(Roster_WorkshopDate)=$D$4),Roster_NoOfAttendees)</f>
        <v>#VALUE!</v>
      </c>
      <c r="J64" s="4" t="e">
        <f>SUMPRODUCT(--(Roster_Trainer=$C$64),--(Roster_WorkshopType=$D$5),--(MONTH(Roster_WorkshopDate)=7),--(YEAR(Roster_WorkshopDate)=$D$4),Roster_NoOfAttendees)</f>
        <v>#VALUE!</v>
      </c>
      <c r="K64" s="4" t="e">
        <f>SUMPRODUCT(--(Roster_Trainer=$C$64),--(Roster_WorkshopType=$D$5),--(MONTH(Roster_WorkshopDate)=8),--(YEAR(Roster_WorkshopDate)=$D$4),Roster_NoOfAttendees)</f>
        <v>#VALUE!</v>
      </c>
      <c r="L64" s="4" t="e">
        <f>SUMPRODUCT(--(Roster_Trainer=$C$64),--(Roster_WorkshopType=$D$5),--(MONTH(Roster_WorkshopDate)=9),--(YEAR(Roster_WorkshopDate)=$D$4),Roster_NoOfAttendees)</f>
        <v>#VALUE!</v>
      </c>
      <c r="M64" s="4" t="e">
        <f>SUMPRODUCT(--(Roster_Trainer=$C$64),--(Roster_WorkshopType=$D$5),--(MONTH(Roster_WorkshopDate)=10),--(YEAR(Roster_WorkshopDate)=$D$4),Roster_NoOfAttendees)</f>
        <v>#VALUE!</v>
      </c>
      <c r="N64" s="4" t="e">
        <f>SUMPRODUCT(--(Roster_Trainer=$C$64),--(Roster_WorkshopType=$D$5),--(MONTH(Roster_WorkshopDate)=11),--(YEAR(Roster_WorkshopDate)=$D$4),Roster_NoOfAttendees)</f>
        <v>#VALUE!</v>
      </c>
      <c r="O64" s="4" t="e">
        <f>SUMPRODUCT(--(Roster_Trainer=$C$64),--(Roster_WorkshopType=$D$5),--(MONTH(Roster_WorkshopDate)=12),--(YEAR(Roster_WorkshopDate)=$D$4),Roster_NoOfAttendees)</f>
        <v>#VALUE!</v>
      </c>
      <c r="P64" s="46" t="e">
        <f>SUM(Table4[[#This Row],[Jan]:[Dec]])</f>
        <v>#VALUE!</v>
      </c>
    </row>
    <row r="65" spans="3:16" hidden="1">
      <c r="C65" s="42">
        <f>DataSheet!B25</f>
        <v>0</v>
      </c>
      <c r="D65" s="4" t="e">
        <f>SUMPRODUCT(--(Roster_Trainer=$C$65),--(Roster_WorkshopType=$D$5),--(MONTH(Roster_WorkshopDate)=1),--(YEAR(Roster_WorkshopDate)=$D$4),Roster_NoOfAttendees)</f>
        <v>#VALUE!</v>
      </c>
      <c r="E65" s="4" t="e">
        <f>SUMPRODUCT(--(Roster_Trainer=$C$65),--(Roster_WorkshopType=$D$5),--(MONTH(Roster_WorkshopDate)=2),--(YEAR(Roster_WorkshopDate)=$D$4),Roster_NoOfAttendees)</f>
        <v>#VALUE!</v>
      </c>
      <c r="F65" s="4" t="e">
        <f>SUMPRODUCT(--(Roster_Trainer=$C$65),--(Roster_WorkshopType=$D$5),--(MONTH(Roster_WorkshopDate)=3),--(YEAR(Roster_WorkshopDate)=$D$4),Roster_NoOfAttendees)</f>
        <v>#VALUE!</v>
      </c>
      <c r="G65" s="4" t="e">
        <f>SUMPRODUCT(--(Roster_Trainer=$C$65),--(Roster_WorkshopType=$D$5),--(MONTH(Roster_WorkshopDate)=4),--(YEAR(Roster_WorkshopDate)=$D$4),Roster_NoOfAttendees)</f>
        <v>#VALUE!</v>
      </c>
      <c r="H65" s="4" t="e">
        <f>SUMPRODUCT(--(Roster_Trainer=$C$65),--(Roster_WorkshopType=$D$5),--(MONTH(Roster_WorkshopDate)=5),--(YEAR(Roster_WorkshopDate)=$D$4),Roster_NoOfAttendees)</f>
        <v>#VALUE!</v>
      </c>
      <c r="I65" s="4" t="e">
        <f>SUMPRODUCT(--(Roster_Trainer=$C$65),--(Roster_WorkshopType=$D$5),--(MONTH(Roster_WorkshopDate)=6),--(YEAR(Roster_WorkshopDate)=$D$4),Roster_NoOfAttendees)</f>
        <v>#VALUE!</v>
      </c>
      <c r="J65" s="4" t="e">
        <f>SUMPRODUCT(--(Roster_Trainer=$C$65),--(Roster_WorkshopType=$D$5),--(MONTH(Roster_WorkshopDate)=7),--(YEAR(Roster_WorkshopDate)=$D$4),Roster_NoOfAttendees)</f>
        <v>#VALUE!</v>
      </c>
      <c r="K65" s="4" t="e">
        <f>SUMPRODUCT(--(Roster_Trainer=$C$65),--(Roster_WorkshopType=$D$5),--(MONTH(Roster_WorkshopDate)=8),--(YEAR(Roster_WorkshopDate)=$D$4),Roster_NoOfAttendees)</f>
        <v>#VALUE!</v>
      </c>
      <c r="L65" s="4" t="e">
        <f>SUMPRODUCT(--(Roster_Trainer=$C$65),--(Roster_WorkshopType=$D$5),--(MONTH(Roster_WorkshopDate)=9),--(YEAR(Roster_WorkshopDate)=$D$4),Roster_NoOfAttendees)</f>
        <v>#VALUE!</v>
      </c>
      <c r="M65" s="4" t="e">
        <f>SUMPRODUCT(--(Roster_Trainer=$C$65),--(Roster_WorkshopType=$D$5),--(MONTH(Roster_WorkshopDate)=10),--(YEAR(Roster_WorkshopDate)=$D$4),Roster_NoOfAttendees)</f>
        <v>#VALUE!</v>
      </c>
      <c r="N65" s="4" t="e">
        <f>SUMPRODUCT(--(Roster_Trainer=$C$65),--(Roster_WorkshopType=$D$5),--(MONTH(Roster_WorkshopDate)=11),--(YEAR(Roster_WorkshopDate)=$D$4),Roster_NoOfAttendees)</f>
        <v>#VALUE!</v>
      </c>
      <c r="O65" s="4" t="e">
        <f>SUMPRODUCT(--(Roster_Trainer=$C$65),--(Roster_WorkshopType=$D$5),--(MONTH(Roster_WorkshopDate)=12),--(YEAR(Roster_WorkshopDate)=$D$4),Roster_NoOfAttendees)</f>
        <v>#VALUE!</v>
      </c>
      <c r="P65" s="46" t="e">
        <f>SUM(Table4[[#This Row],[Jan]:[Dec]])</f>
        <v>#VALUE!</v>
      </c>
    </row>
    <row r="66" spans="3:16" hidden="1">
      <c r="C66" s="42">
        <f>DataSheet!B26</f>
        <v>0</v>
      </c>
      <c r="D66" s="4" t="e">
        <f>SUMPRODUCT(--(Roster_Trainer=$C$66),--(Roster_WorkshopType=$D$5),--(MONTH(Roster_WorkshopDate)=1),--(YEAR(Roster_WorkshopDate)=$D$4),Roster_NoOfAttendees)</f>
        <v>#VALUE!</v>
      </c>
      <c r="E66" s="4" t="e">
        <f>SUMPRODUCT(--(Roster_Trainer=$C$66),--(Roster_WorkshopType=$D$5),--(MONTH(Roster_WorkshopDate)=2),--(YEAR(Roster_WorkshopDate)=$D$4),Roster_NoOfAttendees)</f>
        <v>#VALUE!</v>
      </c>
      <c r="F66" s="4" t="e">
        <f>SUMPRODUCT(--(Roster_Trainer=$C$66),--(Roster_WorkshopType=$D$5),--(MONTH(Roster_WorkshopDate)=3),--(YEAR(Roster_WorkshopDate)=$D$4),Roster_NoOfAttendees)</f>
        <v>#VALUE!</v>
      </c>
      <c r="G66" s="4" t="e">
        <f>SUMPRODUCT(--(Roster_Trainer=$C$66),--(Roster_WorkshopType=$D$5),--(MONTH(Roster_WorkshopDate)=4),--(YEAR(Roster_WorkshopDate)=$D$4),Roster_NoOfAttendees)</f>
        <v>#VALUE!</v>
      </c>
      <c r="H66" s="4" t="e">
        <f>SUMPRODUCT(--(Roster_Trainer=$C$66),--(Roster_WorkshopType=$D$5),--(MONTH(Roster_WorkshopDate)=5),--(YEAR(Roster_WorkshopDate)=$D$4),Roster_NoOfAttendees)</f>
        <v>#VALUE!</v>
      </c>
      <c r="I66" s="4" t="e">
        <f>SUMPRODUCT(--(Roster_Trainer=$C$66),--(Roster_WorkshopType=$D$5),--(MONTH(Roster_WorkshopDate)=6),--(YEAR(Roster_WorkshopDate)=$D$4),Roster_NoOfAttendees)</f>
        <v>#VALUE!</v>
      </c>
      <c r="J66" s="4" t="e">
        <f>SUMPRODUCT(--(Roster_Trainer=$C$66),--(Roster_WorkshopType=$D$5),--(MONTH(Roster_WorkshopDate)=7),--(YEAR(Roster_WorkshopDate)=$D$4),Roster_NoOfAttendees)</f>
        <v>#VALUE!</v>
      </c>
      <c r="K66" s="4" t="e">
        <f>SUMPRODUCT(--(Roster_Trainer=$C$66),--(Roster_WorkshopType=$D$5),--(MONTH(Roster_WorkshopDate)=8),--(YEAR(Roster_WorkshopDate)=$D$4),Roster_NoOfAttendees)</f>
        <v>#VALUE!</v>
      </c>
      <c r="L66" s="4" t="e">
        <f>SUMPRODUCT(--(Roster_Trainer=$C$66),--(Roster_WorkshopType=$D$5),--(MONTH(Roster_WorkshopDate)=9),--(YEAR(Roster_WorkshopDate)=$D$4),Roster_NoOfAttendees)</f>
        <v>#VALUE!</v>
      </c>
      <c r="M66" s="4" t="e">
        <f>SUMPRODUCT(--(Roster_Trainer=$C$66),--(Roster_WorkshopType=$D$5),--(MONTH(Roster_WorkshopDate)=10),--(YEAR(Roster_WorkshopDate)=$D$4),Roster_NoOfAttendees)</f>
        <v>#VALUE!</v>
      </c>
      <c r="N66" s="4" t="e">
        <f>SUMPRODUCT(--(Roster_Trainer=$C$66),--(Roster_WorkshopType=$D$5),--(MONTH(Roster_WorkshopDate)=11),--(YEAR(Roster_WorkshopDate)=$D$4),Roster_NoOfAttendees)</f>
        <v>#VALUE!</v>
      </c>
      <c r="O66" s="4" t="e">
        <f>SUMPRODUCT(--(Roster_Trainer=$C$66),--(Roster_WorkshopType=$D$5),--(MONTH(Roster_WorkshopDate)=12),--(YEAR(Roster_WorkshopDate)=$D$4),Roster_NoOfAttendees)</f>
        <v>#VALUE!</v>
      </c>
      <c r="P66" s="46" t="e">
        <f>SUM(Table4[[#This Row],[Jan]:[Dec]])</f>
        <v>#VALUE!</v>
      </c>
    </row>
    <row r="67" spans="3:16" hidden="1">
      <c r="C67" s="42">
        <f>DataSheet!B27</f>
        <v>0</v>
      </c>
      <c r="D67" s="4" t="e">
        <f>SUMPRODUCT(--(Roster_Trainer=$C$67),--(Roster_WorkshopType=$D$5),--(MONTH(Roster_WorkshopDate)=1),--(YEAR(Roster_WorkshopDate)=$D$4),Roster_NoOfAttendees)</f>
        <v>#VALUE!</v>
      </c>
      <c r="E67" s="4" t="e">
        <f>SUMPRODUCT(--(Roster_Trainer=$C$67),--(Roster_WorkshopType=$D$5),--(MONTH(Roster_WorkshopDate)=2),--(YEAR(Roster_WorkshopDate)=$D$4),Roster_NoOfAttendees)</f>
        <v>#VALUE!</v>
      </c>
      <c r="F67" s="4" t="e">
        <f>SUMPRODUCT(--(Roster_Trainer=$C$67),--(Roster_WorkshopType=$D$5),--(MONTH(Roster_WorkshopDate)=3),--(YEAR(Roster_WorkshopDate)=$D$4),Roster_NoOfAttendees)</f>
        <v>#VALUE!</v>
      </c>
      <c r="G67" s="4" t="e">
        <f>SUMPRODUCT(--(Roster_Trainer=$C$67),--(Roster_WorkshopType=$D$5),--(MONTH(Roster_WorkshopDate)=4),--(YEAR(Roster_WorkshopDate)=$D$4),Roster_NoOfAttendees)</f>
        <v>#VALUE!</v>
      </c>
      <c r="H67" s="4" t="e">
        <f>SUMPRODUCT(--(Roster_Trainer=$C$67),--(Roster_WorkshopType=$D$5),--(MONTH(Roster_WorkshopDate)=5),--(YEAR(Roster_WorkshopDate)=$D$4),Roster_NoOfAttendees)</f>
        <v>#VALUE!</v>
      </c>
      <c r="I67" s="4" t="e">
        <f>SUMPRODUCT(--(Roster_Trainer=$C$67),--(Roster_WorkshopType=$D$5),--(MONTH(Roster_WorkshopDate)=6),--(YEAR(Roster_WorkshopDate)=$D$4),Roster_NoOfAttendees)</f>
        <v>#VALUE!</v>
      </c>
      <c r="J67" s="4" t="e">
        <f>SUMPRODUCT(--(Roster_Trainer=$C$67),--(Roster_WorkshopType=$D$5),--(MONTH(Roster_WorkshopDate)=7),--(YEAR(Roster_WorkshopDate)=$D$4),Roster_NoOfAttendees)</f>
        <v>#VALUE!</v>
      </c>
      <c r="K67" s="4" t="e">
        <f>SUMPRODUCT(--(Roster_Trainer=$C$67),--(Roster_WorkshopType=$D$5),--(MONTH(Roster_WorkshopDate)=8),--(YEAR(Roster_WorkshopDate)=$D$4),Roster_NoOfAttendees)</f>
        <v>#VALUE!</v>
      </c>
      <c r="L67" s="4" t="e">
        <f>SUMPRODUCT(--(Roster_Trainer=$C$67),--(Roster_WorkshopType=$D$5),--(MONTH(Roster_WorkshopDate)=9),--(YEAR(Roster_WorkshopDate)=$D$4),Roster_NoOfAttendees)</f>
        <v>#VALUE!</v>
      </c>
      <c r="M67" s="4" t="e">
        <f>SUMPRODUCT(--(Roster_Trainer=$C$67),--(Roster_WorkshopType=$D$5),--(MONTH(Roster_WorkshopDate)=10),--(YEAR(Roster_WorkshopDate)=$D$4),Roster_NoOfAttendees)</f>
        <v>#VALUE!</v>
      </c>
      <c r="N67" s="4" t="e">
        <f>SUMPRODUCT(--(Roster_Trainer=$C$67),--(Roster_WorkshopType=$D$5),--(MONTH(Roster_WorkshopDate)=11),--(YEAR(Roster_WorkshopDate)=$D$4),Roster_NoOfAttendees)</f>
        <v>#VALUE!</v>
      </c>
      <c r="O67" s="4" t="e">
        <f>SUMPRODUCT(--(Roster_Trainer=$C$67),--(Roster_WorkshopType=$D$5),--(MONTH(Roster_WorkshopDate)=12),--(YEAR(Roster_WorkshopDate)=$D$4),Roster_NoOfAttendees)</f>
        <v>#VALUE!</v>
      </c>
      <c r="P67" s="46" t="e">
        <f>SUM(Table4[[#This Row],[Jan]:[Dec]])</f>
        <v>#VALUE!</v>
      </c>
    </row>
    <row r="68" spans="3:16" hidden="1">
      <c r="C68" s="42">
        <f>DataSheet!B28</f>
        <v>0</v>
      </c>
      <c r="D68" s="4" t="e">
        <f>SUMPRODUCT(--(Roster_Trainer=$C$68),--(Roster_WorkshopType=$D$5),--(MONTH(Roster_WorkshopDate)=1),--(YEAR(Roster_WorkshopDate)=$D$4),Roster_NoOfAttendees)</f>
        <v>#VALUE!</v>
      </c>
      <c r="E68" s="4" t="e">
        <f>SUMPRODUCT(--(Roster_Trainer=$C$68),--(Roster_WorkshopType=$D$5),--(MONTH(Roster_WorkshopDate)=2),--(YEAR(Roster_WorkshopDate)=$D$4),Roster_NoOfAttendees)</f>
        <v>#VALUE!</v>
      </c>
      <c r="F68" s="4" t="e">
        <f>SUMPRODUCT(--(Roster_Trainer=$C$68),--(Roster_WorkshopType=$D$5),--(MONTH(Roster_WorkshopDate)=3),--(YEAR(Roster_WorkshopDate)=$D$4),Roster_NoOfAttendees)</f>
        <v>#VALUE!</v>
      </c>
      <c r="G68" s="4" t="e">
        <f>SUMPRODUCT(--(Roster_Trainer=$C$68),--(Roster_WorkshopType=$D$5),--(MONTH(Roster_WorkshopDate)=4),--(YEAR(Roster_WorkshopDate)=$D$4),Roster_NoOfAttendees)</f>
        <v>#VALUE!</v>
      </c>
      <c r="H68" s="4" t="e">
        <f>SUMPRODUCT(--(Roster_Trainer=$C$68),--(Roster_WorkshopType=$D$5),--(MONTH(Roster_WorkshopDate)=5),--(YEAR(Roster_WorkshopDate)=$D$4),Roster_NoOfAttendees)</f>
        <v>#VALUE!</v>
      </c>
      <c r="I68" s="4" t="e">
        <f>SUMPRODUCT(--(Roster_Trainer=$C$68),--(Roster_WorkshopType=$D$5),--(MONTH(Roster_WorkshopDate)=6),--(YEAR(Roster_WorkshopDate)=$D$4),Roster_NoOfAttendees)</f>
        <v>#VALUE!</v>
      </c>
      <c r="J68" s="4" t="e">
        <f>SUMPRODUCT(--(Roster_Trainer=$C$68),--(Roster_WorkshopType=$D$5),--(MONTH(Roster_WorkshopDate)=7),--(YEAR(Roster_WorkshopDate)=$D$4),Roster_NoOfAttendees)</f>
        <v>#VALUE!</v>
      </c>
      <c r="K68" s="4" t="e">
        <f>SUMPRODUCT(--(Roster_Trainer=$C$68),--(Roster_WorkshopType=$D$5),--(MONTH(Roster_WorkshopDate)=8),--(YEAR(Roster_WorkshopDate)=$D$4),Roster_NoOfAttendees)</f>
        <v>#VALUE!</v>
      </c>
      <c r="L68" s="4" t="e">
        <f>SUMPRODUCT(--(Roster_Trainer=$C$68),--(Roster_WorkshopType=$D$5),--(MONTH(Roster_WorkshopDate)=9),--(YEAR(Roster_WorkshopDate)=$D$4),Roster_NoOfAttendees)</f>
        <v>#VALUE!</v>
      </c>
      <c r="M68" s="4" t="e">
        <f>SUMPRODUCT(--(Roster_Trainer=$C$68),--(Roster_WorkshopType=$D$5),--(MONTH(Roster_WorkshopDate)=10),--(YEAR(Roster_WorkshopDate)=$D$4),Roster_NoOfAttendees)</f>
        <v>#VALUE!</v>
      </c>
      <c r="N68" s="4" t="e">
        <f>SUMPRODUCT(--(Roster_Trainer=$C$68),--(Roster_WorkshopType=$D$5),--(MONTH(Roster_WorkshopDate)=11),--(YEAR(Roster_WorkshopDate)=$D$4),Roster_NoOfAttendees)</f>
        <v>#VALUE!</v>
      </c>
      <c r="O68" s="4" t="e">
        <f>SUMPRODUCT(--(Roster_Trainer=$C$68),--(Roster_WorkshopType=$D$5),--(MONTH(Roster_WorkshopDate)=12),--(YEAR(Roster_WorkshopDate)=$D$4),Roster_NoOfAttendees)</f>
        <v>#VALUE!</v>
      </c>
      <c r="P68" s="46" t="e">
        <f>SUM(Table4[[#This Row],[Jan]:[Dec]])</f>
        <v>#VALUE!</v>
      </c>
    </row>
    <row r="69" spans="3:16" hidden="1">
      <c r="C69" s="42">
        <f>DataSheet!B29</f>
        <v>0</v>
      </c>
      <c r="D69" s="4" t="e">
        <f>SUMPRODUCT(--(Roster_Trainer=$C$69),--(Roster_WorkshopType=$D$5),--(MONTH(Roster_WorkshopDate)=1),--(YEAR(Roster_WorkshopDate)=$D$4),Roster_NoOfAttendees)</f>
        <v>#VALUE!</v>
      </c>
      <c r="E69" s="4" t="e">
        <f>SUMPRODUCT(--(Roster_Trainer=$C$69),--(Roster_WorkshopType=$D$5),--(MONTH(Roster_WorkshopDate)=2),--(YEAR(Roster_WorkshopDate)=$D$4),Roster_NoOfAttendees)</f>
        <v>#VALUE!</v>
      </c>
      <c r="F69" s="4" t="e">
        <f>SUMPRODUCT(--(Roster_Trainer=$C$69),--(Roster_WorkshopType=$D$5),--(MONTH(Roster_WorkshopDate)=3),--(YEAR(Roster_WorkshopDate)=$D$4),Roster_NoOfAttendees)</f>
        <v>#VALUE!</v>
      </c>
      <c r="G69" s="4" t="e">
        <f>SUMPRODUCT(--(Roster_Trainer=$C$69),--(Roster_WorkshopType=$D$5),--(MONTH(Roster_WorkshopDate)=4),--(YEAR(Roster_WorkshopDate)=$D$4),Roster_NoOfAttendees)</f>
        <v>#VALUE!</v>
      </c>
      <c r="H69" s="4" t="e">
        <f>SUMPRODUCT(--(Roster_Trainer=$C$69),--(Roster_WorkshopType=$D$5),--(MONTH(Roster_WorkshopDate)=5),--(YEAR(Roster_WorkshopDate)=$D$4),Roster_NoOfAttendees)</f>
        <v>#VALUE!</v>
      </c>
      <c r="I69" s="4" t="e">
        <f>SUMPRODUCT(--(Roster_Trainer=$C$69),--(Roster_WorkshopType=$D$5),--(MONTH(Roster_WorkshopDate)=6),--(YEAR(Roster_WorkshopDate)=$D$4),Roster_NoOfAttendees)</f>
        <v>#VALUE!</v>
      </c>
      <c r="J69" s="4" t="e">
        <f>SUMPRODUCT(--(Roster_Trainer=$C$69),--(Roster_WorkshopType=$D$5),--(MONTH(Roster_WorkshopDate)=7),--(YEAR(Roster_WorkshopDate)=$D$4),Roster_NoOfAttendees)</f>
        <v>#VALUE!</v>
      </c>
      <c r="K69" s="4" t="e">
        <f>SUMPRODUCT(--(Roster_Trainer=$C$69),--(Roster_WorkshopType=$D$5),--(MONTH(Roster_WorkshopDate)=8),--(YEAR(Roster_WorkshopDate)=$D$4),Roster_NoOfAttendees)</f>
        <v>#VALUE!</v>
      </c>
      <c r="L69" s="4" t="e">
        <f>SUMPRODUCT(--(Roster_Trainer=$C$69),--(Roster_WorkshopType=$D$5),--(MONTH(Roster_WorkshopDate)=9),--(YEAR(Roster_WorkshopDate)=$D$4),Roster_NoOfAttendees)</f>
        <v>#VALUE!</v>
      </c>
      <c r="M69" s="4" t="e">
        <f>SUMPRODUCT(--(Roster_Trainer=$C$69),--(Roster_WorkshopType=$D$5),--(MONTH(Roster_WorkshopDate)=10),--(YEAR(Roster_WorkshopDate)=$D$4),Roster_NoOfAttendees)</f>
        <v>#VALUE!</v>
      </c>
      <c r="N69" s="4" t="e">
        <f>SUMPRODUCT(--(Roster_Trainer=$C$69),--(Roster_WorkshopType=$D$5),--(MONTH(Roster_WorkshopDate)=11),--(YEAR(Roster_WorkshopDate)=$D$4),Roster_NoOfAttendees)</f>
        <v>#VALUE!</v>
      </c>
      <c r="O69" s="4" t="e">
        <f>SUMPRODUCT(--(Roster_Trainer=$C$69),--(Roster_WorkshopType=$D$5),--(MONTH(Roster_WorkshopDate)=12),--(YEAR(Roster_WorkshopDate)=$D$4),Roster_NoOfAttendees)</f>
        <v>#VALUE!</v>
      </c>
      <c r="P69" s="46" t="e">
        <f>SUM(Table4[[#This Row],[Jan]:[Dec]])</f>
        <v>#VALUE!</v>
      </c>
    </row>
    <row r="70" spans="3:16" hidden="1">
      <c r="C70" s="42">
        <f>DataSheet!B30</f>
        <v>0</v>
      </c>
      <c r="D70" s="4" t="e">
        <f>SUMPRODUCT(--(Roster_Trainer=$C$70),--(Roster_WorkshopType=$D$5),--(MONTH(Roster_WorkshopDate)=1),--(YEAR(Roster_WorkshopDate)=$D$4),Roster_NoOfAttendees)</f>
        <v>#VALUE!</v>
      </c>
      <c r="E70" s="4" t="e">
        <f>SUMPRODUCT(--(Roster_Trainer=$C$70),--(Roster_WorkshopType=$D$5),--(MONTH(Roster_WorkshopDate)=2),--(YEAR(Roster_WorkshopDate)=$D$4),Roster_NoOfAttendees)</f>
        <v>#VALUE!</v>
      </c>
      <c r="F70" s="4" t="e">
        <f>SUMPRODUCT(--(Roster_Trainer=$C$70),--(Roster_WorkshopType=$D$5),--(MONTH(Roster_WorkshopDate)=3),--(YEAR(Roster_WorkshopDate)=$D$4),Roster_NoOfAttendees)</f>
        <v>#VALUE!</v>
      </c>
      <c r="G70" s="4" t="e">
        <f>SUMPRODUCT(--(Roster_Trainer=$C$70),--(Roster_WorkshopType=$D$5),--(MONTH(Roster_WorkshopDate)=4),--(YEAR(Roster_WorkshopDate)=$D$4),Roster_NoOfAttendees)</f>
        <v>#VALUE!</v>
      </c>
      <c r="H70" s="4" t="e">
        <f>SUMPRODUCT(--(Roster_Trainer=$C$70),--(Roster_WorkshopType=$D$5),--(MONTH(Roster_WorkshopDate)=5),--(YEAR(Roster_WorkshopDate)=$D$4),Roster_NoOfAttendees)</f>
        <v>#VALUE!</v>
      </c>
      <c r="I70" s="4" t="e">
        <f>SUMPRODUCT(--(Roster_Trainer=$C$70),--(Roster_WorkshopType=$D$5),--(MONTH(Roster_WorkshopDate)=6),--(YEAR(Roster_WorkshopDate)=$D$4),Roster_NoOfAttendees)</f>
        <v>#VALUE!</v>
      </c>
      <c r="J70" s="4" t="e">
        <f>SUMPRODUCT(--(Roster_Trainer=$C$70),--(Roster_WorkshopType=$D$5),--(MONTH(Roster_WorkshopDate)=7),--(YEAR(Roster_WorkshopDate)=$D$4),Roster_NoOfAttendees)</f>
        <v>#VALUE!</v>
      </c>
      <c r="K70" s="4" t="e">
        <f>SUMPRODUCT(--(Roster_Trainer=$C$70),--(Roster_WorkshopType=$D$5),--(MONTH(Roster_WorkshopDate)=8),--(YEAR(Roster_WorkshopDate)=$D$4),Roster_NoOfAttendees)</f>
        <v>#VALUE!</v>
      </c>
      <c r="L70" s="4" t="e">
        <f>SUMPRODUCT(--(Roster_Trainer=$C$70),--(Roster_WorkshopType=$D$5),--(MONTH(Roster_WorkshopDate)=9),--(YEAR(Roster_WorkshopDate)=$D$4),Roster_NoOfAttendees)</f>
        <v>#VALUE!</v>
      </c>
      <c r="M70" s="4" t="e">
        <f>SUMPRODUCT(--(Roster_Trainer=$C$70),--(Roster_WorkshopType=$D$5),--(MONTH(Roster_WorkshopDate)=10),--(YEAR(Roster_WorkshopDate)=$D$4),Roster_NoOfAttendees)</f>
        <v>#VALUE!</v>
      </c>
      <c r="N70" s="4" t="e">
        <f>SUMPRODUCT(--(Roster_Trainer=$C$70),--(Roster_WorkshopType=$D$5),--(MONTH(Roster_WorkshopDate)=11),--(YEAR(Roster_WorkshopDate)=$D$4),Roster_NoOfAttendees)</f>
        <v>#VALUE!</v>
      </c>
      <c r="O70" s="4" t="e">
        <f>SUMPRODUCT(--(Roster_Trainer=$C$70),--(Roster_WorkshopType=$D$5),--(MONTH(Roster_WorkshopDate)=12),--(YEAR(Roster_WorkshopDate)=$D$4),Roster_NoOfAttendees)</f>
        <v>#VALUE!</v>
      </c>
      <c r="P70" s="46" t="e">
        <f>SUM(Table4[[#This Row],[Jan]:[Dec]])</f>
        <v>#VALUE!</v>
      </c>
    </row>
    <row r="71" spans="3:16" hidden="1">
      <c r="C71" s="42">
        <f>DataSheet!B31</f>
        <v>0</v>
      </c>
      <c r="D71" s="4" t="e">
        <f>SUMPRODUCT(--(Roster_Trainer=$C$71),--(Roster_WorkshopType=$D$5),--(MONTH(Roster_WorkshopDate)=1),--(YEAR(Roster_WorkshopDate)=$D$4),Roster_NoOfAttendees)</f>
        <v>#VALUE!</v>
      </c>
      <c r="E71" s="4" t="e">
        <f>SUMPRODUCT(--(Roster_Trainer=$C$71),--(Roster_WorkshopType=$D$5),--(MONTH(Roster_WorkshopDate)=2),--(YEAR(Roster_WorkshopDate)=$D$4),Roster_NoOfAttendees)</f>
        <v>#VALUE!</v>
      </c>
      <c r="F71" s="4" t="e">
        <f>SUMPRODUCT(--(Roster_Trainer=$C$71),--(Roster_WorkshopType=$D$5),--(MONTH(Roster_WorkshopDate)=3),--(YEAR(Roster_WorkshopDate)=$D$4),Roster_NoOfAttendees)</f>
        <v>#VALUE!</v>
      </c>
      <c r="G71" s="4" t="e">
        <f>SUMPRODUCT(--(Roster_Trainer=$C$71),--(Roster_WorkshopType=$D$5),--(MONTH(Roster_WorkshopDate)=4),--(YEAR(Roster_WorkshopDate)=$D$4),Roster_NoOfAttendees)</f>
        <v>#VALUE!</v>
      </c>
      <c r="H71" s="4" t="e">
        <f>SUMPRODUCT(--(Roster_Trainer=$C$71),--(Roster_WorkshopType=$D$5),--(MONTH(Roster_WorkshopDate)=5),--(YEAR(Roster_WorkshopDate)=$D$4),Roster_NoOfAttendees)</f>
        <v>#VALUE!</v>
      </c>
      <c r="I71" s="4" t="e">
        <f>SUMPRODUCT(--(Roster_Trainer=$C$71),--(Roster_WorkshopType=$D$5),--(MONTH(Roster_WorkshopDate)=6),--(YEAR(Roster_WorkshopDate)=$D$4),Roster_NoOfAttendees)</f>
        <v>#VALUE!</v>
      </c>
      <c r="J71" s="4" t="e">
        <f>SUMPRODUCT(--(Roster_Trainer=$C$71),--(Roster_WorkshopType=$D$5),--(MONTH(Roster_WorkshopDate)=7),--(YEAR(Roster_WorkshopDate)=$D$4),Roster_NoOfAttendees)</f>
        <v>#VALUE!</v>
      </c>
      <c r="K71" s="4" t="e">
        <f>SUMPRODUCT(--(Roster_Trainer=$C$71),--(Roster_WorkshopType=$D$5),--(MONTH(Roster_WorkshopDate)=8),--(YEAR(Roster_WorkshopDate)=$D$4),Roster_NoOfAttendees)</f>
        <v>#VALUE!</v>
      </c>
      <c r="L71" s="4" t="e">
        <f>SUMPRODUCT(--(Roster_Trainer=$C$71),--(Roster_WorkshopType=$D$5),--(MONTH(Roster_WorkshopDate)=9),--(YEAR(Roster_WorkshopDate)=$D$4),Roster_NoOfAttendees)</f>
        <v>#VALUE!</v>
      </c>
      <c r="M71" s="4" t="e">
        <f>SUMPRODUCT(--(Roster_Trainer=$C$71),--(Roster_WorkshopType=$D$5),--(MONTH(Roster_WorkshopDate)=10),--(YEAR(Roster_WorkshopDate)=$D$4),Roster_NoOfAttendees)</f>
        <v>#VALUE!</v>
      </c>
      <c r="N71" s="4" t="e">
        <f>SUMPRODUCT(--(Roster_Trainer=$C$71),--(Roster_WorkshopType=$D$5),--(MONTH(Roster_WorkshopDate)=11),--(YEAR(Roster_WorkshopDate)=$D$4),Roster_NoOfAttendees)</f>
        <v>#VALUE!</v>
      </c>
      <c r="O71" s="4" t="e">
        <f>SUMPRODUCT(--(Roster_Trainer=$C$71),--(Roster_WorkshopType=$D$5),--(MONTH(Roster_WorkshopDate)=12),--(YEAR(Roster_WorkshopDate)=$D$4),Roster_NoOfAttendees)</f>
        <v>#VALUE!</v>
      </c>
      <c r="P71" s="46" t="e">
        <f>SUM(Table4[[#This Row],[Jan]:[Dec]])</f>
        <v>#VALUE!</v>
      </c>
    </row>
    <row r="72" spans="3:16">
      <c r="C72" s="42">
        <f>DataSheet!B32</f>
        <v>0</v>
      </c>
      <c r="D72" s="4" t="e">
        <f>SUMPRODUCT(--(Roster_Trainer=$C$72),--(Roster_WorkshopType=$D$5),--(MONTH(Roster_WorkshopDate)=1),--(YEAR(Roster_WorkshopDate)=$D$4),Roster_NoOfAttendees)</f>
        <v>#VALUE!</v>
      </c>
      <c r="E72" s="4" t="e">
        <f>SUMPRODUCT(--(Roster_Trainer=$C$72),--(Roster_WorkshopType=$D$5),--(MONTH(Roster_WorkshopDate)=2),--(YEAR(Roster_WorkshopDate)=$D$4),Roster_NoOfAttendees)</f>
        <v>#VALUE!</v>
      </c>
      <c r="F72" s="4" t="e">
        <f>SUMPRODUCT(--(Roster_Trainer=$C$72),--(Roster_WorkshopType=$D$5),--(MONTH(Roster_WorkshopDate)=3),--(YEAR(Roster_WorkshopDate)=$D$4),Roster_NoOfAttendees)</f>
        <v>#VALUE!</v>
      </c>
      <c r="G72" s="4" t="e">
        <f>SUMPRODUCT(--(Roster_Trainer=$C$72),--(Roster_WorkshopType=$D$5),--(MONTH(Roster_WorkshopDate)=4),--(YEAR(Roster_WorkshopDate)=$D$4),Roster_NoOfAttendees)</f>
        <v>#VALUE!</v>
      </c>
      <c r="H72" s="4" t="e">
        <f>SUMPRODUCT(--(Roster_Trainer=$C$72),--(Roster_WorkshopType=$D$5),--(MONTH(Roster_WorkshopDate)=5),--(YEAR(Roster_WorkshopDate)=$D$4),Roster_NoOfAttendees)</f>
        <v>#VALUE!</v>
      </c>
      <c r="I72" s="4" t="e">
        <f>SUMPRODUCT(--(Roster_Trainer=$C$72),--(Roster_WorkshopType=$D$5),--(MONTH(Roster_WorkshopDate)=6),--(YEAR(Roster_WorkshopDate)=$D$4),Roster_NoOfAttendees)</f>
        <v>#VALUE!</v>
      </c>
      <c r="J72" s="4" t="e">
        <f>SUMPRODUCT(--(Roster_Trainer=$C$72),--(Roster_WorkshopType=$D$5),--(MONTH(Roster_WorkshopDate)=7),--(YEAR(Roster_WorkshopDate)=$D$4),Roster_NoOfAttendees)</f>
        <v>#VALUE!</v>
      </c>
      <c r="K72" s="4" t="e">
        <f>SUMPRODUCT(--(Roster_Trainer=$C$72),--(Roster_WorkshopType=$D$5),--(MONTH(Roster_WorkshopDate)=8),--(YEAR(Roster_WorkshopDate)=$D$4),Roster_NoOfAttendees)</f>
        <v>#VALUE!</v>
      </c>
      <c r="L72" s="4" t="e">
        <f>SUMPRODUCT(--(Roster_Trainer=$C$72),--(Roster_WorkshopType=$D$5),--(MONTH(Roster_WorkshopDate)=9),--(YEAR(Roster_WorkshopDate)=$D$4),Roster_NoOfAttendees)</f>
        <v>#VALUE!</v>
      </c>
      <c r="M72" s="4" t="e">
        <f>SUMPRODUCT(--(Roster_Trainer=$C$72),--(Roster_WorkshopType=$D$5),--(MONTH(Roster_WorkshopDate)=10),--(YEAR(Roster_WorkshopDate)=$D$4),Roster_NoOfAttendees)</f>
        <v>#VALUE!</v>
      </c>
      <c r="N72" s="4" t="e">
        <f>SUMPRODUCT(--(Roster_Trainer=$C$72),--(Roster_WorkshopType=$D$5),--(MONTH(Roster_WorkshopDate)=11),--(YEAR(Roster_WorkshopDate)=$D$4),Roster_NoOfAttendees)</f>
        <v>#VALUE!</v>
      </c>
      <c r="O72" s="4" t="e">
        <f>SUMPRODUCT(--(Roster_Trainer=$C$72),--(Roster_WorkshopType=$D$5),--(MONTH(Roster_WorkshopDate)=12),--(YEAR(Roster_WorkshopDate)=$D$4),Roster_NoOfAttendees)</f>
        <v>#VALUE!</v>
      </c>
      <c r="P72" s="46" t="e">
        <f>SUM(Table4[[#This Row],[Jan]:[Dec]])</f>
        <v>#VALUE!</v>
      </c>
    </row>
    <row r="119" spans="3:16" hidden="1"/>
    <row r="120" spans="3:16" s="5" customFormat="1" hidden="1">
      <c r="C120" s="47" t="s">
        <v>67</v>
      </c>
      <c r="D120" s="48" t="s">
        <v>37</v>
      </c>
      <c r="E120" s="48" t="s">
        <v>38</v>
      </c>
      <c r="F120" s="48" t="s">
        <v>39</v>
      </c>
      <c r="G120" s="48" t="s">
        <v>40</v>
      </c>
      <c r="H120" s="48" t="s">
        <v>41</v>
      </c>
      <c r="I120" s="48" t="s">
        <v>42</v>
      </c>
      <c r="J120" s="48" t="s">
        <v>43</v>
      </c>
      <c r="K120" s="48" t="s">
        <v>44</v>
      </c>
      <c r="L120" s="48" t="s">
        <v>45</v>
      </c>
      <c r="M120" s="48" t="s">
        <v>46</v>
      </c>
      <c r="N120" s="48" t="s">
        <v>47</v>
      </c>
      <c r="O120" s="48" t="s">
        <v>48</v>
      </c>
      <c r="P120" s="48" t="s">
        <v>28</v>
      </c>
    </row>
    <row r="121" spans="3:16" hidden="1">
      <c r="C121" s="36" t="s">
        <v>18</v>
      </c>
      <c r="D121" s="3" t="e">
        <f>SUMPRODUCT(--(Roster_Status=$C$121),--(Roster_WorkshopType=$C$120),--(MONTH(Roster_WorkshopDate)=1),Roster_NoOfAttendees)</f>
        <v>#VALUE!</v>
      </c>
      <c r="E121" s="3" t="e">
        <f>SUMPRODUCT(--(Roster_Status=$C$121),--(Roster_WorkshopType=$C$120),--(MONTH(Roster_WorkshopDate)=2),Roster_NoOfAttendees)</f>
        <v>#VALUE!</v>
      </c>
      <c r="F121" s="3" t="e">
        <f>SUMPRODUCT(--(Roster_Status=$C$121),--(Roster_WorkshopType=$C$120),--(MONTH(Roster_WorkshopDate)=3),Roster_NoOfAttendees)</f>
        <v>#VALUE!</v>
      </c>
      <c r="G121" s="3" t="e">
        <f>SUMPRODUCT(--(Roster_Status=$C$121),--(Roster_WorkshopType=$C$120),--(MONTH(Roster_WorkshopDate)=4),Roster_NoOfAttendees)</f>
        <v>#VALUE!</v>
      </c>
      <c r="H121" s="3" t="e">
        <f>SUMPRODUCT(--(Roster_Status=$C$121),--(Roster_WorkshopType=$C$120),--(MONTH(Roster_WorkshopDate)=5),Roster_NoOfAttendees)</f>
        <v>#VALUE!</v>
      </c>
      <c r="I121" s="3" t="e">
        <f>SUMPRODUCT(--(Roster_Status=$C$121),--(Roster_WorkshopType=$C$120),--(MONTH(Roster_WorkshopDate)=6),Roster_NoOfAttendees)</f>
        <v>#VALUE!</v>
      </c>
      <c r="J121" s="3" t="e">
        <f>SUMPRODUCT(--(Roster_Status=$C$121),--(Roster_WorkshopType=$C$120),--(MONTH(Roster_WorkshopDate)=7),Roster_NoOfAttendees)</f>
        <v>#VALUE!</v>
      </c>
      <c r="K121" s="3" t="e">
        <f>SUMPRODUCT(--(Roster_Status=$C$121),--(Roster_WorkshopType=$C$120),--(MONTH(Roster_WorkshopDate)=8),Roster_NoOfAttendees)</f>
        <v>#VALUE!</v>
      </c>
      <c r="L121" s="3" t="e">
        <f>SUMPRODUCT(--(Roster_Status=$C$121),--(Roster_WorkshopType=$C$120),--(MONTH(Roster_WorkshopDate)=9),Roster_NoOfAttendees)</f>
        <v>#VALUE!</v>
      </c>
      <c r="M121" s="3" t="e">
        <f>SUMPRODUCT(--(Roster_Status=$C$121),--(Roster_WorkshopType=$C$120),--(MONTH(Roster_WorkshopDate)=10),Roster_NoOfAttendees)</f>
        <v>#VALUE!</v>
      </c>
      <c r="N121" s="3" t="e">
        <f>SUMPRODUCT(--(Roster_Status=$C$121),--(Roster_WorkshopType=$C$120),--(MONTH(Roster_WorkshopDate)=11),Roster_NoOfAttendees)</f>
        <v>#VALUE!</v>
      </c>
      <c r="O121" s="3" t="e">
        <f>SUMPRODUCT(--(Roster_Status=$C$121),--(Roster_WorkshopType=$C$120),--(MONTH(Roster_WorkshopDate)=12),Roster_NoOfAttendees)</f>
        <v>#VALUE!</v>
      </c>
      <c r="P121" s="3" t="e">
        <f>SUM(D121:O121)</f>
        <v>#VALUE!</v>
      </c>
    </row>
    <row r="122" spans="3:16" hidden="1"/>
  </sheetData>
  <sheetProtection password="E3F9" sheet="1" objects="1" scenarios="1" selectLockedCells="1"/>
  <mergeCells count="6">
    <mergeCell ref="B2:Q2"/>
    <mergeCell ref="D5:E5"/>
    <mergeCell ref="C18:P18"/>
    <mergeCell ref="C7:P7"/>
    <mergeCell ref="C39:P39"/>
    <mergeCell ref="D4:E4"/>
  </mergeCells>
  <conditionalFormatting sqref="D9:P17">
    <cfRule type="cellIs" dxfId="86" priority="4" operator="equal">
      <formula>0</formula>
    </cfRule>
  </conditionalFormatting>
  <conditionalFormatting sqref="D6:P6">
    <cfRule type="cellIs" dxfId="85" priority="3" operator="equal">
      <formula>0</formula>
    </cfRule>
  </conditionalFormatting>
  <conditionalFormatting sqref="D20:P36">
    <cfRule type="cellIs" dxfId="84" priority="2" operator="equal">
      <formula>0</formula>
    </cfRule>
  </conditionalFormatting>
  <conditionalFormatting sqref="D41:P72">
    <cfRule type="cellIs" dxfId="83" priority="1" operator="equal">
      <formula>0</formula>
    </cfRule>
  </conditionalFormatting>
  <dataValidations count="1">
    <dataValidation type="list" allowBlank="1" showInputMessage="1" showErrorMessage="1" sqref="D5:E6">
      <formula1>WorkshopType</formula1>
    </dataValidation>
  </dataValidations>
  <printOptions horizontalCentered="1"/>
  <pageMargins left="0.25" right="0.25" top="0.25" bottom="0.25" header="0.3" footer="0.3"/>
  <pageSetup scale="70" fitToHeight="2" orientation="landscape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U102"/>
  <sheetViews>
    <sheetView showGridLines="0" tabSelected="1" topLeftCell="B69" zoomScale="80" zoomScaleNormal="80" workbookViewId="0">
      <selection activeCell="M97" sqref="M97"/>
    </sheetView>
  </sheetViews>
  <sheetFormatPr defaultRowHeight="15"/>
  <cols>
    <col min="1" max="1" width="6.5703125" customWidth="1"/>
    <col min="2" max="2" width="23.140625" customWidth="1"/>
    <col min="3" max="3" width="19.140625" customWidth="1"/>
    <col min="4" max="4" width="20.85546875" customWidth="1"/>
    <col min="5" max="5" width="13" style="65" customWidth="1"/>
    <col min="6" max="6" width="17" customWidth="1"/>
    <col min="7" max="7" width="14.7109375" style="65" customWidth="1"/>
    <col min="8" max="8" width="25.85546875" customWidth="1"/>
    <col min="9" max="9" width="15.140625" customWidth="1"/>
    <col min="10" max="10" width="13.140625" style="65" customWidth="1"/>
    <col min="11" max="11" width="11.28515625" customWidth="1"/>
    <col min="12" max="12" width="9.28515625" customWidth="1"/>
    <col min="13" max="13" width="11.140625" style="65" customWidth="1"/>
    <col min="14" max="14" width="11.42578125" customWidth="1"/>
    <col min="15" max="15" width="14.7109375" customWidth="1"/>
    <col min="16" max="16" width="9" customWidth="1"/>
    <col min="17" max="17" width="10.28515625" customWidth="1"/>
    <col min="18" max="18" width="13" customWidth="1"/>
    <col min="19" max="19" width="14.42578125" bestFit="1" customWidth="1"/>
    <col min="20" max="20" width="13.85546875" bestFit="1" customWidth="1"/>
    <col min="21" max="21" width="8.42578125" customWidth="1"/>
  </cols>
  <sheetData>
    <row r="1" spans="1:21" s="2" customFormat="1" ht="15.75" thickBot="1">
      <c r="E1" s="65"/>
      <c r="G1" s="65"/>
      <c r="J1" s="65"/>
      <c r="M1" s="65"/>
    </row>
    <row r="2" spans="1:21" s="2" customFormat="1" ht="19.5" thickBot="1">
      <c r="A2" s="139" t="s">
        <v>36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</row>
    <row r="4" spans="1:21" s="5" customFormat="1" ht="30" customHeight="1">
      <c r="A4" s="7" t="s">
        <v>24</v>
      </c>
      <c r="B4" s="8" t="s">
        <v>19</v>
      </c>
      <c r="C4" s="8" t="s">
        <v>20</v>
      </c>
      <c r="D4" s="9" t="s">
        <v>27</v>
      </c>
      <c r="E4" s="9" t="s">
        <v>137</v>
      </c>
      <c r="F4" s="8" t="s">
        <v>29</v>
      </c>
      <c r="G4" s="8" t="s">
        <v>30</v>
      </c>
      <c r="H4" s="8" t="s">
        <v>31</v>
      </c>
      <c r="I4" s="9" t="s">
        <v>77</v>
      </c>
      <c r="J4" s="9" t="s">
        <v>35</v>
      </c>
      <c r="K4" s="8" t="s">
        <v>32</v>
      </c>
      <c r="L4" s="8" t="s">
        <v>33</v>
      </c>
      <c r="M4" s="9" t="s">
        <v>25</v>
      </c>
      <c r="N4" s="8" t="s">
        <v>21</v>
      </c>
      <c r="O4" s="8" t="s">
        <v>22</v>
      </c>
      <c r="P4" s="8" t="s">
        <v>23</v>
      </c>
      <c r="Q4" s="9" t="s">
        <v>26</v>
      </c>
      <c r="R4" s="9" t="s">
        <v>34</v>
      </c>
      <c r="S4" s="9" t="s">
        <v>56</v>
      </c>
      <c r="T4" s="9" t="s">
        <v>57</v>
      </c>
      <c r="U4" s="9" t="s">
        <v>58</v>
      </c>
    </row>
    <row r="5" spans="1:21" s="13" customFormat="1">
      <c r="A5" s="87"/>
      <c r="B5" s="68"/>
      <c r="C5" s="10"/>
      <c r="D5" s="10"/>
      <c r="E5" s="66"/>
      <c r="F5" s="10"/>
      <c r="G5" s="68"/>
      <c r="H5" s="10"/>
      <c r="I5" s="10"/>
      <c r="J5" s="66"/>
      <c r="K5" s="11"/>
      <c r="L5" s="11"/>
      <c r="M5" s="70"/>
      <c r="N5" s="10"/>
      <c r="O5" s="10"/>
      <c r="P5" s="10"/>
      <c r="Q5" s="70"/>
      <c r="R5" s="12"/>
      <c r="S5" s="34"/>
      <c r="T5" s="34"/>
      <c r="U5" s="34"/>
    </row>
    <row r="6" spans="1:21">
      <c r="A6" s="88">
        <v>1</v>
      </c>
      <c r="B6" s="69" t="s">
        <v>18</v>
      </c>
      <c r="C6" s="15" t="s">
        <v>107</v>
      </c>
      <c r="D6" s="15" t="s">
        <v>12</v>
      </c>
      <c r="E6" s="67">
        <v>41633</v>
      </c>
      <c r="F6" s="15" t="s">
        <v>108</v>
      </c>
      <c r="G6" s="69">
        <v>9789934853</v>
      </c>
      <c r="H6" s="15" t="s">
        <v>106</v>
      </c>
      <c r="I6" s="10" t="s">
        <v>67</v>
      </c>
      <c r="J6" s="67">
        <v>41642</v>
      </c>
      <c r="K6" s="16">
        <v>0.60416666666666696</v>
      </c>
      <c r="L6" s="16">
        <v>0.70833333333333337</v>
      </c>
      <c r="M6" s="71">
        <v>48</v>
      </c>
      <c r="N6" s="15" t="s">
        <v>93</v>
      </c>
      <c r="O6" s="15" t="s">
        <v>109</v>
      </c>
      <c r="P6" s="15"/>
      <c r="Q6" s="71"/>
      <c r="R6" s="18"/>
      <c r="S6" s="12"/>
      <c r="T6" s="12"/>
      <c r="U6" s="12"/>
    </row>
    <row r="7" spans="1:21">
      <c r="A7" s="88">
        <v>2</v>
      </c>
      <c r="B7" s="69" t="s">
        <v>18</v>
      </c>
      <c r="C7" s="15" t="s">
        <v>110</v>
      </c>
      <c r="D7" s="15" t="s">
        <v>0</v>
      </c>
      <c r="E7" s="67">
        <v>41634</v>
      </c>
      <c r="F7" s="15" t="s">
        <v>111</v>
      </c>
      <c r="G7" s="69">
        <v>7200066009</v>
      </c>
      <c r="H7" s="15" t="s">
        <v>112</v>
      </c>
      <c r="I7" s="10" t="s">
        <v>67</v>
      </c>
      <c r="J7" s="67">
        <v>41646</v>
      </c>
      <c r="K7" s="16">
        <v>0.45833333333333331</v>
      </c>
      <c r="L7" s="16">
        <v>0.54166666666666663</v>
      </c>
      <c r="M7" s="71">
        <v>61</v>
      </c>
      <c r="N7" s="15" t="s">
        <v>92</v>
      </c>
      <c r="O7" s="10" t="s">
        <v>93</v>
      </c>
      <c r="P7" s="10"/>
      <c r="Q7" s="71"/>
      <c r="R7" s="18"/>
      <c r="S7" s="12"/>
      <c r="T7" s="12"/>
      <c r="U7" s="12"/>
    </row>
    <row r="8" spans="1:21">
      <c r="A8" s="88">
        <v>3</v>
      </c>
      <c r="B8" s="69" t="s">
        <v>18</v>
      </c>
      <c r="C8" s="15" t="s">
        <v>113</v>
      </c>
      <c r="D8" s="15" t="s">
        <v>1</v>
      </c>
      <c r="E8" s="67">
        <v>41646</v>
      </c>
      <c r="F8" s="15" t="s">
        <v>114</v>
      </c>
      <c r="G8" s="69">
        <v>9444184001</v>
      </c>
      <c r="H8" s="15" t="s">
        <v>115</v>
      </c>
      <c r="I8" s="10" t="s">
        <v>70</v>
      </c>
      <c r="J8" s="67">
        <v>41649</v>
      </c>
      <c r="K8" s="16">
        <v>0.47916666666666702</v>
      </c>
      <c r="L8" s="16">
        <v>0.52083333333333337</v>
      </c>
      <c r="M8" s="71">
        <v>150</v>
      </c>
      <c r="N8" s="15" t="s">
        <v>93</v>
      </c>
      <c r="O8" s="15"/>
      <c r="P8" s="10"/>
      <c r="Q8" s="71"/>
      <c r="R8" s="18"/>
      <c r="S8" s="12"/>
      <c r="T8" s="12"/>
      <c r="U8" s="12"/>
    </row>
    <row r="9" spans="1:21">
      <c r="A9" s="88">
        <v>4</v>
      </c>
      <c r="B9" s="68"/>
      <c r="C9" s="92" t="s">
        <v>116</v>
      </c>
      <c r="D9" s="10" t="s">
        <v>7</v>
      </c>
      <c r="E9" s="66">
        <v>41628</v>
      </c>
      <c r="F9" s="10"/>
      <c r="G9" s="68"/>
      <c r="H9" s="10" t="s">
        <v>117</v>
      </c>
      <c r="I9" s="10" t="s">
        <v>69</v>
      </c>
      <c r="J9" s="66">
        <v>41658</v>
      </c>
      <c r="K9" s="11">
        <v>0.41666666666666669</v>
      </c>
      <c r="L9" s="11">
        <v>0.54166666666666663</v>
      </c>
      <c r="M9" s="70">
        <v>65</v>
      </c>
      <c r="N9" s="10" t="s">
        <v>118</v>
      </c>
      <c r="O9" s="15"/>
      <c r="P9" s="10"/>
      <c r="Q9" s="70"/>
      <c r="R9" s="14"/>
      <c r="S9" s="12"/>
      <c r="T9" s="12"/>
      <c r="U9" s="12"/>
    </row>
    <row r="10" spans="1:21">
      <c r="A10" s="88">
        <v>5</v>
      </c>
      <c r="B10" s="69" t="s">
        <v>18</v>
      </c>
      <c r="C10" s="15" t="s">
        <v>110</v>
      </c>
      <c r="D10" s="15" t="s">
        <v>2</v>
      </c>
      <c r="E10" s="67">
        <v>41644</v>
      </c>
      <c r="F10" s="15" t="s">
        <v>111</v>
      </c>
      <c r="G10" s="69">
        <v>7200066009</v>
      </c>
      <c r="H10" s="15" t="s">
        <v>119</v>
      </c>
      <c r="I10" s="10" t="s">
        <v>68</v>
      </c>
      <c r="J10" s="66">
        <v>41661</v>
      </c>
      <c r="K10" s="16">
        <v>0.47916666666666669</v>
      </c>
      <c r="L10" s="16">
        <v>0.54166666666666663</v>
      </c>
      <c r="M10" s="71">
        <v>100</v>
      </c>
      <c r="N10" s="15" t="s">
        <v>93</v>
      </c>
      <c r="O10" s="15"/>
      <c r="P10" s="15"/>
      <c r="Q10" s="71"/>
      <c r="R10" s="18"/>
      <c r="S10" s="12"/>
      <c r="T10" s="12"/>
      <c r="U10" s="12"/>
    </row>
    <row r="11" spans="1:21">
      <c r="A11" s="88">
        <v>6</v>
      </c>
      <c r="B11" s="69" t="s">
        <v>18</v>
      </c>
      <c r="C11" s="98" t="s">
        <v>116</v>
      </c>
      <c r="D11" s="15" t="s">
        <v>7</v>
      </c>
      <c r="E11" s="67">
        <v>41636</v>
      </c>
      <c r="F11" s="15"/>
      <c r="G11" s="69"/>
      <c r="H11" s="15" t="s">
        <v>120</v>
      </c>
      <c r="I11" s="10" t="s">
        <v>68</v>
      </c>
      <c r="J11" s="67">
        <v>41664</v>
      </c>
      <c r="K11" s="16">
        <v>0.41666666666666669</v>
      </c>
      <c r="L11" s="16">
        <v>0.54166666666666663</v>
      </c>
      <c r="M11" s="71">
        <v>173</v>
      </c>
      <c r="N11" s="15" t="s">
        <v>86</v>
      </c>
      <c r="O11" s="15"/>
      <c r="P11" s="15"/>
      <c r="Q11" s="71"/>
      <c r="R11" s="18"/>
      <c r="S11" s="12"/>
      <c r="T11" s="12"/>
      <c r="U11" s="12"/>
    </row>
    <row r="12" spans="1:21">
      <c r="A12" s="88">
        <v>7</v>
      </c>
      <c r="B12" s="69" t="s">
        <v>18</v>
      </c>
      <c r="C12" s="15" t="s">
        <v>121</v>
      </c>
      <c r="D12" s="15" t="s">
        <v>9</v>
      </c>
      <c r="E12" s="67">
        <v>41647</v>
      </c>
      <c r="F12" s="15" t="s">
        <v>122</v>
      </c>
      <c r="G12" s="69">
        <v>9444298316</v>
      </c>
      <c r="H12" s="15" t="s">
        <v>123</v>
      </c>
      <c r="I12" s="10" t="s">
        <v>68</v>
      </c>
      <c r="J12" s="67">
        <v>41666</v>
      </c>
      <c r="K12" s="16">
        <v>0.45833333333333331</v>
      </c>
      <c r="L12" s="16">
        <v>0.51041666666666663</v>
      </c>
      <c r="M12" s="71">
        <v>100</v>
      </c>
      <c r="N12" s="15" t="s">
        <v>93</v>
      </c>
      <c r="O12" s="15"/>
      <c r="P12" s="15"/>
      <c r="Q12" s="71"/>
      <c r="R12" s="18"/>
      <c r="S12" s="17"/>
      <c r="T12" s="17"/>
      <c r="U12" s="17"/>
    </row>
    <row r="13" spans="1:21" s="103" customFormat="1">
      <c r="A13" s="104">
        <v>8</v>
      </c>
      <c r="B13" s="105" t="s">
        <v>16</v>
      </c>
      <c r="C13" s="98" t="s">
        <v>129</v>
      </c>
      <c r="D13" s="98" t="s">
        <v>0</v>
      </c>
      <c r="E13" s="99">
        <v>41658</v>
      </c>
      <c r="F13" s="98" t="s">
        <v>124</v>
      </c>
      <c r="G13" s="105">
        <v>9841618738</v>
      </c>
      <c r="H13" s="98" t="s">
        <v>125</v>
      </c>
      <c r="I13" s="98" t="s">
        <v>67</v>
      </c>
      <c r="J13" s="99">
        <v>41678</v>
      </c>
      <c r="K13" s="106"/>
      <c r="L13" s="106"/>
      <c r="M13" s="107"/>
      <c r="N13" s="98" t="s">
        <v>92</v>
      </c>
      <c r="O13" s="98"/>
      <c r="P13" s="98"/>
      <c r="Q13" s="107"/>
      <c r="R13" s="108"/>
      <c r="S13" s="98"/>
      <c r="T13" s="98"/>
      <c r="U13" s="98"/>
    </row>
    <row r="14" spans="1:21">
      <c r="A14" s="68">
        <v>9</v>
      </c>
      <c r="B14" s="69" t="s">
        <v>18</v>
      </c>
      <c r="C14" s="10" t="s">
        <v>126</v>
      </c>
      <c r="D14" s="10" t="s">
        <v>11</v>
      </c>
      <c r="E14" s="66">
        <v>41664</v>
      </c>
      <c r="F14" s="10" t="s">
        <v>127</v>
      </c>
      <c r="G14" s="68">
        <v>8754407338</v>
      </c>
      <c r="H14" s="10" t="s">
        <v>128</v>
      </c>
      <c r="I14" s="15" t="s">
        <v>67</v>
      </c>
      <c r="J14" s="67">
        <v>41674</v>
      </c>
      <c r="K14" s="11">
        <v>0.36458333333333331</v>
      </c>
      <c r="L14" s="11">
        <v>0.45833333333333331</v>
      </c>
      <c r="M14" s="70">
        <v>34</v>
      </c>
      <c r="N14" s="10" t="s">
        <v>93</v>
      </c>
      <c r="O14" s="10"/>
      <c r="P14" s="10"/>
      <c r="Q14" s="70">
        <v>34</v>
      </c>
      <c r="R14" s="14"/>
      <c r="S14" s="10"/>
      <c r="T14" s="10"/>
      <c r="U14" s="10"/>
    </row>
    <row r="15" spans="1:21" s="2" customFormat="1">
      <c r="A15" s="87">
        <v>10</v>
      </c>
      <c r="B15" s="68" t="s">
        <v>18</v>
      </c>
      <c r="C15" s="10" t="s">
        <v>151</v>
      </c>
      <c r="D15" s="10" t="s">
        <v>12</v>
      </c>
      <c r="E15" s="66">
        <v>41664</v>
      </c>
      <c r="F15" s="10" t="s">
        <v>152</v>
      </c>
      <c r="G15" s="68">
        <v>9566732083</v>
      </c>
      <c r="H15" s="10" t="s">
        <v>153</v>
      </c>
      <c r="I15" s="15" t="s">
        <v>68</v>
      </c>
      <c r="J15" s="67">
        <v>41675</v>
      </c>
      <c r="K15" s="11">
        <v>0.66666666666666663</v>
      </c>
      <c r="L15" s="11">
        <v>0.72916666666666663</v>
      </c>
      <c r="M15" s="70">
        <v>35</v>
      </c>
      <c r="N15" s="10" t="s">
        <v>138</v>
      </c>
      <c r="O15" s="10" t="s">
        <v>154</v>
      </c>
      <c r="P15" s="10"/>
      <c r="Q15" s="70"/>
      <c r="R15" s="14"/>
      <c r="S15" s="10"/>
      <c r="T15" s="10"/>
      <c r="U15" s="10"/>
    </row>
    <row r="16" spans="1:21" s="2" customFormat="1">
      <c r="A16" s="87">
        <v>11</v>
      </c>
      <c r="B16" s="68" t="s">
        <v>18</v>
      </c>
      <c r="C16" s="10" t="s">
        <v>155</v>
      </c>
      <c r="D16" s="10" t="s">
        <v>0</v>
      </c>
      <c r="E16" s="66">
        <v>41664</v>
      </c>
      <c r="F16" s="10" t="s">
        <v>156</v>
      </c>
      <c r="G16" s="68">
        <v>9962021210</v>
      </c>
      <c r="H16" s="10" t="s">
        <v>157</v>
      </c>
      <c r="I16" s="15" t="s">
        <v>67</v>
      </c>
      <c r="J16" s="67">
        <v>41678</v>
      </c>
      <c r="K16" s="11"/>
      <c r="L16" s="11"/>
      <c r="M16" s="70">
        <v>100</v>
      </c>
      <c r="N16" s="10" t="s">
        <v>138</v>
      </c>
      <c r="O16" s="10" t="s">
        <v>154</v>
      </c>
      <c r="P16" s="10"/>
      <c r="Q16" s="70"/>
      <c r="R16" s="14"/>
      <c r="S16" s="10"/>
      <c r="T16" s="10"/>
      <c r="U16" s="10"/>
    </row>
    <row r="17" spans="1:21" s="2" customFormat="1">
      <c r="A17" s="87">
        <v>12</v>
      </c>
      <c r="B17" s="68" t="s">
        <v>18</v>
      </c>
      <c r="C17" s="10" t="s">
        <v>136</v>
      </c>
      <c r="D17" s="10" t="s">
        <v>9</v>
      </c>
      <c r="E17" s="66">
        <v>41664</v>
      </c>
      <c r="F17" s="10" t="s">
        <v>150</v>
      </c>
      <c r="G17" s="68">
        <v>9443177597</v>
      </c>
      <c r="H17" s="10" t="s">
        <v>161</v>
      </c>
      <c r="I17" s="15" t="s">
        <v>68</v>
      </c>
      <c r="J17" s="67">
        <v>41685</v>
      </c>
      <c r="K17" s="11">
        <v>0.41666666666666669</v>
      </c>
      <c r="L17" s="11">
        <v>0.54166666666666663</v>
      </c>
      <c r="M17" s="70">
        <v>35</v>
      </c>
      <c r="N17" s="10" t="s">
        <v>93</v>
      </c>
      <c r="O17" s="10"/>
      <c r="P17" s="10"/>
      <c r="Q17" s="70"/>
      <c r="R17" s="14"/>
      <c r="S17" s="10"/>
      <c r="T17" s="10"/>
      <c r="U17" s="10"/>
    </row>
    <row r="18" spans="1:21">
      <c r="A18" s="87">
        <v>13</v>
      </c>
      <c r="B18" s="68" t="s">
        <v>18</v>
      </c>
      <c r="C18" s="10" t="s">
        <v>133</v>
      </c>
      <c r="D18" s="10" t="s">
        <v>0</v>
      </c>
      <c r="E18" s="66">
        <v>41667</v>
      </c>
      <c r="F18" s="10" t="s">
        <v>130</v>
      </c>
      <c r="G18" s="68">
        <v>9840343366</v>
      </c>
      <c r="H18" s="10" t="s">
        <v>131</v>
      </c>
      <c r="I18" s="15" t="s">
        <v>67</v>
      </c>
      <c r="J18" s="67">
        <v>41683</v>
      </c>
      <c r="K18" s="11">
        <v>0.60416666666666663</v>
      </c>
      <c r="L18" s="11">
        <v>0.6875</v>
      </c>
      <c r="M18" s="70">
        <v>30</v>
      </c>
      <c r="N18" s="10" t="s">
        <v>158</v>
      </c>
      <c r="O18" s="10" t="s">
        <v>159</v>
      </c>
      <c r="P18" s="10"/>
      <c r="Q18" s="70"/>
      <c r="R18" s="14"/>
      <c r="S18" s="10"/>
      <c r="T18" s="10"/>
      <c r="U18" s="10"/>
    </row>
    <row r="19" spans="1:21">
      <c r="A19" s="87">
        <v>14</v>
      </c>
      <c r="B19" s="68" t="s">
        <v>18</v>
      </c>
      <c r="C19" s="10" t="s">
        <v>134</v>
      </c>
      <c r="D19" s="10" t="s">
        <v>0</v>
      </c>
      <c r="E19" s="66">
        <v>41667</v>
      </c>
      <c r="F19" s="10" t="s">
        <v>132</v>
      </c>
      <c r="G19" s="68">
        <v>9443371028</v>
      </c>
      <c r="H19" s="10" t="s">
        <v>135</v>
      </c>
      <c r="I19" s="15" t="s">
        <v>67</v>
      </c>
      <c r="J19" s="67">
        <v>41680</v>
      </c>
      <c r="K19" s="11">
        <v>0.41666666666666669</v>
      </c>
      <c r="L19" s="11">
        <v>0.52083333333333337</v>
      </c>
      <c r="M19" s="70">
        <v>35</v>
      </c>
      <c r="N19" s="10" t="s">
        <v>138</v>
      </c>
      <c r="O19" s="10"/>
      <c r="P19" s="10"/>
      <c r="Q19" s="70">
        <v>35</v>
      </c>
      <c r="R19" s="14"/>
      <c r="S19" s="10"/>
      <c r="T19" s="10"/>
      <c r="U19" s="10"/>
    </row>
    <row r="20" spans="1:21">
      <c r="A20" s="87">
        <v>15</v>
      </c>
      <c r="B20" s="68" t="s">
        <v>18</v>
      </c>
      <c r="C20" s="10" t="s">
        <v>169</v>
      </c>
      <c r="D20" s="10" t="s">
        <v>0</v>
      </c>
      <c r="E20" s="66">
        <v>41668</v>
      </c>
      <c r="F20" s="10" t="s">
        <v>139</v>
      </c>
      <c r="G20" s="68">
        <v>9840236771</v>
      </c>
      <c r="H20" s="10" t="s">
        <v>125</v>
      </c>
      <c r="I20" s="15" t="s">
        <v>67</v>
      </c>
      <c r="J20" s="67">
        <v>41712</v>
      </c>
      <c r="K20" s="11">
        <v>0.625</v>
      </c>
      <c r="L20" s="11">
        <v>0.75</v>
      </c>
      <c r="M20" s="70">
        <v>50</v>
      </c>
      <c r="N20" s="10" t="s">
        <v>158</v>
      </c>
      <c r="O20" s="10" t="s">
        <v>182</v>
      </c>
      <c r="P20" s="10"/>
      <c r="Q20" s="70"/>
      <c r="R20" s="14"/>
      <c r="S20" s="10"/>
      <c r="T20" s="10"/>
      <c r="U20" s="10"/>
    </row>
    <row r="21" spans="1:21" s="103" customFormat="1">
      <c r="A21" s="94">
        <v>16</v>
      </c>
      <c r="B21" s="93" t="s">
        <v>16</v>
      </c>
      <c r="C21" s="92" t="s">
        <v>140</v>
      </c>
      <c r="D21" s="92" t="s">
        <v>0</v>
      </c>
      <c r="E21" s="96">
        <v>41673</v>
      </c>
      <c r="F21" s="92" t="s">
        <v>156</v>
      </c>
      <c r="G21" s="93">
        <v>9962021210</v>
      </c>
      <c r="H21" s="92" t="s">
        <v>125</v>
      </c>
      <c r="I21" s="98" t="s">
        <v>67</v>
      </c>
      <c r="J21" s="99"/>
      <c r="K21" s="100"/>
      <c r="L21" s="100"/>
      <c r="M21" s="101"/>
      <c r="N21" s="92"/>
      <c r="O21" s="92"/>
      <c r="P21" s="92"/>
      <c r="Q21" s="101"/>
      <c r="R21" s="102"/>
      <c r="S21" s="92"/>
      <c r="T21" s="92"/>
      <c r="U21" s="92"/>
    </row>
    <row r="22" spans="1:21">
      <c r="A22" s="87">
        <v>17</v>
      </c>
      <c r="B22" s="68" t="s">
        <v>18</v>
      </c>
      <c r="C22" s="10" t="s">
        <v>184</v>
      </c>
      <c r="D22" s="10" t="s">
        <v>9</v>
      </c>
      <c r="E22" s="66">
        <v>41671</v>
      </c>
      <c r="F22" s="10" t="s">
        <v>141</v>
      </c>
      <c r="G22" s="68">
        <v>9629456507</v>
      </c>
      <c r="H22" s="10" t="s">
        <v>142</v>
      </c>
      <c r="I22" s="15" t="s">
        <v>68</v>
      </c>
      <c r="J22" s="67">
        <v>41704</v>
      </c>
      <c r="K22" s="11">
        <v>0.41666666666666669</v>
      </c>
      <c r="L22" s="11">
        <v>0.20833333333333334</v>
      </c>
      <c r="M22" s="70">
        <v>450</v>
      </c>
      <c r="N22" s="10" t="s">
        <v>92</v>
      </c>
      <c r="O22" s="10" t="s">
        <v>163</v>
      </c>
      <c r="P22" s="10"/>
      <c r="Q22" s="70"/>
      <c r="R22" s="14"/>
      <c r="S22" s="10"/>
      <c r="T22" s="10"/>
      <c r="U22" s="10"/>
    </row>
    <row r="23" spans="1:21" s="103" customFormat="1">
      <c r="A23" s="94">
        <v>18</v>
      </c>
      <c r="B23" s="93" t="s">
        <v>16</v>
      </c>
      <c r="C23" s="92" t="s">
        <v>143</v>
      </c>
      <c r="D23" s="92" t="s">
        <v>0</v>
      </c>
      <c r="E23" s="96">
        <v>41673</v>
      </c>
      <c r="F23" s="92"/>
      <c r="G23" s="93"/>
      <c r="H23" s="92" t="s">
        <v>144</v>
      </c>
      <c r="I23" s="98" t="s">
        <v>68</v>
      </c>
      <c r="J23" s="99">
        <v>41677</v>
      </c>
      <c r="K23" s="100"/>
      <c r="L23" s="100"/>
      <c r="M23" s="101"/>
      <c r="N23" s="92"/>
      <c r="O23" s="92"/>
      <c r="P23" s="92"/>
      <c r="Q23" s="101"/>
      <c r="R23" s="102"/>
      <c r="S23" s="92"/>
      <c r="T23" s="92"/>
      <c r="U23" s="92"/>
    </row>
    <row r="24" spans="1:21" ht="15.75">
      <c r="A24" s="87">
        <v>19</v>
      </c>
      <c r="B24" s="68" t="s">
        <v>18</v>
      </c>
      <c r="C24" s="72" t="s">
        <v>145</v>
      </c>
      <c r="D24" s="10" t="s">
        <v>0</v>
      </c>
      <c r="E24" s="66">
        <v>41667</v>
      </c>
      <c r="F24" s="73" t="s">
        <v>146</v>
      </c>
      <c r="G24" s="74">
        <v>9003020206</v>
      </c>
      <c r="H24" s="10" t="s">
        <v>149</v>
      </c>
      <c r="I24" s="15" t="s">
        <v>67</v>
      </c>
      <c r="J24" s="67">
        <v>41690</v>
      </c>
      <c r="K24" s="11">
        <v>0.41666666666666669</v>
      </c>
      <c r="L24" s="11">
        <v>0.5</v>
      </c>
      <c r="M24" s="70">
        <v>45</v>
      </c>
      <c r="N24" s="10" t="s">
        <v>158</v>
      </c>
      <c r="O24" s="10" t="s">
        <v>177</v>
      </c>
      <c r="P24" s="10"/>
      <c r="Q24" s="70"/>
      <c r="R24" s="14"/>
      <c r="S24" s="10"/>
      <c r="T24" s="10"/>
      <c r="U24" s="10"/>
    </row>
    <row r="25" spans="1:21" s="2" customFormat="1" ht="15.75">
      <c r="A25" s="87"/>
      <c r="B25" s="68" t="s">
        <v>18</v>
      </c>
      <c r="C25" s="72" t="s">
        <v>145</v>
      </c>
      <c r="D25" s="10" t="s">
        <v>0</v>
      </c>
      <c r="E25" s="66">
        <v>41667</v>
      </c>
      <c r="F25" s="73" t="s">
        <v>146</v>
      </c>
      <c r="G25" s="74"/>
      <c r="H25" s="10" t="s">
        <v>181</v>
      </c>
      <c r="I25" s="15" t="s">
        <v>67</v>
      </c>
      <c r="J25" s="67">
        <v>41690</v>
      </c>
      <c r="K25" s="11">
        <v>0.60416666666666663</v>
      </c>
      <c r="L25" s="11">
        <v>0.70833333333333337</v>
      </c>
      <c r="M25" s="70">
        <v>35</v>
      </c>
      <c r="N25" s="10" t="s">
        <v>158</v>
      </c>
      <c r="O25" s="10" t="s">
        <v>182</v>
      </c>
      <c r="P25" s="10"/>
      <c r="Q25" s="70"/>
      <c r="R25" s="14"/>
      <c r="S25" s="10"/>
      <c r="T25" s="10"/>
      <c r="U25" s="10"/>
    </row>
    <row r="26" spans="1:21">
      <c r="A26" s="87">
        <v>20</v>
      </c>
      <c r="B26" s="68" t="s">
        <v>18</v>
      </c>
      <c r="C26" s="10" t="s">
        <v>199</v>
      </c>
      <c r="D26" s="10" t="s">
        <v>11</v>
      </c>
      <c r="E26" s="66">
        <v>41674</v>
      </c>
      <c r="F26" s="10" t="s">
        <v>147</v>
      </c>
      <c r="G26" s="68">
        <v>9443177597</v>
      </c>
      <c r="H26" s="10" t="s">
        <v>208</v>
      </c>
      <c r="I26" s="15" t="s">
        <v>67</v>
      </c>
      <c r="J26" s="67">
        <v>41695</v>
      </c>
      <c r="K26" s="11">
        <v>0.35416666666666669</v>
      </c>
      <c r="L26" s="11">
        <v>0.45833333333333331</v>
      </c>
      <c r="M26" s="70">
        <v>30</v>
      </c>
      <c r="N26" s="10" t="s">
        <v>93</v>
      </c>
      <c r="O26" s="10"/>
      <c r="P26" s="10"/>
      <c r="Q26" s="70">
        <v>30</v>
      </c>
      <c r="R26" s="14"/>
      <c r="S26" s="10"/>
      <c r="T26" s="10"/>
      <c r="U26" s="10"/>
    </row>
    <row r="27" spans="1:21">
      <c r="A27" s="87">
        <v>21</v>
      </c>
      <c r="B27" s="68" t="s">
        <v>18</v>
      </c>
      <c r="C27" s="10" t="s">
        <v>162</v>
      </c>
      <c r="D27" s="10" t="s">
        <v>0</v>
      </c>
      <c r="E27" s="66">
        <v>41674</v>
      </c>
      <c r="F27" s="10" t="s">
        <v>168</v>
      </c>
      <c r="G27" s="68">
        <v>9443371028</v>
      </c>
      <c r="H27" s="10" t="s">
        <v>207</v>
      </c>
      <c r="I27" s="15" t="s">
        <v>67</v>
      </c>
      <c r="J27" s="67">
        <v>41695</v>
      </c>
      <c r="K27" s="11">
        <v>0.58333333333333337</v>
      </c>
      <c r="L27" s="11">
        <v>0.70833333333333337</v>
      </c>
      <c r="M27" s="70">
        <v>30</v>
      </c>
      <c r="N27" s="10" t="s">
        <v>93</v>
      </c>
      <c r="O27" s="10"/>
      <c r="P27" s="10"/>
      <c r="Q27" s="70">
        <v>30</v>
      </c>
      <c r="R27" s="14"/>
      <c r="S27" s="10"/>
      <c r="T27" s="10"/>
      <c r="U27" s="10"/>
    </row>
    <row r="28" spans="1:21" s="103" customFormat="1">
      <c r="A28" s="94">
        <v>22</v>
      </c>
      <c r="B28" s="93" t="s">
        <v>16</v>
      </c>
      <c r="C28" s="92" t="s">
        <v>148</v>
      </c>
      <c r="D28" s="92" t="s">
        <v>0</v>
      </c>
      <c r="E28" s="96">
        <v>41674</v>
      </c>
      <c r="F28" s="92" t="s">
        <v>160</v>
      </c>
      <c r="G28" s="93">
        <v>9940439141</v>
      </c>
      <c r="H28" s="92" t="s">
        <v>149</v>
      </c>
      <c r="I28" s="98" t="s">
        <v>67</v>
      </c>
      <c r="J28" s="99"/>
      <c r="K28" s="100"/>
      <c r="L28" s="100"/>
      <c r="M28" s="101"/>
      <c r="N28" s="92"/>
      <c r="O28" s="92"/>
      <c r="P28" s="92"/>
      <c r="Q28" s="101"/>
      <c r="R28" s="102"/>
      <c r="S28" s="92"/>
      <c r="T28" s="92"/>
      <c r="U28" s="92"/>
    </row>
    <row r="29" spans="1:21">
      <c r="A29" s="87">
        <v>23</v>
      </c>
      <c r="B29" s="68" t="s">
        <v>18</v>
      </c>
      <c r="C29" s="10" t="s">
        <v>148</v>
      </c>
      <c r="D29" s="10" t="s">
        <v>0</v>
      </c>
      <c r="E29" s="66">
        <v>41680</v>
      </c>
      <c r="F29" s="10" t="s">
        <v>164</v>
      </c>
      <c r="G29" s="68">
        <v>9940027261</v>
      </c>
      <c r="H29" s="10" t="s">
        <v>165</v>
      </c>
      <c r="I29" s="15" t="s">
        <v>67</v>
      </c>
      <c r="J29" s="67">
        <v>41706</v>
      </c>
      <c r="K29" s="11">
        <v>0.41666666666666669</v>
      </c>
      <c r="L29" s="11">
        <v>0.54166666666666663</v>
      </c>
      <c r="M29" s="70">
        <v>35</v>
      </c>
      <c r="N29" s="10" t="s">
        <v>158</v>
      </c>
      <c r="O29" s="10" t="s">
        <v>138</v>
      </c>
      <c r="P29" s="10"/>
      <c r="Q29" s="70"/>
      <c r="R29" s="14"/>
      <c r="S29" s="10"/>
      <c r="T29" s="10"/>
      <c r="U29" s="10"/>
    </row>
    <row r="30" spans="1:21">
      <c r="A30" s="87">
        <v>24</v>
      </c>
      <c r="B30" s="68" t="s">
        <v>18</v>
      </c>
      <c r="C30" s="10" t="s">
        <v>166</v>
      </c>
      <c r="D30" s="10" t="s">
        <v>0</v>
      </c>
      <c r="E30" s="66">
        <v>41688</v>
      </c>
      <c r="F30" s="10" t="s">
        <v>167</v>
      </c>
      <c r="G30" s="68">
        <v>9940122972</v>
      </c>
      <c r="H30" s="10" t="s">
        <v>183</v>
      </c>
      <c r="I30" s="15" t="s">
        <v>68</v>
      </c>
      <c r="J30" s="67">
        <v>41697</v>
      </c>
      <c r="K30" s="11">
        <v>0.70833333333333337</v>
      </c>
      <c r="L30" s="11">
        <v>0.75</v>
      </c>
      <c r="M30" s="70">
        <v>25</v>
      </c>
      <c r="N30" s="10" t="s">
        <v>92</v>
      </c>
      <c r="O30" s="10" t="s">
        <v>138</v>
      </c>
      <c r="P30" s="10"/>
      <c r="Q30" s="70"/>
      <c r="R30" s="14"/>
      <c r="S30" s="10"/>
      <c r="T30" s="10"/>
      <c r="U30" s="10"/>
    </row>
    <row r="31" spans="1:21">
      <c r="A31" s="87">
        <v>25</v>
      </c>
      <c r="B31" s="93" t="s">
        <v>16</v>
      </c>
      <c r="C31" s="10" t="s">
        <v>170</v>
      </c>
      <c r="D31" s="10" t="s">
        <v>0</v>
      </c>
      <c r="E31" s="66">
        <v>41688</v>
      </c>
      <c r="F31" s="10" t="s">
        <v>171</v>
      </c>
      <c r="G31" s="68">
        <v>8754420157</v>
      </c>
      <c r="H31" s="10" t="s">
        <v>172</v>
      </c>
      <c r="I31" s="15" t="s">
        <v>68</v>
      </c>
      <c r="J31" s="67">
        <v>41709</v>
      </c>
      <c r="K31" s="11">
        <v>0.58333333333333337</v>
      </c>
      <c r="L31" s="11">
        <v>0.66666666666666663</v>
      </c>
      <c r="M31" s="70"/>
      <c r="N31" s="10"/>
      <c r="O31" s="10"/>
      <c r="P31" s="10"/>
      <c r="Q31" s="70"/>
      <c r="R31" s="14"/>
      <c r="S31" s="10"/>
      <c r="T31" s="10"/>
      <c r="U31" s="10"/>
    </row>
    <row r="32" spans="1:21">
      <c r="A32" s="87">
        <v>26</v>
      </c>
      <c r="B32" s="93" t="s">
        <v>16</v>
      </c>
      <c r="C32" s="76" t="s">
        <v>174</v>
      </c>
      <c r="D32" s="10" t="s">
        <v>0</v>
      </c>
      <c r="E32" s="66">
        <v>41689</v>
      </c>
      <c r="F32" s="75" t="s">
        <v>173</v>
      </c>
      <c r="G32" s="74">
        <v>9840147468</v>
      </c>
      <c r="H32" s="10" t="s">
        <v>175</v>
      </c>
      <c r="I32" s="15" t="s">
        <v>68</v>
      </c>
      <c r="J32" s="67"/>
      <c r="K32" s="11">
        <v>0.60416666666666663</v>
      </c>
      <c r="L32" s="11">
        <v>0.66666666666666663</v>
      </c>
      <c r="M32" s="70"/>
      <c r="N32" s="10" t="s">
        <v>158</v>
      </c>
      <c r="O32" s="10" t="s">
        <v>176</v>
      </c>
      <c r="P32" s="10"/>
      <c r="Q32" s="70"/>
      <c r="R32" s="14"/>
      <c r="S32" s="10"/>
      <c r="T32" s="10"/>
      <c r="U32" s="10"/>
    </row>
    <row r="33" spans="1:21" ht="15.75">
      <c r="A33" s="87">
        <v>27</v>
      </c>
      <c r="B33" s="68" t="s">
        <v>18</v>
      </c>
      <c r="C33" s="77" t="s">
        <v>179</v>
      </c>
      <c r="D33" s="10" t="s">
        <v>0</v>
      </c>
      <c r="E33" s="66">
        <v>41689</v>
      </c>
      <c r="F33" s="77" t="s">
        <v>178</v>
      </c>
      <c r="G33" s="80">
        <v>7299057043</v>
      </c>
      <c r="H33" s="77" t="s">
        <v>180</v>
      </c>
      <c r="I33" s="15" t="s">
        <v>67</v>
      </c>
      <c r="J33" s="67">
        <v>41732</v>
      </c>
      <c r="K33" s="11">
        <v>0.4375</v>
      </c>
      <c r="L33" s="11">
        <v>0.54166666666666663</v>
      </c>
      <c r="M33" s="70">
        <v>100</v>
      </c>
      <c r="N33" s="10" t="s">
        <v>217</v>
      </c>
      <c r="O33" s="10" t="s">
        <v>218</v>
      </c>
      <c r="P33" s="10"/>
      <c r="Q33" s="70"/>
      <c r="R33" s="14"/>
      <c r="S33" s="10"/>
      <c r="T33" s="10"/>
      <c r="U33" s="10"/>
    </row>
    <row r="34" spans="1:21">
      <c r="A34" s="87"/>
      <c r="B34" s="68" t="s">
        <v>16</v>
      </c>
      <c r="C34" s="10" t="s">
        <v>214</v>
      </c>
      <c r="D34" s="10" t="s">
        <v>0</v>
      </c>
      <c r="E34" s="66">
        <v>41709</v>
      </c>
      <c r="F34" s="73" t="s">
        <v>185</v>
      </c>
      <c r="G34" s="81" t="s">
        <v>186</v>
      </c>
      <c r="H34" s="85" t="s">
        <v>215</v>
      </c>
      <c r="I34" s="15" t="s">
        <v>67</v>
      </c>
      <c r="J34" s="67"/>
      <c r="K34" s="11"/>
      <c r="L34" s="11"/>
      <c r="M34" s="70"/>
      <c r="N34" s="10"/>
      <c r="O34" s="10"/>
      <c r="P34" s="10"/>
      <c r="Q34" s="70"/>
      <c r="R34" s="14"/>
      <c r="S34" s="10"/>
      <c r="T34" s="10"/>
      <c r="U34" s="10"/>
    </row>
    <row r="35" spans="1:21" s="103" customFormat="1">
      <c r="A35" s="94"/>
      <c r="B35" s="93" t="s">
        <v>16</v>
      </c>
      <c r="C35" s="95" t="s">
        <v>188</v>
      </c>
      <c r="D35" s="92" t="s">
        <v>0</v>
      </c>
      <c r="E35" s="96"/>
      <c r="F35" s="95" t="s">
        <v>187</v>
      </c>
      <c r="G35" s="97">
        <v>9663380780</v>
      </c>
      <c r="H35" s="92" t="s">
        <v>189</v>
      </c>
      <c r="I35" s="98" t="s">
        <v>68</v>
      </c>
      <c r="J35" s="99"/>
      <c r="K35" s="100"/>
      <c r="L35" s="100"/>
      <c r="M35" s="101"/>
      <c r="N35" s="92"/>
      <c r="O35" s="92"/>
      <c r="P35" s="92"/>
      <c r="Q35" s="101"/>
      <c r="R35" s="102"/>
      <c r="S35" s="92"/>
      <c r="T35" s="92"/>
      <c r="U35" s="92"/>
    </row>
    <row r="36" spans="1:21">
      <c r="A36" s="87"/>
      <c r="B36" s="68" t="s">
        <v>18</v>
      </c>
      <c r="C36" s="92" t="s">
        <v>116</v>
      </c>
      <c r="D36" s="10" t="s">
        <v>7</v>
      </c>
      <c r="E36" s="66">
        <v>41699</v>
      </c>
      <c r="F36" s="10"/>
      <c r="G36" s="68"/>
      <c r="H36" s="10" t="s">
        <v>197</v>
      </c>
      <c r="I36" s="15" t="s">
        <v>67</v>
      </c>
      <c r="J36" s="67">
        <v>41720</v>
      </c>
      <c r="K36" s="11">
        <v>0.41666666666666669</v>
      </c>
      <c r="L36" s="11">
        <v>0.54166666666666663</v>
      </c>
      <c r="M36" s="70"/>
      <c r="N36" s="10" t="s">
        <v>92</v>
      </c>
      <c r="O36" s="10" t="s">
        <v>198</v>
      </c>
      <c r="P36" s="10"/>
      <c r="Q36" s="70"/>
      <c r="R36" s="14"/>
      <c r="S36" s="10"/>
      <c r="T36" s="10"/>
      <c r="U36" s="10"/>
    </row>
    <row r="37" spans="1:21">
      <c r="A37" s="87"/>
      <c r="B37" s="68" t="s">
        <v>18</v>
      </c>
      <c r="C37" s="10" t="s">
        <v>194</v>
      </c>
      <c r="D37" s="10" t="s">
        <v>0</v>
      </c>
      <c r="E37" s="66">
        <v>41713</v>
      </c>
      <c r="F37" s="10" t="s">
        <v>191</v>
      </c>
      <c r="G37" s="78" t="s">
        <v>190</v>
      </c>
      <c r="H37" s="10" t="s">
        <v>196</v>
      </c>
      <c r="I37" s="15" t="s">
        <v>105</v>
      </c>
      <c r="J37" s="67">
        <v>41719</v>
      </c>
      <c r="K37" s="11">
        <v>0.41666666666666669</v>
      </c>
      <c r="L37" s="11">
        <v>0.54166666666666663</v>
      </c>
      <c r="M37" s="70">
        <v>26</v>
      </c>
      <c r="N37" s="10" t="s">
        <v>86</v>
      </c>
      <c r="O37" s="10" t="s">
        <v>192</v>
      </c>
      <c r="P37" s="10"/>
      <c r="Q37" s="70"/>
      <c r="R37" s="14"/>
      <c r="S37" s="10"/>
      <c r="T37" s="10"/>
      <c r="U37" s="10"/>
    </row>
    <row r="38" spans="1:21" ht="15.75">
      <c r="A38" s="87"/>
      <c r="B38" s="68" t="s">
        <v>18</v>
      </c>
      <c r="C38" s="10" t="s">
        <v>194</v>
      </c>
      <c r="D38" s="10" t="s">
        <v>0</v>
      </c>
      <c r="E38" s="66">
        <v>41713</v>
      </c>
      <c r="F38" s="10" t="s">
        <v>193</v>
      </c>
      <c r="G38" s="79">
        <v>9341343708</v>
      </c>
      <c r="H38" s="10" t="s">
        <v>195</v>
      </c>
      <c r="I38" s="15" t="s">
        <v>105</v>
      </c>
      <c r="J38" s="67">
        <v>41719</v>
      </c>
      <c r="K38" s="11">
        <v>0.64583333333333337</v>
      </c>
      <c r="L38" s="11">
        <v>0.77083333333333337</v>
      </c>
      <c r="M38" s="70">
        <v>26</v>
      </c>
      <c r="N38" s="10" t="s">
        <v>86</v>
      </c>
      <c r="O38" s="10" t="s">
        <v>192</v>
      </c>
      <c r="P38" s="10"/>
      <c r="Q38" s="70"/>
      <c r="R38" s="14"/>
      <c r="S38" s="10"/>
      <c r="T38" s="10"/>
      <c r="U38" s="10"/>
    </row>
    <row r="39" spans="1:21">
      <c r="A39" s="87"/>
      <c r="B39" s="68" t="s">
        <v>18</v>
      </c>
      <c r="C39" s="10" t="s">
        <v>199</v>
      </c>
      <c r="D39" s="10" t="s">
        <v>11</v>
      </c>
      <c r="E39" s="66">
        <v>41717</v>
      </c>
      <c r="F39" s="10" t="s">
        <v>127</v>
      </c>
      <c r="G39" s="68">
        <v>8754407338</v>
      </c>
      <c r="H39" s="10" t="s">
        <v>128</v>
      </c>
      <c r="I39" s="15" t="s">
        <v>67</v>
      </c>
      <c r="J39" s="67">
        <v>41723</v>
      </c>
      <c r="K39" s="11">
        <v>0.35416666666666669</v>
      </c>
      <c r="L39" s="11">
        <v>0.45833333333333331</v>
      </c>
      <c r="M39" s="70"/>
      <c r="N39" s="10" t="s">
        <v>93</v>
      </c>
      <c r="O39" s="10"/>
      <c r="P39" s="10"/>
      <c r="Q39" s="70">
        <v>24</v>
      </c>
      <c r="R39" s="14"/>
      <c r="S39" s="10"/>
      <c r="T39" s="10"/>
      <c r="U39" s="10"/>
    </row>
    <row r="40" spans="1:21">
      <c r="A40" s="87"/>
      <c r="B40" s="68" t="s">
        <v>18</v>
      </c>
      <c r="C40" s="10" t="s">
        <v>199</v>
      </c>
      <c r="D40" s="10" t="s">
        <v>11</v>
      </c>
      <c r="E40" s="66">
        <v>41718</v>
      </c>
      <c r="F40" s="10" t="s">
        <v>201</v>
      </c>
      <c r="G40" s="68">
        <v>9840568175</v>
      </c>
      <c r="H40" s="10" t="s">
        <v>200</v>
      </c>
      <c r="I40" s="15" t="s">
        <v>67</v>
      </c>
      <c r="J40" s="67">
        <v>41724</v>
      </c>
      <c r="K40" s="11">
        <v>0.35416666666666669</v>
      </c>
      <c r="L40" s="11">
        <v>0.45833333333333331</v>
      </c>
      <c r="M40" s="70"/>
      <c r="N40" s="10" t="s">
        <v>93</v>
      </c>
      <c r="O40" s="10"/>
      <c r="P40" s="10"/>
      <c r="Q40" s="70">
        <v>42</v>
      </c>
      <c r="R40" s="14"/>
      <c r="S40" s="10"/>
      <c r="T40" s="10"/>
      <c r="U40" s="10"/>
    </row>
    <row r="41" spans="1:21">
      <c r="A41" s="87"/>
      <c r="B41" s="68" t="s">
        <v>18</v>
      </c>
      <c r="C41" s="10" t="s">
        <v>202</v>
      </c>
      <c r="D41" s="10" t="s">
        <v>4</v>
      </c>
      <c r="E41" s="66">
        <v>41426</v>
      </c>
      <c r="F41" s="10" t="s">
        <v>203</v>
      </c>
      <c r="G41" s="68" t="s">
        <v>204</v>
      </c>
      <c r="H41" s="10" t="s">
        <v>205</v>
      </c>
      <c r="I41" s="15" t="s">
        <v>105</v>
      </c>
      <c r="J41" s="67">
        <v>41724</v>
      </c>
      <c r="K41" s="11">
        <v>0.5625</v>
      </c>
      <c r="L41" s="11">
        <v>0.625</v>
      </c>
      <c r="M41" s="70">
        <v>35</v>
      </c>
      <c r="N41" s="10" t="s">
        <v>206</v>
      </c>
      <c r="O41" s="10" t="s">
        <v>182</v>
      </c>
      <c r="P41" s="10"/>
      <c r="Q41" s="70"/>
      <c r="R41" s="14"/>
      <c r="S41" s="10"/>
      <c r="T41" s="10"/>
      <c r="U41" s="10"/>
    </row>
    <row r="42" spans="1:21">
      <c r="A42" s="87"/>
      <c r="B42" s="93" t="s">
        <v>16</v>
      </c>
      <c r="C42" s="10" t="s">
        <v>148</v>
      </c>
      <c r="D42" s="10" t="s">
        <v>0</v>
      </c>
      <c r="E42" s="66">
        <v>41711</v>
      </c>
      <c r="F42" s="10" t="s">
        <v>210</v>
      </c>
      <c r="G42" s="82" t="s">
        <v>209</v>
      </c>
      <c r="H42" s="83" t="s">
        <v>211</v>
      </c>
      <c r="I42" s="15" t="s">
        <v>67</v>
      </c>
      <c r="J42" s="67"/>
      <c r="K42" s="11"/>
      <c r="L42" s="11"/>
      <c r="M42" s="70"/>
      <c r="N42" s="10"/>
      <c r="O42" s="10"/>
      <c r="P42" s="10"/>
      <c r="Q42" s="70"/>
      <c r="R42" s="14"/>
      <c r="S42" s="10"/>
      <c r="T42" s="10"/>
      <c r="U42" s="10"/>
    </row>
    <row r="43" spans="1:21">
      <c r="A43" s="87"/>
      <c r="B43" s="93" t="s">
        <v>16</v>
      </c>
      <c r="C43" s="10" t="s">
        <v>148</v>
      </c>
      <c r="D43" s="10" t="s">
        <v>0</v>
      </c>
      <c r="E43" s="66">
        <v>41708</v>
      </c>
      <c r="F43" s="84" t="s">
        <v>212</v>
      </c>
      <c r="G43" s="84">
        <v>9500050193</v>
      </c>
      <c r="H43" s="84" t="s">
        <v>213</v>
      </c>
      <c r="I43" s="15" t="s">
        <v>67</v>
      </c>
      <c r="J43" s="67"/>
      <c r="K43" s="11"/>
      <c r="L43" s="11"/>
      <c r="M43" s="70"/>
      <c r="N43" s="10"/>
      <c r="O43" s="10"/>
      <c r="P43" s="10"/>
      <c r="Q43" s="70"/>
      <c r="R43" s="14"/>
      <c r="S43" s="10"/>
      <c r="T43" s="10"/>
      <c r="U43" s="10"/>
    </row>
    <row r="44" spans="1:21">
      <c r="A44" s="87"/>
      <c r="B44" s="68" t="s">
        <v>18</v>
      </c>
      <c r="C44" s="10" t="s">
        <v>202</v>
      </c>
      <c r="D44" s="10" t="s">
        <v>4</v>
      </c>
      <c r="E44" s="66">
        <v>41699</v>
      </c>
      <c r="F44" s="83" t="s">
        <v>203</v>
      </c>
      <c r="G44" s="82"/>
      <c r="H44" s="83" t="s">
        <v>224</v>
      </c>
      <c r="I44" s="15" t="s">
        <v>67</v>
      </c>
      <c r="J44" s="67">
        <v>41744</v>
      </c>
      <c r="K44" s="11">
        <v>0.375</v>
      </c>
      <c r="L44" s="11">
        <v>0.64583333333333337</v>
      </c>
      <c r="M44" s="70">
        <v>26</v>
      </c>
      <c r="N44" s="10" t="s">
        <v>206</v>
      </c>
      <c r="O44" s="10" t="s">
        <v>138</v>
      </c>
      <c r="P44" s="10"/>
      <c r="Q44" s="70">
        <v>24</v>
      </c>
      <c r="R44" s="14"/>
      <c r="S44" s="10"/>
      <c r="T44" s="10">
        <v>24</v>
      </c>
      <c r="U44" s="10"/>
    </row>
    <row r="45" spans="1:21">
      <c r="A45" s="87"/>
      <c r="B45" s="68" t="s">
        <v>18</v>
      </c>
      <c r="C45" s="10" t="s">
        <v>199</v>
      </c>
      <c r="D45" s="10" t="s">
        <v>11</v>
      </c>
      <c r="E45" s="66">
        <v>41751</v>
      </c>
      <c r="F45" s="10" t="s">
        <v>201</v>
      </c>
      <c r="G45" s="68">
        <v>9840568175</v>
      </c>
      <c r="H45" s="10" t="s">
        <v>216</v>
      </c>
      <c r="I45" s="15" t="s">
        <v>67</v>
      </c>
      <c r="J45" s="67">
        <v>41751</v>
      </c>
      <c r="K45" s="11">
        <v>0.375</v>
      </c>
      <c r="L45" s="11">
        <v>0.44791666666666669</v>
      </c>
      <c r="M45" s="70">
        <v>21</v>
      </c>
      <c r="N45" s="10" t="s">
        <v>93</v>
      </c>
      <c r="O45" s="10"/>
      <c r="P45" s="10"/>
      <c r="Q45" s="70">
        <v>21</v>
      </c>
      <c r="R45" s="14"/>
      <c r="S45" s="10"/>
      <c r="T45" s="10"/>
      <c r="U45" s="10"/>
    </row>
    <row r="46" spans="1:21">
      <c r="A46" s="87"/>
      <c r="B46" s="68" t="s">
        <v>18</v>
      </c>
      <c r="C46" s="10" t="s">
        <v>148</v>
      </c>
      <c r="D46" s="10" t="s">
        <v>12</v>
      </c>
      <c r="E46" s="66">
        <v>41739</v>
      </c>
      <c r="F46" s="10" t="s">
        <v>219</v>
      </c>
      <c r="G46" s="86">
        <v>9677011960</v>
      </c>
      <c r="H46" s="10" t="s">
        <v>220</v>
      </c>
      <c r="I46" s="15" t="s">
        <v>67</v>
      </c>
      <c r="J46" s="67">
        <v>41762</v>
      </c>
      <c r="K46" s="11"/>
      <c r="L46" s="11"/>
      <c r="M46" s="70">
        <v>40</v>
      </c>
      <c r="N46" s="10" t="s">
        <v>93</v>
      </c>
      <c r="O46" s="10"/>
      <c r="P46" s="10"/>
      <c r="Q46" s="70"/>
      <c r="R46" s="14"/>
      <c r="S46" s="10"/>
      <c r="T46" s="10"/>
      <c r="U46" s="10"/>
    </row>
    <row r="47" spans="1:21" s="2" customFormat="1">
      <c r="A47" s="87"/>
      <c r="B47" s="68" t="s">
        <v>18</v>
      </c>
      <c r="C47" s="10" t="s">
        <v>247</v>
      </c>
      <c r="D47" s="10" t="s">
        <v>3</v>
      </c>
      <c r="E47" s="66"/>
      <c r="F47" s="10"/>
      <c r="G47" s="86"/>
      <c r="H47" s="10" t="s">
        <v>248</v>
      </c>
      <c r="I47" s="15" t="s">
        <v>68</v>
      </c>
      <c r="J47" s="67">
        <v>41774</v>
      </c>
      <c r="K47" s="11">
        <v>0.58333333333333337</v>
      </c>
      <c r="L47" s="11">
        <v>0.66666666666666663</v>
      </c>
      <c r="M47" s="70">
        <v>40</v>
      </c>
      <c r="N47" s="10" t="s">
        <v>158</v>
      </c>
      <c r="O47" s="10" t="s">
        <v>93</v>
      </c>
      <c r="P47" s="10"/>
      <c r="Q47" s="70"/>
      <c r="R47" s="14"/>
      <c r="S47" s="10"/>
      <c r="T47" s="10"/>
      <c r="U47" s="10"/>
    </row>
    <row r="48" spans="1:21" s="2" customFormat="1">
      <c r="A48" s="87"/>
      <c r="B48" s="68" t="s">
        <v>18</v>
      </c>
      <c r="C48" s="92" t="s">
        <v>116</v>
      </c>
      <c r="D48" s="10" t="s">
        <v>7</v>
      </c>
      <c r="E48" s="66">
        <v>41744</v>
      </c>
      <c r="F48" s="10"/>
      <c r="G48" s="86"/>
      <c r="H48" s="10" t="s">
        <v>197</v>
      </c>
      <c r="I48" s="15" t="s">
        <v>67</v>
      </c>
      <c r="J48" s="67">
        <v>41776</v>
      </c>
      <c r="K48" s="11">
        <v>0.41666666666666669</v>
      </c>
      <c r="L48" s="11">
        <v>0.5625</v>
      </c>
      <c r="M48" s="70">
        <v>30</v>
      </c>
      <c r="N48" s="10" t="s">
        <v>158</v>
      </c>
      <c r="O48" s="10" t="s">
        <v>223</v>
      </c>
      <c r="P48" s="10"/>
      <c r="Q48" s="70"/>
      <c r="R48" s="14"/>
      <c r="S48" s="10"/>
      <c r="T48" s="10"/>
      <c r="U48" s="10"/>
    </row>
    <row r="49" spans="1:21" s="2" customFormat="1">
      <c r="A49" s="87"/>
      <c r="B49" s="68" t="s">
        <v>18</v>
      </c>
      <c r="C49" s="10" t="s">
        <v>199</v>
      </c>
      <c r="D49" s="10" t="s">
        <v>11</v>
      </c>
      <c r="E49" s="66">
        <v>41749</v>
      </c>
      <c r="F49" s="10" t="s">
        <v>201</v>
      </c>
      <c r="G49" s="68">
        <v>9840568175</v>
      </c>
      <c r="H49" s="10" t="s">
        <v>128</v>
      </c>
      <c r="I49" s="15" t="s">
        <v>67</v>
      </c>
      <c r="J49" s="67">
        <v>41787</v>
      </c>
      <c r="K49" s="11">
        <v>0.35416666666666669</v>
      </c>
      <c r="L49" s="11">
        <v>0.47916666666666669</v>
      </c>
      <c r="M49" s="70">
        <v>49</v>
      </c>
      <c r="N49" s="10" t="s">
        <v>93</v>
      </c>
      <c r="O49" s="10"/>
      <c r="P49" s="10"/>
      <c r="Q49" s="70">
        <v>49</v>
      </c>
      <c r="R49" s="14"/>
      <c r="S49" s="10"/>
      <c r="T49" s="10"/>
      <c r="U49" s="10"/>
    </row>
    <row r="50" spans="1:21" s="2" customFormat="1">
      <c r="A50" s="87"/>
      <c r="B50" s="68" t="s">
        <v>18</v>
      </c>
      <c r="C50" s="10" t="s">
        <v>225</v>
      </c>
      <c r="D50" s="10" t="s">
        <v>12</v>
      </c>
      <c r="E50" s="66">
        <v>41749</v>
      </c>
      <c r="F50" s="10" t="s">
        <v>226</v>
      </c>
      <c r="G50" s="86">
        <v>9840339779</v>
      </c>
      <c r="H50" s="10" t="s">
        <v>227</v>
      </c>
      <c r="I50" s="15" t="s">
        <v>67</v>
      </c>
      <c r="J50" s="67">
        <v>41787</v>
      </c>
      <c r="K50" s="11">
        <v>0.60416666666666663</v>
      </c>
      <c r="L50" s="11">
        <v>0.66666666666666663</v>
      </c>
      <c r="M50" s="70">
        <v>15</v>
      </c>
      <c r="N50" s="10" t="s">
        <v>93</v>
      </c>
      <c r="O50" s="10"/>
      <c r="P50" s="10"/>
      <c r="Q50" s="70"/>
      <c r="R50" s="14"/>
      <c r="S50" s="10"/>
      <c r="T50" s="10"/>
      <c r="U50" s="10"/>
    </row>
    <row r="51" spans="1:21">
      <c r="A51" s="87"/>
      <c r="B51" s="68" t="s">
        <v>18</v>
      </c>
      <c r="C51" s="10" t="s">
        <v>199</v>
      </c>
      <c r="D51" s="10" t="s">
        <v>11</v>
      </c>
      <c r="E51" s="66">
        <v>41751</v>
      </c>
      <c r="F51" s="10" t="s">
        <v>201</v>
      </c>
      <c r="G51" s="68">
        <v>9840568175</v>
      </c>
      <c r="H51" s="10" t="s">
        <v>221</v>
      </c>
      <c r="I51" s="15" t="s">
        <v>67</v>
      </c>
      <c r="J51" s="67">
        <v>41788</v>
      </c>
      <c r="K51" s="11">
        <v>0.35416666666666669</v>
      </c>
      <c r="L51" s="11">
        <v>0.47916666666666669</v>
      </c>
      <c r="M51" s="70">
        <v>22</v>
      </c>
      <c r="N51" s="10" t="s">
        <v>93</v>
      </c>
      <c r="O51" s="10" t="s">
        <v>222</v>
      </c>
      <c r="P51" s="10"/>
      <c r="Q51" s="70">
        <v>21</v>
      </c>
      <c r="R51" s="14"/>
      <c r="S51" s="10"/>
      <c r="T51" s="10"/>
      <c r="U51" s="10"/>
    </row>
    <row r="52" spans="1:21">
      <c r="A52" s="87"/>
      <c r="B52" s="68" t="s">
        <v>18</v>
      </c>
      <c r="C52" s="10" t="s">
        <v>199</v>
      </c>
      <c r="D52" s="10" t="s">
        <v>11</v>
      </c>
      <c r="E52" s="66">
        <v>41784</v>
      </c>
      <c r="F52" s="10" t="s">
        <v>228</v>
      </c>
      <c r="G52" s="68">
        <v>9840427491</v>
      </c>
      <c r="H52" s="10" t="s">
        <v>229</v>
      </c>
      <c r="I52" s="15" t="s">
        <v>67</v>
      </c>
      <c r="J52" s="67">
        <v>41800</v>
      </c>
      <c r="K52" s="11">
        <v>0.35416666666666669</v>
      </c>
      <c r="L52" s="11">
        <v>0.47916666666666669</v>
      </c>
      <c r="M52" s="70">
        <v>40</v>
      </c>
      <c r="N52" s="10" t="s">
        <v>93</v>
      </c>
      <c r="O52" s="10"/>
      <c r="P52" s="10"/>
      <c r="Q52" s="70"/>
      <c r="R52" s="14"/>
      <c r="S52" s="10"/>
      <c r="T52" s="10"/>
      <c r="U52" s="10"/>
    </row>
    <row r="53" spans="1:21">
      <c r="A53" s="87"/>
      <c r="B53" s="68" t="s">
        <v>18</v>
      </c>
      <c r="C53" s="10" t="s">
        <v>199</v>
      </c>
      <c r="D53" s="10" t="s">
        <v>11</v>
      </c>
      <c r="E53" s="66">
        <v>41784</v>
      </c>
      <c r="F53" s="10" t="s">
        <v>228</v>
      </c>
      <c r="G53" s="68">
        <v>9840427491</v>
      </c>
      <c r="H53" s="10" t="s">
        <v>230</v>
      </c>
      <c r="I53" s="15" t="s">
        <v>67</v>
      </c>
      <c r="J53" s="67">
        <v>41801</v>
      </c>
      <c r="K53" s="11">
        <v>0.35416666666666669</v>
      </c>
      <c r="L53" s="11">
        <v>0.47916666666666669</v>
      </c>
      <c r="M53" s="70">
        <v>25</v>
      </c>
      <c r="N53" s="10" t="s">
        <v>93</v>
      </c>
      <c r="O53" s="10"/>
      <c r="P53" s="10"/>
      <c r="Q53" s="70"/>
      <c r="R53" s="14"/>
      <c r="S53" s="10"/>
      <c r="T53" s="10"/>
      <c r="U53" s="10"/>
    </row>
    <row r="54" spans="1:21" s="2" customFormat="1">
      <c r="A54" s="87"/>
      <c r="B54" s="68" t="s">
        <v>18</v>
      </c>
      <c r="C54" s="10" t="s">
        <v>244</v>
      </c>
      <c r="D54" s="10" t="s">
        <v>6</v>
      </c>
      <c r="E54" s="66">
        <v>41772</v>
      </c>
      <c r="F54" s="10" t="s">
        <v>245</v>
      </c>
      <c r="G54" s="68">
        <v>8056785109</v>
      </c>
      <c r="H54" s="10" t="s">
        <v>246</v>
      </c>
      <c r="I54" s="15" t="s">
        <v>67</v>
      </c>
      <c r="J54" s="67">
        <v>41805</v>
      </c>
      <c r="K54" s="11">
        <v>0.45833333333333331</v>
      </c>
      <c r="L54" s="11">
        <v>0.54166666666666663</v>
      </c>
      <c r="M54" s="70">
        <v>10</v>
      </c>
      <c r="N54" s="10" t="s">
        <v>93</v>
      </c>
      <c r="O54" s="10"/>
      <c r="P54" s="10"/>
      <c r="Q54" s="70"/>
      <c r="R54" s="14"/>
      <c r="S54" s="10"/>
      <c r="T54" s="10"/>
      <c r="U54" s="10"/>
    </row>
    <row r="55" spans="1:21">
      <c r="A55" s="87"/>
      <c r="B55" s="68" t="s">
        <v>18</v>
      </c>
      <c r="C55" s="10" t="s">
        <v>199</v>
      </c>
      <c r="D55" s="10" t="s">
        <v>11</v>
      </c>
      <c r="E55" s="66">
        <v>41784</v>
      </c>
      <c r="F55" s="10" t="s">
        <v>228</v>
      </c>
      <c r="G55" s="68">
        <v>9840427491</v>
      </c>
      <c r="H55" s="10" t="s">
        <v>231</v>
      </c>
      <c r="I55" s="15" t="s">
        <v>67</v>
      </c>
      <c r="J55" s="67">
        <v>41807</v>
      </c>
      <c r="K55" s="11">
        <v>0.35416666666666669</v>
      </c>
      <c r="L55" s="11">
        <v>0.47916666666666669</v>
      </c>
      <c r="M55" s="70">
        <v>30</v>
      </c>
      <c r="N55" s="10" t="s">
        <v>93</v>
      </c>
      <c r="O55" s="10"/>
      <c r="P55" s="10"/>
      <c r="Q55" s="70"/>
      <c r="R55" s="14"/>
      <c r="S55" s="10"/>
      <c r="T55" s="10"/>
      <c r="U55" s="10"/>
    </row>
    <row r="56" spans="1:21">
      <c r="A56" s="87"/>
      <c r="B56" s="68" t="s">
        <v>18</v>
      </c>
      <c r="C56" s="10" t="s">
        <v>232</v>
      </c>
      <c r="D56" s="10" t="s">
        <v>0</v>
      </c>
      <c r="E56" s="66">
        <v>41800</v>
      </c>
      <c r="F56" s="10"/>
      <c r="G56" s="68"/>
      <c r="H56" s="10" t="s">
        <v>233</v>
      </c>
      <c r="I56" s="15" t="s">
        <v>105</v>
      </c>
      <c r="J56" s="67">
        <v>41810</v>
      </c>
      <c r="K56" s="11">
        <v>0.375</v>
      </c>
      <c r="L56" s="11">
        <v>0.52083333333333337</v>
      </c>
      <c r="M56" s="70">
        <v>30</v>
      </c>
      <c r="N56" s="10" t="s">
        <v>86</v>
      </c>
      <c r="O56" s="10" t="s">
        <v>236</v>
      </c>
      <c r="P56" s="10"/>
      <c r="Q56" s="70"/>
      <c r="R56" s="14"/>
      <c r="S56" s="10"/>
      <c r="T56" s="10"/>
      <c r="U56" s="10"/>
    </row>
    <row r="57" spans="1:21">
      <c r="A57" s="87"/>
      <c r="B57" s="68" t="s">
        <v>18</v>
      </c>
      <c r="C57" s="10" t="s">
        <v>232</v>
      </c>
      <c r="D57" s="10" t="s">
        <v>0</v>
      </c>
      <c r="E57" s="66">
        <v>41800</v>
      </c>
      <c r="F57" s="10"/>
      <c r="G57" s="68"/>
      <c r="H57" s="10" t="s">
        <v>234</v>
      </c>
      <c r="I57" s="15" t="s">
        <v>105</v>
      </c>
      <c r="J57" s="67">
        <v>41810</v>
      </c>
      <c r="K57" s="11">
        <v>0.60416666666666663</v>
      </c>
      <c r="L57" s="11">
        <v>0.72916666666666663</v>
      </c>
      <c r="M57" s="70">
        <v>30</v>
      </c>
      <c r="N57" s="10" t="s">
        <v>86</v>
      </c>
      <c r="O57" s="10" t="s">
        <v>235</v>
      </c>
      <c r="P57" s="10"/>
      <c r="Q57" s="70"/>
      <c r="R57" s="14"/>
      <c r="S57" s="10"/>
      <c r="T57" s="10"/>
      <c r="U57" s="10"/>
    </row>
    <row r="58" spans="1:21">
      <c r="A58" s="87"/>
      <c r="B58" s="68" t="s">
        <v>18</v>
      </c>
      <c r="C58" s="10" t="s">
        <v>179</v>
      </c>
      <c r="D58" s="10" t="s">
        <v>0</v>
      </c>
      <c r="E58" s="66">
        <v>41805</v>
      </c>
      <c r="F58" s="10" t="s">
        <v>237</v>
      </c>
      <c r="G58" s="68" t="s">
        <v>238</v>
      </c>
      <c r="H58" s="10" t="s">
        <v>239</v>
      </c>
      <c r="I58" s="15" t="s">
        <v>67</v>
      </c>
      <c r="J58" s="67">
        <v>41821</v>
      </c>
      <c r="K58" s="11">
        <v>0.60416666666666663</v>
      </c>
      <c r="L58" s="11">
        <v>0.72916666666666663</v>
      </c>
      <c r="M58" s="70">
        <v>30</v>
      </c>
      <c r="N58" s="10" t="s">
        <v>93</v>
      </c>
      <c r="O58" s="10" t="s">
        <v>222</v>
      </c>
      <c r="P58" s="10"/>
      <c r="Q58" s="70"/>
      <c r="R58" s="14"/>
      <c r="S58" s="10"/>
      <c r="T58" s="10"/>
      <c r="U58" s="10"/>
    </row>
    <row r="59" spans="1:21">
      <c r="A59" s="87"/>
      <c r="B59" s="68" t="s">
        <v>18</v>
      </c>
      <c r="C59" s="92" t="s">
        <v>116</v>
      </c>
      <c r="D59" s="10" t="s">
        <v>7</v>
      </c>
      <c r="E59" s="66" t="s">
        <v>296</v>
      </c>
      <c r="F59" s="10"/>
      <c r="G59" s="68"/>
      <c r="H59" s="10" t="s">
        <v>197</v>
      </c>
      <c r="I59" s="15" t="s">
        <v>67</v>
      </c>
      <c r="J59" s="67">
        <v>41825</v>
      </c>
      <c r="K59" s="11">
        <v>0.41666666666666669</v>
      </c>
      <c r="L59" s="11">
        <v>0.54166666666666663</v>
      </c>
      <c r="M59" s="70">
        <v>40</v>
      </c>
      <c r="N59" s="10" t="s">
        <v>92</v>
      </c>
      <c r="O59" s="10"/>
      <c r="P59" s="10"/>
      <c r="Q59" s="70"/>
      <c r="R59" s="14"/>
      <c r="S59" s="10"/>
      <c r="T59" s="10"/>
      <c r="U59" s="10"/>
    </row>
    <row r="60" spans="1:21" s="2" customFormat="1">
      <c r="A60" s="87"/>
      <c r="B60" s="68" t="s">
        <v>18</v>
      </c>
      <c r="C60" s="10" t="s">
        <v>241</v>
      </c>
      <c r="D60" s="10" t="s">
        <v>4</v>
      </c>
      <c r="E60" s="66">
        <v>41815</v>
      </c>
      <c r="F60" s="10" t="s">
        <v>242</v>
      </c>
      <c r="G60" s="68">
        <v>9840500916</v>
      </c>
      <c r="H60" s="10" t="s">
        <v>243</v>
      </c>
      <c r="I60" s="15" t="s">
        <v>67</v>
      </c>
      <c r="J60" s="67">
        <v>41825</v>
      </c>
      <c r="K60" s="11">
        <v>0.41666666666666669</v>
      </c>
      <c r="L60" s="11">
        <v>0.54166666666666663</v>
      </c>
      <c r="M60" s="70">
        <v>25</v>
      </c>
      <c r="N60" s="10" t="s">
        <v>206</v>
      </c>
      <c r="O60" s="10" t="s">
        <v>182</v>
      </c>
      <c r="P60" s="10"/>
      <c r="Q60" s="70"/>
      <c r="R60" s="14"/>
      <c r="S60" s="10"/>
      <c r="T60" s="10"/>
      <c r="U60" s="10"/>
    </row>
    <row r="61" spans="1:21">
      <c r="A61" s="87"/>
      <c r="B61" s="68" t="s">
        <v>18</v>
      </c>
      <c r="C61" s="10" t="s">
        <v>199</v>
      </c>
      <c r="D61" s="10" t="s">
        <v>11</v>
      </c>
      <c r="E61" s="66">
        <v>41817</v>
      </c>
      <c r="F61" s="10" t="s">
        <v>228</v>
      </c>
      <c r="G61" s="68">
        <v>9840427491</v>
      </c>
      <c r="H61" s="10" t="s">
        <v>240</v>
      </c>
      <c r="I61" s="15" t="s">
        <v>67</v>
      </c>
      <c r="J61" s="67">
        <v>41828</v>
      </c>
      <c r="K61" s="11">
        <v>0.35416666666666669</v>
      </c>
      <c r="L61" s="11">
        <v>0.47916666666666669</v>
      </c>
      <c r="M61" s="70">
        <v>30</v>
      </c>
      <c r="N61" s="10" t="s">
        <v>93</v>
      </c>
      <c r="O61" s="10"/>
      <c r="P61" s="10"/>
      <c r="Q61" s="70"/>
      <c r="R61" s="14"/>
      <c r="S61" s="10"/>
      <c r="T61" s="10"/>
      <c r="U61" s="10"/>
    </row>
    <row r="62" spans="1:21">
      <c r="A62" s="87"/>
      <c r="B62" s="68" t="s">
        <v>18</v>
      </c>
      <c r="C62" s="10" t="s">
        <v>241</v>
      </c>
      <c r="D62" s="10" t="s">
        <v>4</v>
      </c>
      <c r="E62" s="66">
        <v>41820</v>
      </c>
      <c r="F62" s="10"/>
      <c r="G62" s="68"/>
      <c r="H62" s="10" t="s">
        <v>243</v>
      </c>
      <c r="I62" s="15" t="s">
        <v>67</v>
      </c>
      <c r="J62" s="67">
        <v>41845</v>
      </c>
      <c r="K62" s="11">
        <v>0.60416666666666663</v>
      </c>
      <c r="L62" s="11" t="s">
        <v>249</v>
      </c>
      <c r="M62" s="70">
        <v>40</v>
      </c>
      <c r="N62" s="10" t="s">
        <v>206</v>
      </c>
      <c r="O62" s="10" t="s">
        <v>182</v>
      </c>
      <c r="P62" s="10"/>
      <c r="Q62" s="70"/>
      <c r="R62" s="14"/>
      <c r="S62" s="10"/>
      <c r="T62" s="10"/>
      <c r="U62" s="10"/>
    </row>
    <row r="63" spans="1:21">
      <c r="A63" s="87"/>
      <c r="B63" s="68" t="s">
        <v>18</v>
      </c>
      <c r="C63" s="10" t="s">
        <v>241</v>
      </c>
      <c r="D63" s="10" t="s">
        <v>4</v>
      </c>
      <c r="E63" s="66">
        <v>41820</v>
      </c>
      <c r="F63" s="10"/>
      <c r="G63" s="68"/>
      <c r="H63" s="10" t="s">
        <v>243</v>
      </c>
      <c r="I63" s="15" t="s">
        <v>67</v>
      </c>
      <c r="J63" s="67">
        <v>41852</v>
      </c>
      <c r="K63" s="11">
        <v>0.60416666666666663</v>
      </c>
      <c r="L63" s="11">
        <v>0.64583333333333337</v>
      </c>
      <c r="M63" s="70"/>
      <c r="N63" s="10" t="s">
        <v>93</v>
      </c>
      <c r="O63" s="10" t="s">
        <v>109</v>
      </c>
      <c r="P63" s="10"/>
      <c r="Q63" s="70"/>
      <c r="R63" s="14"/>
      <c r="S63" s="10"/>
      <c r="T63" s="10"/>
      <c r="U63" s="10"/>
    </row>
    <row r="64" spans="1:21">
      <c r="A64" s="87"/>
      <c r="B64" s="68" t="s">
        <v>18</v>
      </c>
      <c r="C64" s="10" t="s">
        <v>250</v>
      </c>
      <c r="D64" s="10" t="s">
        <v>6</v>
      </c>
      <c r="E64" s="66">
        <v>41840</v>
      </c>
      <c r="F64" s="10" t="s">
        <v>251</v>
      </c>
      <c r="G64" s="68">
        <v>9600004509</v>
      </c>
      <c r="H64" s="10" t="s">
        <v>252</v>
      </c>
      <c r="I64" s="15" t="s">
        <v>67</v>
      </c>
      <c r="J64" s="67">
        <v>41853</v>
      </c>
      <c r="K64" s="11">
        <v>0.41666666666666669</v>
      </c>
      <c r="L64" s="11">
        <v>0.54166666666666663</v>
      </c>
      <c r="M64" s="70">
        <v>45</v>
      </c>
      <c r="N64" s="10" t="s">
        <v>253</v>
      </c>
      <c r="O64" s="10" t="s">
        <v>86</v>
      </c>
      <c r="P64" s="10"/>
      <c r="Q64" s="70"/>
      <c r="R64" s="14"/>
      <c r="S64" s="10"/>
      <c r="T64" s="10"/>
      <c r="U64" s="10"/>
    </row>
    <row r="65" spans="1:21">
      <c r="A65" s="87"/>
      <c r="B65" s="68" t="s">
        <v>18</v>
      </c>
      <c r="C65" s="10" t="s">
        <v>254</v>
      </c>
      <c r="D65" s="10" t="s">
        <v>9</v>
      </c>
      <c r="E65" s="66">
        <v>41840</v>
      </c>
      <c r="F65" s="10" t="s">
        <v>255</v>
      </c>
      <c r="G65" s="68">
        <v>9790684139</v>
      </c>
      <c r="H65" s="10" t="s">
        <v>256</v>
      </c>
      <c r="I65" s="15" t="s">
        <v>68</v>
      </c>
      <c r="J65" s="67">
        <v>41853</v>
      </c>
      <c r="K65" s="11">
        <v>0.39583333333333331</v>
      </c>
      <c r="L65" s="11">
        <v>0.47916666666666669</v>
      </c>
      <c r="M65" s="70">
        <v>450</v>
      </c>
      <c r="N65" s="10" t="s">
        <v>93</v>
      </c>
      <c r="O65" s="10" t="s">
        <v>257</v>
      </c>
      <c r="P65" s="10"/>
      <c r="Q65" s="70"/>
      <c r="R65" s="14"/>
      <c r="S65" s="10"/>
      <c r="T65" s="10"/>
      <c r="U65" s="10"/>
    </row>
    <row r="66" spans="1:21">
      <c r="A66" s="87"/>
      <c r="B66" s="68" t="s">
        <v>18</v>
      </c>
      <c r="C66" s="10" t="s">
        <v>258</v>
      </c>
      <c r="D66" s="10" t="s">
        <v>9</v>
      </c>
      <c r="E66" s="66"/>
      <c r="F66" s="10" t="s">
        <v>259</v>
      </c>
      <c r="G66" s="68">
        <v>9942024345</v>
      </c>
      <c r="H66" s="10" t="s">
        <v>256</v>
      </c>
      <c r="I66" s="15" t="s">
        <v>68</v>
      </c>
      <c r="J66" s="67">
        <v>41853</v>
      </c>
      <c r="K66" s="11">
        <v>0.60416666666666663</v>
      </c>
      <c r="L66" s="11">
        <v>0.66666666666666663</v>
      </c>
      <c r="M66" s="70">
        <v>350</v>
      </c>
      <c r="N66" s="10" t="s">
        <v>93</v>
      </c>
      <c r="O66" s="10" t="s">
        <v>257</v>
      </c>
      <c r="P66" s="10"/>
      <c r="Q66" s="70"/>
      <c r="R66" s="14"/>
      <c r="S66" s="10"/>
      <c r="T66" s="10"/>
      <c r="U66" s="10"/>
    </row>
    <row r="67" spans="1:21">
      <c r="A67" s="87"/>
      <c r="B67" s="68" t="s">
        <v>18</v>
      </c>
      <c r="C67" s="10" t="s">
        <v>199</v>
      </c>
      <c r="D67" s="10" t="s">
        <v>11</v>
      </c>
      <c r="E67" s="66">
        <v>41850</v>
      </c>
      <c r="F67" s="10" t="s">
        <v>228</v>
      </c>
      <c r="G67" s="68">
        <v>9840427491</v>
      </c>
      <c r="H67" s="10" t="s">
        <v>260</v>
      </c>
      <c r="I67" s="15" t="s">
        <v>67</v>
      </c>
      <c r="J67" s="67">
        <v>41856</v>
      </c>
      <c r="K67" s="11">
        <v>0.375</v>
      </c>
      <c r="L67" s="11">
        <v>0.45833333333333331</v>
      </c>
      <c r="M67" s="70">
        <v>40</v>
      </c>
      <c r="N67" s="10" t="s">
        <v>182</v>
      </c>
      <c r="O67" s="10"/>
      <c r="P67" s="10"/>
      <c r="Q67" s="70"/>
      <c r="R67" s="14"/>
      <c r="S67" s="10"/>
      <c r="T67" s="10"/>
      <c r="U67" s="10"/>
    </row>
    <row r="68" spans="1:21">
      <c r="A68" s="87"/>
      <c r="B68" s="68" t="s">
        <v>18</v>
      </c>
      <c r="C68" s="92" t="s">
        <v>116</v>
      </c>
      <c r="D68" s="10" t="s">
        <v>7</v>
      </c>
      <c r="E68" s="66">
        <v>41835</v>
      </c>
      <c r="F68" s="10"/>
      <c r="G68" s="68"/>
      <c r="H68" s="10" t="s">
        <v>117</v>
      </c>
      <c r="I68" s="15" t="s">
        <v>67</v>
      </c>
      <c r="J68" s="67">
        <v>41860</v>
      </c>
      <c r="K68" s="11">
        <v>0.41666666666666669</v>
      </c>
      <c r="L68" s="11">
        <v>0.54166666666666663</v>
      </c>
      <c r="M68" s="70">
        <v>45</v>
      </c>
      <c r="N68" s="10" t="s">
        <v>92</v>
      </c>
      <c r="O68" s="10" t="s">
        <v>261</v>
      </c>
      <c r="P68" s="10"/>
      <c r="Q68" s="70"/>
      <c r="R68" s="14"/>
      <c r="S68" s="10"/>
      <c r="T68" s="10"/>
      <c r="U68" s="10"/>
    </row>
    <row r="69" spans="1:21">
      <c r="A69" s="87"/>
      <c r="B69" s="68" t="s">
        <v>17</v>
      </c>
      <c r="C69" s="10" t="s">
        <v>262</v>
      </c>
      <c r="D69" s="10" t="s">
        <v>6</v>
      </c>
      <c r="E69" s="66">
        <v>41851</v>
      </c>
      <c r="F69" s="10" t="s">
        <v>263</v>
      </c>
      <c r="G69" s="68">
        <v>9840725363</v>
      </c>
      <c r="H69" s="10"/>
      <c r="I69" s="15" t="s">
        <v>68</v>
      </c>
      <c r="J69" s="67">
        <v>41867</v>
      </c>
      <c r="K69" s="11">
        <v>0.41666666666666669</v>
      </c>
      <c r="L69" s="11">
        <v>0.54166666666666663</v>
      </c>
      <c r="M69" s="70"/>
      <c r="N69" s="10" t="s">
        <v>158</v>
      </c>
      <c r="O69" s="10"/>
      <c r="P69" s="10"/>
      <c r="Q69" s="70"/>
      <c r="R69" s="14"/>
      <c r="S69" s="10"/>
      <c r="T69" s="10"/>
      <c r="U69" s="10"/>
    </row>
    <row r="70" spans="1:21">
      <c r="A70" s="87"/>
      <c r="B70" s="68" t="s">
        <v>16</v>
      </c>
      <c r="C70" s="10" t="s">
        <v>264</v>
      </c>
      <c r="D70" s="10" t="s">
        <v>6</v>
      </c>
      <c r="E70" s="66">
        <v>41851</v>
      </c>
      <c r="F70" s="10" t="s">
        <v>265</v>
      </c>
      <c r="G70" s="68">
        <v>9444648885</v>
      </c>
      <c r="H70" s="10" t="s">
        <v>280</v>
      </c>
      <c r="I70" s="15" t="s">
        <v>68</v>
      </c>
      <c r="J70" s="67"/>
      <c r="K70" s="11"/>
      <c r="L70" s="11"/>
      <c r="M70" s="70"/>
      <c r="N70" s="10"/>
      <c r="O70" s="10"/>
      <c r="P70" s="10"/>
      <c r="Q70" s="70"/>
      <c r="R70" s="14"/>
      <c r="S70" s="10"/>
      <c r="T70" s="10"/>
      <c r="U70" s="10"/>
    </row>
    <row r="71" spans="1:21" s="2" customFormat="1">
      <c r="A71" s="87"/>
      <c r="B71" s="68" t="s">
        <v>18</v>
      </c>
      <c r="C71" s="92" t="s">
        <v>116</v>
      </c>
      <c r="D71" s="10" t="s">
        <v>7</v>
      </c>
      <c r="E71" s="66">
        <v>41851</v>
      </c>
      <c r="F71" s="10"/>
      <c r="G71" s="91"/>
      <c r="H71" s="10" t="s">
        <v>277</v>
      </c>
      <c r="I71" s="15" t="s">
        <v>105</v>
      </c>
      <c r="J71" s="67" t="s">
        <v>295</v>
      </c>
      <c r="K71" s="11">
        <v>0.41666666666666669</v>
      </c>
      <c r="L71" s="11">
        <v>0.6875</v>
      </c>
      <c r="M71" s="70">
        <v>10</v>
      </c>
      <c r="N71" s="10" t="s">
        <v>86</v>
      </c>
      <c r="O71" s="10"/>
      <c r="P71" s="10"/>
      <c r="Q71" s="70"/>
      <c r="R71" s="14"/>
      <c r="S71" s="10"/>
      <c r="T71" s="10"/>
      <c r="U71" s="10"/>
    </row>
    <row r="72" spans="1:21">
      <c r="A72" s="87"/>
      <c r="B72" s="68" t="s">
        <v>16</v>
      </c>
      <c r="C72" s="10" t="s">
        <v>267</v>
      </c>
      <c r="D72" s="10" t="s">
        <v>12</v>
      </c>
      <c r="E72" s="66">
        <v>41851</v>
      </c>
      <c r="F72" s="10" t="s">
        <v>266</v>
      </c>
      <c r="G72" s="89">
        <v>8939367215</v>
      </c>
      <c r="H72" s="10" t="s">
        <v>279</v>
      </c>
      <c r="I72" s="15" t="s">
        <v>68</v>
      </c>
      <c r="J72" s="67"/>
      <c r="K72" s="11"/>
      <c r="L72" s="11"/>
      <c r="M72" s="70"/>
      <c r="N72" s="10"/>
      <c r="O72" s="10"/>
      <c r="P72" s="10"/>
      <c r="Q72" s="70"/>
      <c r="R72" s="14"/>
      <c r="S72" s="10"/>
      <c r="T72" s="10"/>
      <c r="U72" s="10"/>
    </row>
    <row r="73" spans="1:21">
      <c r="A73" s="87"/>
      <c r="B73" s="68" t="s">
        <v>16</v>
      </c>
      <c r="C73" s="10" t="s">
        <v>269</v>
      </c>
      <c r="D73" s="10" t="s">
        <v>0</v>
      </c>
      <c r="E73" s="66">
        <v>41851</v>
      </c>
      <c r="F73" s="10" t="s">
        <v>268</v>
      </c>
      <c r="G73" s="90">
        <v>9840147468</v>
      </c>
      <c r="H73" s="10" t="s">
        <v>175</v>
      </c>
      <c r="I73" s="15" t="s">
        <v>68</v>
      </c>
      <c r="J73" s="67">
        <v>41890</v>
      </c>
      <c r="K73" s="11">
        <v>0.625</v>
      </c>
      <c r="L73" s="11">
        <v>0.75</v>
      </c>
      <c r="M73" s="70"/>
      <c r="N73" s="10" t="s">
        <v>158</v>
      </c>
      <c r="O73" s="10"/>
      <c r="P73" s="10"/>
      <c r="Q73" s="70"/>
      <c r="R73" s="14"/>
      <c r="S73" s="10"/>
      <c r="T73" s="10"/>
      <c r="U73" s="10"/>
    </row>
    <row r="74" spans="1:21">
      <c r="A74" s="87"/>
      <c r="B74" s="68" t="s">
        <v>18</v>
      </c>
      <c r="C74" s="10" t="s">
        <v>271</v>
      </c>
      <c r="D74" s="10" t="s">
        <v>9</v>
      </c>
      <c r="E74" s="66">
        <v>41851</v>
      </c>
      <c r="F74" s="10" t="s">
        <v>286</v>
      </c>
      <c r="G74" s="68">
        <v>8015734373</v>
      </c>
      <c r="H74" s="10" t="s">
        <v>278</v>
      </c>
      <c r="I74" s="15" t="s">
        <v>68</v>
      </c>
      <c r="J74" s="67">
        <v>41889</v>
      </c>
      <c r="K74" s="11">
        <v>0.41666666666666669</v>
      </c>
      <c r="L74" s="11">
        <v>0.54166666666666663</v>
      </c>
      <c r="M74" s="70">
        <v>300</v>
      </c>
      <c r="N74" s="10" t="s">
        <v>93</v>
      </c>
      <c r="O74" s="10" t="s">
        <v>304</v>
      </c>
      <c r="P74" s="10"/>
      <c r="Q74" s="70"/>
      <c r="R74" s="14"/>
      <c r="S74" s="10"/>
      <c r="T74" s="10"/>
      <c r="U74" s="10"/>
    </row>
    <row r="75" spans="1:21">
      <c r="A75" s="87"/>
      <c r="B75" s="68" t="s">
        <v>16</v>
      </c>
      <c r="C75" s="10" t="s">
        <v>270</v>
      </c>
      <c r="D75" s="10" t="s">
        <v>9</v>
      </c>
      <c r="E75" s="66">
        <v>41851</v>
      </c>
      <c r="F75" s="10" t="s">
        <v>272</v>
      </c>
      <c r="G75" s="68">
        <v>7708750112</v>
      </c>
      <c r="H75" s="10" t="s">
        <v>278</v>
      </c>
      <c r="I75" s="15" t="s">
        <v>68</v>
      </c>
      <c r="J75" s="67"/>
      <c r="K75" s="11"/>
      <c r="L75" s="11"/>
      <c r="M75" s="70"/>
      <c r="N75" s="10"/>
      <c r="O75" s="10"/>
      <c r="P75" s="10"/>
      <c r="Q75" s="70"/>
      <c r="R75" s="14"/>
      <c r="S75" s="10"/>
      <c r="T75" s="10"/>
      <c r="U75" s="10"/>
    </row>
    <row r="76" spans="1:21">
      <c r="A76" s="87"/>
      <c r="B76" s="68" t="s">
        <v>18</v>
      </c>
      <c r="C76" s="10" t="s">
        <v>273</v>
      </c>
      <c r="D76" s="10" t="s">
        <v>4</v>
      </c>
      <c r="E76" s="66">
        <v>41852</v>
      </c>
      <c r="F76" s="10" t="s">
        <v>274</v>
      </c>
      <c r="G76" s="68">
        <v>9884902040</v>
      </c>
      <c r="H76" s="10" t="s">
        <v>287</v>
      </c>
      <c r="I76" s="15" t="s">
        <v>68</v>
      </c>
      <c r="J76" s="67">
        <v>41888</v>
      </c>
      <c r="K76" s="11">
        <v>0.41666666666666669</v>
      </c>
      <c r="L76" s="11">
        <v>0.54166666666666663</v>
      </c>
      <c r="M76" s="70"/>
      <c r="N76" s="10" t="s">
        <v>158</v>
      </c>
      <c r="O76" s="10" t="s">
        <v>182</v>
      </c>
      <c r="P76" s="10"/>
      <c r="Q76" s="70"/>
      <c r="R76" s="14"/>
      <c r="S76" s="10"/>
      <c r="T76" s="10"/>
      <c r="U76" s="10"/>
    </row>
    <row r="77" spans="1:21">
      <c r="A77" s="87"/>
      <c r="B77" s="68" t="s">
        <v>16</v>
      </c>
      <c r="C77" s="10" t="s">
        <v>275</v>
      </c>
      <c r="D77" s="10" t="s">
        <v>8</v>
      </c>
      <c r="E77" s="66">
        <v>41852</v>
      </c>
      <c r="F77" s="10" t="s">
        <v>219</v>
      </c>
      <c r="G77" s="68">
        <v>9444583197</v>
      </c>
      <c r="H77" s="10" t="s">
        <v>277</v>
      </c>
      <c r="I77" s="15" t="s">
        <v>68</v>
      </c>
      <c r="J77" s="67">
        <v>41874</v>
      </c>
      <c r="K77" s="11"/>
      <c r="L77" s="11"/>
      <c r="M77" s="70"/>
      <c r="N77" s="10" t="s">
        <v>158</v>
      </c>
      <c r="O77" s="10"/>
      <c r="P77" s="10"/>
      <c r="Q77" s="70"/>
      <c r="R77" s="14"/>
      <c r="S77" s="10"/>
      <c r="T77" s="10"/>
      <c r="U77" s="10"/>
    </row>
    <row r="78" spans="1:21">
      <c r="A78" s="87"/>
      <c r="B78" s="68" t="s">
        <v>18</v>
      </c>
      <c r="C78" s="10" t="s">
        <v>288</v>
      </c>
      <c r="D78" s="10" t="s">
        <v>9</v>
      </c>
      <c r="E78" s="66">
        <v>41862</v>
      </c>
      <c r="F78" s="10" t="s">
        <v>276</v>
      </c>
      <c r="G78" s="68">
        <v>9488656917</v>
      </c>
      <c r="H78" s="10" t="s">
        <v>289</v>
      </c>
      <c r="I78" s="15" t="s">
        <v>68</v>
      </c>
      <c r="J78" s="67">
        <v>41902</v>
      </c>
      <c r="K78" s="11">
        <v>0.41666666666666669</v>
      </c>
      <c r="L78" s="11">
        <v>0.52083333333333337</v>
      </c>
      <c r="M78" s="70">
        <v>100</v>
      </c>
      <c r="N78" s="10" t="s">
        <v>93</v>
      </c>
      <c r="O78" s="10"/>
      <c r="P78" s="10"/>
      <c r="Q78" s="70"/>
      <c r="R78" s="14"/>
      <c r="S78" s="10"/>
      <c r="T78" s="10"/>
      <c r="U78" s="10"/>
    </row>
    <row r="79" spans="1:21">
      <c r="A79" s="87"/>
      <c r="B79" s="68" t="s">
        <v>16</v>
      </c>
      <c r="C79" s="10" t="s">
        <v>281</v>
      </c>
      <c r="D79" s="10" t="s">
        <v>6</v>
      </c>
      <c r="E79" s="66">
        <v>41862</v>
      </c>
      <c r="F79" s="10" t="s">
        <v>293</v>
      </c>
      <c r="G79" s="10">
        <v>9150105509</v>
      </c>
      <c r="H79" s="10" t="s">
        <v>221</v>
      </c>
      <c r="I79" s="15"/>
      <c r="J79" s="67"/>
      <c r="K79" s="11"/>
      <c r="L79" s="11"/>
      <c r="M79" s="70"/>
      <c r="N79" s="10"/>
      <c r="O79" s="10"/>
      <c r="P79" s="10"/>
      <c r="Q79" s="70"/>
      <c r="R79" s="14"/>
      <c r="S79" s="10"/>
      <c r="T79" s="10"/>
      <c r="U79" s="10"/>
    </row>
    <row r="80" spans="1:21">
      <c r="A80" s="87"/>
      <c r="B80" s="68" t="s">
        <v>18</v>
      </c>
      <c r="C80" s="10" t="s">
        <v>282</v>
      </c>
      <c r="D80" s="10" t="s">
        <v>10</v>
      </c>
      <c r="E80" s="66">
        <v>41862</v>
      </c>
      <c r="F80" s="10" t="s">
        <v>283</v>
      </c>
      <c r="G80" s="68">
        <v>9445565106</v>
      </c>
      <c r="H80" s="10" t="s">
        <v>284</v>
      </c>
      <c r="I80" s="15" t="s">
        <v>68</v>
      </c>
      <c r="J80" s="67">
        <v>41900</v>
      </c>
      <c r="K80" s="11">
        <v>0.41666666666666669</v>
      </c>
      <c r="L80" s="11">
        <v>0.5625</v>
      </c>
      <c r="M80" s="70"/>
      <c r="N80" s="10" t="s">
        <v>93</v>
      </c>
      <c r="O80" s="10" t="s">
        <v>305</v>
      </c>
      <c r="P80" s="10"/>
      <c r="Q80" s="70"/>
      <c r="R80" s="14"/>
      <c r="S80" s="10"/>
      <c r="T80" s="10"/>
      <c r="U80" s="10"/>
    </row>
    <row r="81" spans="1:21">
      <c r="A81" s="87"/>
      <c r="B81" s="68" t="s">
        <v>16</v>
      </c>
      <c r="C81" s="10" t="s">
        <v>285</v>
      </c>
      <c r="D81" s="10" t="s">
        <v>0</v>
      </c>
      <c r="E81" s="66">
        <v>41862</v>
      </c>
      <c r="F81" s="10"/>
      <c r="G81" s="68"/>
      <c r="H81" s="10" t="s">
        <v>220</v>
      </c>
      <c r="I81" s="15" t="s">
        <v>68</v>
      </c>
      <c r="J81" s="67"/>
      <c r="K81" s="11"/>
      <c r="L81" s="11"/>
      <c r="M81" s="70"/>
      <c r="N81" s="10" t="s">
        <v>158</v>
      </c>
      <c r="O81" s="10"/>
      <c r="P81" s="10"/>
      <c r="Q81" s="70"/>
      <c r="R81" s="14"/>
      <c r="S81" s="10"/>
      <c r="T81" s="10"/>
      <c r="U81" s="10"/>
    </row>
    <row r="82" spans="1:21">
      <c r="A82" s="87"/>
      <c r="B82" s="68" t="s">
        <v>18</v>
      </c>
      <c r="C82" s="10" t="s">
        <v>290</v>
      </c>
      <c r="D82" s="10" t="s">
        <v>6</v>
      </c>
      <c r="E82" s="66">
        <v>41862</v>
      </c>
      <c r="F82" s="10" t="s">
        <v>294</v>
      </c>
      <c r="G82" s="68">
        <v>4424938907</v>
      </c>
      <c r="H82" s="10" t="s">
        <v>291</v>
      </c>
      <c r="I82" s="15" t="s">
        <v>67</v>
      </c>
      <c r="J82" s="67">
        <v>41870</v>
      </c>
      <c r="K82" s="11">
        <v>0.41666666666666669</v>
      </c>
      <c r="L82" s="11">
        <v>0.5625</v>
      </c>
      <c r="M82" s="70">
        <v>30</v>
      </c>
      <c r="N82" s="10" t="s">
        <v>93</v>
      </c>
      <c r="O82" s="10" t="s">
        <v>292</v>
      </c>
      <c r="P82" s="10"/>
      <c r="Q82" s="70"/>
      <c r="R82" s="14"/>
      <c r="S82" s="10"/>
      <c r="T82" s="10"/>
      <c r="U82" s="10"/>
    </row>
    <row r="83" spans="1:21">
      <c r="A83" s="87"/>
      <c r="B83" s="68" t="s">
        <v>16</v>
      </c>
      <c r="C83" s="10" t="s">
        <v>297</v>
      </c>
      <c r="D83" s="10" t="s">
        <v>9</v>
      </c>
      <c r="E83" s="66">
        <v>41877</v>
      </c>
      <c r="F83" s="10" t="s">
        <v>255</v>
      </c>
      <c r="G83" s="68">
        <v>8220262535</v>
      </c>
      <c r="H83" s="10" t="s">
        <v>298</v>
      </c>
      <c r="I83" s="15" t="s">
        <v>68</v>
      </c>
      <c r="J83" s="67">
        <v>41886</v>
      </c>
      <c r="K83" s="11"/>
      <c r="L83" s="11"/>
      <c r="M83" s="70"/>
      <c r="N83" s="10"/>
      <c r="O83" s="10"/>
      <c r="P83" s="10"/>
      <c r="Q83" s="70"/>
      <c r="R83" s="14"/>
      <c r="S83" s="10"/>
      <c r="T83" s="10"/>
      <c r="U83" s="10"/>
    </row>
    <row r="84" spans="1:21">
      <c r="A84" s="87"/>
      <c r="B84" s="68" t="s">
        <v>16</v>
      </c>
      <c r="C84" s="10" t="s">
        <v>299</v>
      </c>
      <c r="D84" s="10" t="s">
        <v>0</v>
      </c>
      <c r="E84" s="66">
        <v>41877</v>
      </c>
      <c r="F84" s="10" t="s">
        <v>300</v>
      </c>
      <c r="G84" s="68">
        <v>9940095879</v>
      </c>
      <c r="H84" s="10"/>
      <c r="I84" s="15"/>
      <c r="J84" s="67"/>
      <c r="K84" s="11"/>
      <c r="L84" s="11"/>
      <c r="M84" s="70"/>
      <c r="N84" s="10"/>
      <c r="O84" s="10"/>
      <c r="P84" s="10"/>
      <c r="Q84" s="70"/>
      <c r="R84" s="14"/>
      <c r="S84" s="10"/>
      <c r="T84" s="10"/>
      <c r="U84" s="10"/>
    </row>
    <row r="85" spans="1:21">
      <c r="A85" s="87"/>
      <c r="B85" s="68"/>
      <c r="C85" s="10" t="s">
        <v>302</v>
      </c>
      <c r="D85" s="10"/>
      <c r="E85" s="66"/>
      <c r="F85" s="10" t="s">
        <v>276</v>
      </c>
      <c r="G85" s="68">
        <v>9488656917</v>
      </c>
      <c r="H85" s="10" t="s">
        <v>303</v>
      </c>
      <c r="I85" s="15"/>
      <c r="J85" s="67" t="s">
        <v>301</v>
      </c>
      <c r="K85" s="11"/>
      <c r="L85" s="11"/>
      <c r="M85" s="70"/>
      <c r="N85" s="10"/>
      <c r="O85" s="10"/>
      <c r="P85" s="10"/>
      <c r="Q85" s="70"/>
      <c r="R85" s="14"/>
      <c r="S85" s="10"/>
      <c r="T85" s="10"/>
      <c r="U85" s="10"/>
    </row>
    <row r="86" spans="1:21">
      <c r="A86" s="87"/>
      <c r="B86" s="68" t="s">
        <v>18</v>
      </c>
      <c r="C86" s="10" t="s">
        <v>199</v>
      </c>
      <c r="D86" s="10" t="s">
        <v>306</v>
      </c>
      <c r="E86" s="66">
        <v>41883</v>
      </c>
      <c r="F86" s="10" t="s">
        <v>307</v>
      </c>
      <c r="G86" s="68">
        <v>9840568849</v>
      </c>
      <c r="H86" s="10" t="s">
        <v>308</v>
      </c>
      <c r="I86" s="15" t="s">
        <v>67</v>
      </c>
      <c r="J86" s="67">
        <v>41892</v>
      </c>
      <c r="K86" s="11">
        <v>0.35416666666666669</v>
      </c>
      <c r="L86" s="11">
        <v>0.45833333333333331</v>
      </c>
      <c r="M86" s="70">
        <v>30</v>
      </c>
      <c r="N86" s="10" t="s">
        <v>93</v>
      </c>
      <c r="O86" s="10"/>
      <c r="P86" s="10"/>
      <c r="Q86" s="70"/>
      <c r="R86" s="14"/>
      <c r="S86" s="10"/>
      <c r="T86" s="10"/>
      <c r="U86" s="10"/>
    </row>
    <row r="87" spans="1:21">
      <c r="A87" s="87"/>
      <c r="B87" s="68" t="s">
        <v>18</v>
      </c>
      <c r="C87" s="10" t="s">
        <v>199</v>
      </c>
      <c r="D87" s="10" t="s">
        <v>11</v>
      </c>
      <c r="E87" s="66">
        <v>41883</v>
      </c>
      <c r="F87" s="10" t="s">
        <v>307</v>
      </c>
      <c r="G87" s="68">
        <v>9840568849</v>
      </c>
      <c r="H87" s="10" t="s">
        <v>309</v>
      </c>
      <c r="I87" s="15" t="s">
        <v>67</v>
      </c>
      <c r="J87" s="67">
        <v>41905</v>
      </c>
      <c r="K87" s="11">
        <v>0.375</v>
      </c>
      <c r="L87" s="11">
        <v>0.45833333333333331</v>
      </c>
      <c r="M87" s="70">
        <v>30</v>
      </c>
      <c r="N87" s="10" t="s">
        <v>93</v>
      </c>
      <c r="O87" s="10"/>
      <c r="P87" s="10"/>
      <c r="Q87" s="70"/>
      <c r="R87" s="14"/>
      <c r="S87" s="10"/>
      <c r="T87" s="10"/>
      <c r="U87" s="10"/>
    </row>
    <row r="88" spans="1:21">
      <c r="A88" s="87"/>
      <c r="B88" s="68" t="s">
        <v>17</v>
      </c>
      <c r="C88" s="10" t="s">
        <v>310</v>
      </c>
      <c r="D88" s="10" t="s">
        <v>9</v>
      </c>
      <c r="E88" s="66">
        <v>41896</v>
      </c>
      <c r="F88" s="10" t="s">
        <v>86</v>
      </c>
      <c r="G88" s="68">
        <v>9551088594</v>
      </c>
      <c r="H88" s="10" t="s">
        <v>311</v>
      </c>
      <c r="I88" s="15" t="s">
        <v>67</v>
      </c>
      <c r="J88" s="67">
        <v>41908</v>
      </c>
      <c r="K88" s="11">
        <v>0.41666666666666669</v>
      </c>
      <c r="L88" s="11">
        <v>0.54166666666666663</v>
      </c>
      <c r="M88" s="70"/>
      <c r="N88" s="10" t="s">
        <v>93</v>
      </c>
      <c r="O88" s="10"/>
      <c r="P88" s="10"/>
      <c r="Q88" s="70"/>
      <c r="R88" s="14"/>
      <c r="S88" s="10"/>
      <c r="T88" s="10"/>
      <c r="U88" s="10"/>
    </row>
    <row r="89" spans="1:21">
      <c r="A89" s="87"/>
      <c r="B89" s="68" t="s">
        <v>18</v>
      </c>
      <c r="C89" s="10" t="s">
        <v>310</v>
      </c>
      <c r="D89" s="10" t="s">
        <v>9</v>
      </c>
      <c r="E89" s="66">
        <v>41897</v>
      </c>
      <c r="F89" s="10" t="s">
        <v>86</v>
      </c>
      <c r="G89" s="68">
        <v>9551088595</v>
      </c>
      <c r="H89" s="10" t="s">
        <v>311</v>
      </c>
      <c r="I89" s="15" t="s">
        <v>67</v>
      </c>
      <c r="J89" s="67">
        <v>41913</v>
      </c>
      <c r="K89" s="11">
        <v>0.41666666666666669</v>
      </c>
      <c r="L89" s="11">
        <v>0.5</v>
      </c>
      <c r="M89" s="70">
        <v>120</v>
      </c>
      <c r="N89" s="10" t="s">
        <v>93</v>
      </c>
      <c r="O89" s="10"/>
      <c r="P89" s="10"/>
      <c r="Q89" s="70"/>
      <c r="R89" s="14"/>
      <c r="S89" s="10"/>
      <c r="T89" s="10"/>
      <c r="U89" s="10"/>
    </row>
    <row r="90" spans="1:21">
      <c r="A90" s="87"/>
      <c r="B90" s="68" t="s">
        <v>17</v>
      </c>
      <c r="C90" s="10" t="s">
        <v>312</v>
      </c>
      <c r="D90" s="10" t="s">
        <v>0</v>
      </c>
      <c r="E90" s="66">
        <v>41898</v>
      </c>
      <c r="F90" s="10" t="s">
        <v>313</v>
      </c>
      <c r="G90" s="68">
        <v>7708068843</v>
      </c>
      <c r="H90" s="10" t="s">
        <v>314</v>
      </c>
      <c r="I90" s="15" t="s">
        <v>67</v>
      </c>
      <c r="J90" s="67">
        <v>41922</v>
      </c>
      <c r="K90" s="11">
        <v>0.41666666666666669</v>
      </c>
      <c r="L90" s="11">
        <v>0.54166666666666663</v>
      </c>
      <c r="M90" s="70">
        <v>50</v>
      </c>
      <c r="N90" s="10" t="s">
        <v>93</v>
      </c>
      <c r="O90" s="10"/>
      <c r="P90" s="10"/>
      <c r="Q90" s="70"/>
      <c r="R90" s="14"/>
      <c r="S90" s="10"/>
      <c r="T90" s="10"/>
      <c r="U90" s="10"/>
    </row>
    <row r="91" spans="1:21">
      <c r="A91" s="87"/>
      <c r="B91" s="68" t="s">
        <v>17</v>
      </c>
      <c r="C91" s="10" t="s">
        <v>199</v>
      </c>
      <c r="D91" s="10" t="s">
        <v>11</v>
      </c>
      <c r="E91" s="66">
        <v>41898</v>
      </c>
      <c r="F91" s="10" t="s">
        <v>307</v>
      </c>
      <c r="G91" s="68">
        <v>9840568849</v>
      </c>
      <c r="H91" s="10" t="s">
        <v>229</v>
      </c>
      <c r="I91" s="15" t="s">
        <v>67</v>
      </c>
      <c r="J91" s="67">
        <v>41926</v>
      </c>
      <c r="K91" s="11">
        <v>0.35416666666666669</v>
      </c>
      <c r="L91" s="11">
        <v>0.45833333333333331</v>
      </c>
      <c r="M91" s="70"/>
      <c r="N91" s="10" t="s">
        <v>93</v>
      </c>
      <c r="O91" s="10"/>
      <c r="P91" s="10"/>
      <c r="Q91" s="70"/>
      <c r="R91" s="14"/>
      <c r="S91" s="10"/>
      <c r="T91" s="10"/>
      <c r="U91" s="10"/>
    </row>
    <row r="92" spans="1:21">
      <c r="A92" s="87"/>
      <c r="B92" s="68" t="s">
        <v>17</v>
      </c>
      <c r="C92" s="10" t="s">
        <v>199</v>
      </c>
      <c r="D92" s="10" t="s">
        <v>11</v>
      </c>
      <c r="E92" s="66">
        <v>41898</v>
      </c>
      <c r="F92" s="10" t="s">
        <v>307</v>
      </c>
      <c r="G92" s="68">
        <v>9840568849</v>
      </c>
      <c r="H92" s="10" t="s">
        <v>240</v>
      </c>
      <c r="I92" s="15" t="s">
        <v>67</v>
      </c>
      <c r="J92" s="67">
        <v>41933</v>
      </c>
      <c r="K92" s="11">
        <v>0.35416666666666669</v>
      </c>
      <c r="L92" s="11" t="s">
        <v>315</v>
      </c>
      <c r="M92" s="70"/>
      <c r="N92" s="10" t="s">
        <v>182</v>
      </c>
      <c r="O92" s="10"/>
      <c r="P92" s="10"/>
      <c r="Q92" s="70"/>
      <c r="R92" s="14"/>
      <c r="S92" s="10"/>
      <c r="T92" s="10"/>
      <c r="U92" s="10"/>
    </row>
    <row r="93" spans="1:21">
      <c r="A93" s="87"/>
      <c r="B93" s="68" t="s">
        <v>17</v>
      </c>
      <c r="C93" s="10" t="s">
        <v>316</v>
      </c>
      <c r="D93" s="10" t="s">
        <v>3</v>
      </c>
      <c r="E93" s="66">
        <v>41899</v>
      </c>
      <c r="F93" s="10" t="s">
        <v>317</v>
      </c>
      <c r="G93" s="68">
        <v>9840909945</v>
      </c>
      <c r="H93" s="10" t="s">
        <v>280</v>
      </c>
      <c r="I93" s="15" t="s">
        <v>68</v>
      </c>
      <c r="J93" s="67">
        <v>41924</v>
      </c>
      <c r="K93" s="11">
        <v>0.39583333333333331</v>
      </c>
      <c r="L93" s="11" t="s">
        <v>318</v>
      </c>
      <c r="M93" s="70"/>
      <c r="N93" s="10" t="s">
        <v>182</v>
      </c>
      <c r="O93" s="10"/>
      <c r="P93" s="10"/>
      <c r="Q93" s="70"/>
      <c r="R93" s="14"/>
      <c r="S93" s="10"/>
      <c r="T93" s="10"/>
      <c r="U93" s="10"/>
    </row>
    <row r="94" spans="1:21">
      <c r="A94" s="87"/>
      <c r="B94" s="68" t="s">
        <v>18</v>
      </c>
      <c r="C94" s="142" t="s">
        <v>319</v>
      </c>
      <c r="D94" s="10" t="s">
        <v>12</v>
      </c>
      <c r="E94" s="66">
        <v>41899</v>
      </c>
      <c r="F94" s="10" t="s">
        <v>320</v>
      </c>
      <c r="G94" s="68">
        <v>9940623637</v>
      </c>
      <c r="H94" s="10" t="s">
        <v>321</v>
      </c>
      <c r="I94" s="15" t="s">
        <v>67</v>
      </c>
      <c r="J94" s="67">
        <v>41921</v>
      </c>
      <c r="K94" s="11">
        <v>0.4375</v>
      </c>
      <c r="L94" s="11">
        <v>0.52083333333333337</v>
      </c>
      <c r="M94" s="70">
        <v>30</v>
      </c>
      <c r="N94" s="10" t="s">
        <v>93</v>
      </c>
      <c r="O94" s="10"/>
      <c r="P94" s="10"/>
      <c r="Q94" s="70"/>
      <c r="R94" s="14"/>
      <c r="S94" s="10"/>
      <c r="T94" s="10"/>
      <c r="U94" s="10"/>
    </row>
    <row r="95" spans="1:21">
      <c r="A95" s="87"/>
      <c r="B95" s="68" t="s">
        <v>17</v>
      </c>
      <c r="C95" s="142" t="s">
        <v>319</v>
      </c>
      <c r="D95" s="10" t="s">
        <v>12</v>
      </c>
      <c r="E95" s="66">
        <v>41900</v>
      </c>
      <c r="F95" s="10" t="s">
        <v>320</v>
      </c>
      <c r="G95" s="68">
        <v>9940623637</v>
      </c>
      <c r="H95" s="10" t="s">
        <v>321</v>
      </c>
      <c r="I95" s="15" t="s">
        <v>67</v>
      </c>
      <c r="J95" s="67">
        <v>41928</v>
      </c>
      <c r="K95" s="11">
        <v>0.4375</v>
      </c>
      <c r="L95" s="11">
        <v>0.52083333333333337</v>
      </c>
      <c r="M95" s="70">
        <v>30</v>
      </c>
      <c r="N95" s="10" t="s">
        <v>93</v>
      </c>
      <c r="O95" s="10"/>
      <c r="P95" s="10"/>
      <c r="Q95" s="70"/>
      <c r="R95" s="14"/>
      <c r="S95" s="10"/>
      <c r="T95" s="10"/>
      <c r="U95" s="10"/>
    </row>
    <row r="96" spans="1:21">
      <c r="A96" s="87"/>
      <c r="B96" s="68" t="s">
        <v>17</v>
      </c>
      <c r="C96" s="10" t="s">
        <v>322</v>
      </c>
      <c r="D96" s="10" t="s">
        <v>12</v>
      </c>
      <c r="E96" s="66">
        <v>41900</v>
      </c>
      <c r="F96" s="10" t="s">
        <v>323</v>
      </c>
      <c r="G96" s="68">
        <v>9940544556</v>
      </c>
      <c r="H96" s="10" t="s">
        <v>324</v>
      </c>
      <c r="I96" s="15" t="s">
        <v>67</v>
      </c>
      <c r="J96" s="67">
        <v>41958</v>
      </c>
      <c r="K96" s="11"/>
      <c r="L96" s="11"/>
      <c r="M96" s="70">
        <v>40</v>
      </c>
      <c r="N96" s="10" t="s">
        <v>93</v>
      </c>
      <c r="O96" s="10"/>
      <c r="P96" s="10"/>
      <c r="Q96" s="70"/>
      <c r="R96" s="14"/>
      <c r="S96" s="10"/>
      <c r="T96" s="10"/>
      <c r="U96" s="10"/>
    </row>
    <row r="97" spans="1:21">
      <c r="A97" s="87"/>
      <c r="B97" s="68" t="s">
        <v>16</v>
      </c>
      <c r="C97" s="10" t="s">
        <v>325</v>
      </c>
      <c r="D97" s="10" t="s">
        <v>12</v>
      </c>
      <c r="E97" s="66">
        <v>41900</v>
      </c>
      <c r="F97" s="10"/>
      <c r="G97" s="68"/>
      <c r="H97" s="10" t="s">
        <v>326</v>
      </c>
      <c r="I97" s="15" t="s">
        <v>67</v>
      </c>
      <c r="J97" s="67"/>
      <c r="K97" s="11"/>
      <c r="L97" s="11"/>
      <c r="M97" s="70"/>
      <c r="N97" s="10"/>
      <c r="O97" s="10"/>
      <c r="P97" s="10"/>
      <c r="Q97" s="70"/>
      <c r="R97" s="14"/>
      <c r="S97" s="10"/>
      <c r="T97" s="10"/>
      <c r="U97" s="10"/>
    </row>
    <row r="98" spans="1:21">
      <c r="A98" s="87"/>
      <c r="B98" s="68"/>
      <c r="C98" s="10"/>
      <c r="D98" s="10"/>
      <c r="E98" s="66"/>
      <c r="F98" s="10"/>
      <c r="G98" s="68"/>
      <c r="H98" s="10"/>
      <c r="I98" s="15"/>
      <c r="J98" s="67"/>
      <c r="K98" s="11"/>
      <c r="L98" s="11"/>
      <c r="M98" s="70"/>
      <c r="N98" s="10"/>
      <c r="O98" s="10"/>
      <c r="P98" s="10"/>
      <c r="Q98" s="70"/>
      <c r="R98" s="14"/>
      <c r="S98" s="10"/>
      <c r="T98" s="10"/>
      <c r="U98" s="10"/>
    </row>
    <row r="99" spans="1:21">
      <c r="A99" s="87"/>
      <c r="B99" s="68"/>
      <c r="C99" s="10"/>
      <c r="D99" s="10"/>
      <c r="E99" s="66"/>
      <c r="F99" s="10"/>
      <c r="G99" s="68"/>
      <c r="H99" s="10"/>
      <c r="I99" s="15"/>
      <c r="J99" s="67"/>
      <c r="K99" s="11"/>
      <c r="L99" s="11"/>
      <c r="M99" s="70"/>
      <c r="N99" s="10"/>
      <c r="O99" s="10"/>
      <c r="P99" s="10"/>
      <c r="Q99" s="70"/>
      <c r="R99" s="14"/>
      <c r="S99" s="10"/>
      <c r="T99" s="10"/>
      <c r="U99" s="10"/>
    </row>
    <row r="100" spans="1:21">
      <c r="A100" s="87"/>
      <c r="B100" s="68"/>
      <c r="C100" s="10"/>
      <c r="D100" s="10"/>
      <c r="E100" s="66"/>
      <c r="F100" s="10"/>
      <c r="G100" s="68"/>
      <c r="H100" s="10"/>
      <c r="I100" s="15"/>
      <c r="J100" s="67"/>
      <c r="K100" s="11"/>
      <c r="L100" s="11"/>
      <c r="M100" s="70"/>
      <c r="N100" s="10"/>
      <c r="O100" s="10"/>
      <c r="P100" s="10"/>
      <c r="Q100" s="70"/>
      <c r="R100" s="14"/>
      <c r="S100" s="10"/>
      <c r="T100" s="10"/>
      <c r="U100" s="10"/>
    </row>
    <row r="101" spans="1:21">
      <c r="A101" s="87"/>
      <c r="B101" s="68"/>
      <c r="C101" s="10"/>
      <c r="D101" s="10"/>
      <c r="E101" s="66"/>
      <c r="F101" s="10"/>
      <c r="G101" s="68"/>
      <c r="H101" s="10"/>
      <c r="I101" s="15"/>
      <c r="J101" s="67"/>
      <c r="K101" s="11"/>
      <c r="L101" s="11"/>
      <c r="M101" s="70"/>
      <c r="N101" s="10"/>
      <c r="O101" s="10"/>
      <c r="P101" s="10"/>
      <c r="Q101" s="70"/>
      <c r="R101" s="14"/>
      <c r="S101" s="10"/>
      <c r="T101" s="10"/>
      <c r="U101" s="10"/>
    </row>
    <row r="102" spans="1:21">
      <c r="A102" s="87"/>
      <c r="B102" s="68"/>
      <c r="C102" s="10"/>
      <c r="D102" s="10"/>
      <c r="E102" s="66"/>
      <c r="F102" s="10"/>
      <c r="G102" s="68"/>
      <c r="H102" s="10"/>
      <c r="I102" s="15"/>
      <c r="J102" s="67"/>
      <c r="K102" s="11"/>
      <c r="L102" s="11"/>
      <c r="M102" s="70"/>
      <c r="N102" s="10"/>
      <c r="O102" s="10"/>
      <c r="P102" s="10"/>
      <c r="Q102" s="70"/>
      <c r="R102" s="14"/>
      <c r="S102" s="10"/>
      <c r="T102" s="10"/>
      <c r="U102" s="10"/>
    </row>
  </sheetData>
  <mergeCells count="1">
    <mergeCell ref="A2:T2"/>
  </mergeCells>
  <dataValidations count="6">
    <dataValidation type="list" allowBlank="1" showInputMessage="1" showErrorMessage="1" sqref="B5:B102">
      <formula1>Status</formula1>
    </dataValidation>
    <dataValidation type="list" allowBlank="1" showInputMessage="1" showErrorMessage="1" sqref="D5:D102">
      <formula1>TypeOfAttendees</formula1>
    </dataValidation>
    <dataValidation type="list" allowBlank="1" showInputMessage="1" showErrorMessage="1" sqref="K5:L102">
      <formula1>Time</formula1>
    </dataValidation>
    <dataValidation type="list" allowBlank="1" showInputMessage="1" showErrorMessage="1" sqref="N5:N102">
      <formula1>Trainer</formula1>
    </dataValidation>
    <dataValidation type="list" allowBlank="1" showInputMessage="1" showErrorMessage="1" sqref="P5:P102">
      <formula1>Doctor</formula1>
    </dataValidation>
    <dataValidation type="list" allowBlank="1" showInputMessage="1" showErrorMessage="1" sqref="I5:I102">
      <formula1>WorkshopType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G96"/>
  <sheetViews>
    <sheetView workbookViewId="0">
      <selection activeCell="B11" sqref="B11"/>
    </sheetView>
  </sheetViews>
  <sheetFormatPr defaultRowHeight="15"/>
  <cols>
    <col min="1" max="1" width="9.140625" style="1"/>
    <col min="2" max="2" width="21.7109375" style="1" bestFit="1" customWidth="1"/>
    <col min="3" max="3" width="33.140625" style="1" bestFit="1" customWidth="1"/>
    <col min="4" max="4" width="12.28515625" style="1" bestFit="1" customWidth="1"/>
    <col min="5" max="5" width="20.5703125" style="1" bestFit="1" customWidth="1"/>
    <col min="6" max="6" width="11.140625" style="1" bestFit="1" customWidth="1"/>
    <col min="7" max="7" width="12.42578125" style="1" bestFit="1" customWidth="1"/>
    <col min="8" max="16384" width="9.140625" style="1"/>
  </cols>
  <sheetData>
    <row r="1" spans="1:7">
      <c r="A1" s="1">
        <v>0</v>
      </c>
      <c r="B1" s="1" t="s">
        <v>85</v>
      </c>
      <c r="C1" s="1" t="s">
        <v>3</v>
      </c>
      <c r="D1" s="1" t="s">
        <v>13</v>
      </c>
      <c r="E1" s="1" t="s">
        <v>16</v>
      </c>
      <c r="F1" s="1" t="s">
        <v>63</v>
      </c>
      <c r="G1" s="1" t="s">
        <v>67</v>
      </c>
    </row>
    <row r="2" spans="1:7">
      <c r="A2" s="1">
        <v>1.0416666666666666E-2</v>
      </c>
      <c r="B2" s="1" t="s">
        <v>86</v>
      </c>
      <c r="C2" s="1" t="s">
        <v>4</v>
      </c>
      <c r="D2" s="1" t="s">
        <v>14</v>
      </c>
      <c r="E2" s="1" t="s">
        <v>17</v>
      </c>
      <c r="F2" s="1" t="s">
        <v>64</v>
      </c>
      <c r="G2" s="1" t="s">
        <v>68</v>
      </c>
    </row>
    <row r="3" spans="1:7">
      <c r="A3" s="1">
        <v>2.0833333333333301E-2</v>
      </c>
      <c r="B3" s="1" t="s">
        <v>87</v>
      </c>
      <c r="C3" s="1" t="s">
        <v>8</v>
      </c>
      <c r="D3" s="1" t="s">
        <v>15</v>
      </c>
      <c r="E3" s="1" t="s">
        <v>18</v>
      </c>
      <c r="F3" s="1" t="s">
        <v>62</v>
      </c>
      <c r="G3" s="1" t="s">
        <v>69</v>
      </c>
    </row>
    <row r="4" spans="1:7">
      <c r="A4" s="1">
        <v>3.125E-2</v>
      </c>
      <c r="B4" s="1" t="s">
        <v>88</v>
      </c>
      <c r="C4" s="1" t="s">
        <v>9</v>
      </c>
      <c r="F4" s="1" t="s">
        <v>65</v>
      </c>
      <c r="G4" s="1" t="s">
        <v>70</v>
      </c>
    </row>
    <row r="5" spans="1:7">
      <c r="A5" s="1">
        <v>4.1666666666666699E-2</v>
      </c>
      <c r="B5" s="1" t="s">
        <v>89</v>
      </c>
      <c r="C5" s="1" t="s">
        <v>5</v>
      </c>
      <c r="F5" s="1" t="s">
        <v>66</v>
      </c>
      <c r="G5" s="1" t="s">
        <v>105</v>
      </c>
    </row>
    <row r="6" spans="1:7">
      <c r="A6" s="1">
        <v>5.2083333333333301E-2</v>
      </c>
      <c r="B6" s="1" t="s">
        <v>90</v>
      </c>
      <c r="C6" s="1" t="s">
        <v>0</v>
      </c>
    </row>
    <row r="7" spans="1:7">
      <c r="A7" s="1">
        <v>6.25E-2</v>
      </c>
      <c r="B7" s="1" t="s">
        <v>91</v>
      </c>
      <c r="C7" s="1" t="s">
        <v>1</v>
      </c>
    </row>
    <row r="8" spans="1:7">
      <c r="A8" s="1">
        <v>7.2916666666666699E-2</v>
      </c>
      <c r="B8" s="1" t="s">
        <v>92</v>
      </c>
      <c r="C8" s="1" t="s">
        <v>2</v>
      </c>
    </row>
    <row r="9" spans="1:7">
      <c r="A9" s="1">
        <v>8.3333333333333301E-2</v>
      </c>
      <c r="B9" s="1" t="s">
        <v>93</v>
      </c>
      <c r="C9" s="1" t="s">
        <v>6</v>
      </c>
    </row>
    <row r="10" spans="1:7">
      <c r="A10" s="1">
        <v>9.375E-2</v>
      </c>
      <c r="B10" s="1" t="s">
        <v>94</v>
      </c>
      <c r="C10" s="1" t="s">
        <v>7</v>
      </c>
    </row>
    <row r="11" spans="1:7">
      <c r="A11" s="1">
        <v>0.104166666666667</v>
      </c>
      <c r="C11" s="1" t="s">
        <v>10</v>
      </c>
    </row>
    <row r="12" spans="1:7">
      <c r="A12" s="1">
        <v>0.114583333333333</v>
      </c>
      <c r="C12" s="1" t="s">
        <v>11</v>
      </c>
    </row>
    <row r="13" spans="1:7">
      <c r="A13" s="1">
        <v>0.125</v>
      </c>
      <c r="C13" s="1" t="s">
        <v>12</v>
      </c>
    </row>
    <row r="14" spans="1:7">
      <c r="A14" s="1">
        <v>0.13541666666666699</v>
      </c>
    </row>
    <row r="15" spans="1:7">
      <c r="A15" s="1">
        <v>0.14583333333333301</v>
      </c>
    </row>
    <row r="16" spans="1:7">
      <c r="A16" s="1">
        <v>0.15625</v>
      </c>
    </row>
    <row r="17" spans="1:1">
      <c r="A17" s="1">
        <v>0.16666666666666699</v>
      </c>
    </row>
    <row r="18" spans="1:1">
      <c r="A18" s="1">
        <v>0.17708333333333301</v>
      </c>
    </row>
    <row r="19" spans="1:1">
      <c r="A19" s="1">
        <v>0.1875</v>
      </c>
    </row>
    <row r="20" spans="1:1">
      <c r="A20" s="1">
        <v>0.19791666666666699</v>
      </c>
    </row>
    <row r="21" spans="1:1">
      <c r="A21" s="1">
        <v>0.20833333333333301</v>
      </c>
    </row>
    <row r="22" spans="1:1">
      <c r="A22" s="1">
        <v>0.21875</v>
      </c>
    </row>
    <row r="23" spans="1:1">
      <c r="A23" s="1">
        <v>0.22916666666666699</v>
      </c>
    </row>
    <row r="24" spans="1:1">
      <c r="A24" s="1">
        <v>0.23958333333333301</v>
      </c>
    </row>
    <row r="25" spans="1:1">
      <c r="A25" s="1">
        <v>0.25</v>
      </c>
    </row>
    <row r="26" spans="1:1">
      <c r="A26" s="1">
        <v>0.26041666666666702</v>
      </c>
    </row>
    <row r="27" spans="1:1">
      <c r="A27" s="1">
        <v>0.27083333333333298</v>
      </c>
    </row>
    <row r="28" spans="1:1">
      <c r="A28" s="1">
        <v>0.28125</v>
      </c>
    </row>
    <row r="29" spans="1:1">
      <c r="A29" s="1">
        <v>0.29166666666666702</v>
      </c>
    </row>
    <row r="30" spans="1:1">
      <c r="A30" s="1">
        <v>0.30208333333333298</v>
      </c>
    </row>
    <row r="31" spans="1:1">
      <c r="A31" s="1">
        <v>0.3125</v>
      </c>
    </row>
    <row r="32" spans="1:1">
      <c r="A32" s="1">
        <v>0.32291666666666702</v>
      </c>
    </row>
    <row r="33" spans="1:1">
      <c r="A33" s="1">
        <v>0.33333333333333298</v>
      </c>
    </row>
    <row r="34" spans="1:1">
      <c r="A34" s="1">
        <v>0.34375</v>
      </c>
    </row>
    <row r="35" spans="1:1">
      <c r="A35" s="1">
        <v>0.35416666666666702</v>
      </c>
    </row>
    <row r="36" spans="1:1">
      <c r="A36" s="1">
        <v>0.36458333333333298</v>
      </c>
    </row>
    <row r="37" spans="1:1">
      <c r="A37" s="1">
        <v>0.375</v>
      </c>
    </row>
    <row r="38" spans="1:1">
      <c r="A38" s="1">
        <v>0.38541666666666702</v>
      </c>
    </row>
    <row r="39" spans="1:1">
      <c r="A39" s="1">
        <v>0.39583333333333298</v>
      </c>
    </row>
    <row r="40" spans="1:1">
      <c r="A40" s="1">
        <v>0.40625</v>
      </c>
    </row>
    <row r="41" spans="1:1">
      <c r="A41" s="1">
        <v>0.41666666666666702</v>
      </c>
    </row>
    <row r="42" spans="1:1">
      <c r="A42" s="1">
        <v>0.42708333333333298</v>
      </c>
    </row>
    <row r="43" spans="1:1">
      <c r="A43" s="1">
        <v>0.4375</v>
      </c>
    </row>
    <row r="44" spans="1:1">
      <c r="A44" s="1">
        <v>0.44791666666666702</v>
      </c>
    </row>
    <row r="45" spans="1:1">
      <c r="A45" s="1">
        <v>0.45833333333333298</v>
      </c>
    </row>
    <row r="46" spans="1:1">
      <c r="A46" s="1">
        <v>0.46875</v>
      </c>
    </row>
    <row r="47" spans="1:1">
      <c r="A47" s="1">
        <v>0.47916666666666702</v>
      </c>
    </row>
    <row r="48" spans="1:1">
      <c r="A48" s="1">
        <v>0.48958333333333298</v>
      </c>
    </row>
    <row r="49" spans="1:1">
      <c r="A49" s="1">
        <v>0.5</v>
      </c>
    </row>
    <row r="50" spans="1:1">
      <c r="A50" s="1">
        <v>0.51041666666666696</v>
      </c>
    </row>
    <row r="51" spans="1:1">
      <c r="A51" s="1">
        <v>0.52083333333333304</v>
      </c>
    </row>
    <row r="52" spans="1:1">
      <c r="A52" s="1">
        <v>0.53125</v>
      </c>
    </row>
    <row r="53" spans="1:1">
      <c r="A53" s="1">
        <v>0.54166666666666696</v>
      </c>
    </row>
    <row r="54" spans="1:1">
      <c r="A54" s="1">
        <v>0.55208333333333304</v>
      </c>
    </row>
    <row r="55" spans="1:1">
      <c r="A55" s="1">
        <v>0.5625</v>
      </c>
    </row>
    <row r="56" spans="1:1">
      <c r="A56" s="1">
        <v>0.57291666666666696</v>
      </c>
    </row>
    <row r="57" spans="1:1">
      <c r="A57" s="1">
        <v>0.58333333333333304</v>
      </c>
    </row>
    <row r="58" spans="1:1">
      <c r="A58" s="1">
        <v>0.59375</v>
      </c>
    </row>
    <row r="59" spans="1:1">
      <c r="A59" s="1">
        <v>0.60416666666666696</v>
      </c>
    </row>
    <row r="60" spans="1:1">
      <c r="A60" s="1">
        <v>0.61458333333333304</v>
      </c>
    </row>
    <row r="61" spans="1:1">
      <c r="A61" s="1">
        <v>0.625</v>
      </c>
    </row>
    <row r="62" spans="1:1">
      <c r="A62" s="1">
        <v>0.63541666666666696</v>
      </c>
    </row>
    <row r="63" spans="1:1">
      <c r="A63" s="1">
        <v>0.64583333333333304</v>
      </c>
    </row>
    <row r="64" spans="1:1">
      <c r="A64" s="1">
        <v>0.65625</v>
      </c>
    </row>
    <row r="65" spans="1:1">
      <c r="A65" s="1">
        <v>0.66666666666666696</v>
      </c>
    </row>
    <row r="66" spans="1:1">
      <c r="A66" s="1">
        <v>0.67708333333333304</v>
      </c>
    </row>
    <row r="67" spans="1:1">
      <c r="A67" s="1">
        <v>0.6875</v>
      </c>
    </row>
    <row r="68" spans="1:1">
      <c r="A68" s="1">
        <v>0.69791666666666696</v>
      </c>
    </row>
    <row r="69" spans="1:1">
      <c r="A69" s="1">
        <v>0.70833333333333304</v>
      </c>
    </row>
    <row r="70" spans="1:1">
      <c r="A70" s="1">
        <v>0.71875</v>
      </c>
    </row>
    <row r="71" spans="1:1">
      <c r="A71" s="1">
        <v>0.72916666666666696</v>
      </c>
    </row>
    <row r="72" spans="1:1">
      <c r="A72" s="1">
        <v>0.73958333333333304</v>
      </c>
    </row>
    <row r="73" spans="1:1">
      <c r="A73" s="1">
        <v>0.75</v>
      </c>
    </row>
    <row r="74" spans="1:1">
      <c r="A74" s="1">
        <v>0.76041666666666696</v>
      </c>
    </row>
    <row r="75" spans="1:1">
      <c r="A75" s="1">
        <v>0.77083333333333304</v>
      </c>
    </row>
    <row r="76" spans="1:1">
      <c r="A76" s="1">
        <v>0.78125</v>
      </c>
    </row>
    <row r="77" spans="1:1">
      <c r="A77" s="1">
        <v>0.79166666666666696</v>
      </c>
    </row>
    <row r="78" spans="1:1">
      <c r="A78" s="1">
        <v>0.80208333333333304</v>
      </c>
    </row>
    <row r="79" spans="1:1">
      <c r="A79" s="1">
        <v>0.8125</v>
      </c>
    </row>
    <row r="80" spans="1:1">
      <c r="A80" s="1">
        <v>0.82291666666666696</v>
      </c>
    </row>
    <row r="81" spans="1:1">
      <c r="A81" s="1">
        <v>0.83333333333333304</v>
      </c>
    </row>
    <row r="82" spans="1:1">
      <c r="A82" s="1">
        <v>0.84375</v>
      </c>
    </row>
    <row r="83" spans="1:1">
      <c r="A83" s="1">
        <v>0.85416666666666696</v>
      </c>
    </row>
    <row r="84" spans="1:1">
      <c r="A84" s="1">
        <v>0.86458333333333304</v>
      </c>
    </row>
    <row r="85" spans="1:1">
      <c r="A85" s="1">
        <v>0.875</v>
      </c>
    </row>
    <row r="86" spans="1:1">
      <c r="A86" s="1">
        <v>0.88541666666666696</v>
      </c>
    </row>
    <row r="87" spans="1:1">
      <c r="A87" s="1">
        <v>0.89583333333333304</v>
      </c>
    </row>
    <row r="88" spans="1:1">
      <c r="A88" s="1">
        <v>0.90625</v>
      </c>
    </row>
    <row r="89" spans="1:1">
      <c r="A89" s="1">
        <v>0.91666666666666696</v>
      </c>
    </row>
    <row r="90" spans="1:1">
      <c r="A90" s="1">
        <v>0.92708333333333304</v>
      </c>
    </row>
    <row r="91" spans="1:1">
      <c r="A91" s="1">
        <v>0.9375</v>
      </c>
    </row>
    <row r="92" spans="1:1">
      <c r="A92" s="1">
        <v>0.94791666666666696</v>
      </c>
    </row>
    <row r="93" spans="1:1">
      <c r="A93" s="1">
        <v>0.95833333333333304</v>
      </c>
    </row>
    <row r="94" spans="1:1">
      <c r="A94" s="1">
        <v>0.96875</v>
      </c>
    </row>
    <row r="95" spans="1:1">
      <c r="A95" s="1">
        <v>0.97916666666666696</v>
      </c>
    </row>
    <row r="96" spans="1:1">
      <c r="A96" s="1">
        <v>0.98958333333333304</v>
      </c>
    </row>
  </sheetData>
  <sheetProtection password="E3F9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Dashboard - Master</vt:lpstr>
      <vt:lpstr>Dashboard - Workshop</vt:lpstr>
      <vt:lpstr>Dashboard - Attendee</vt:lpstr>
      <vt:lpstr>Roster</vt:lpstr>
      <vt:lpstr>DataSheet</vt:lpstr>
      <vt:lpstr>Doctor</vt:lpstr>
      <vt:lpstr>Roster_EnquiryDate</vt:lpstr>
      <vt:lpstr>Roster_NoOfAttendees</vt:lpstr>
      <vt:lpstr>Roster_NoOfCD</vt:lpstr>
      <vt:lpstr>Roster_NoOfCertificate</vt:lpstr>
      <vt:lpstr>Roster_NoOfKits</vt:lpstr>
      <vt:lpstr>Roster_NoOfManuals</vt:lpstr>
      <vt:lpstr>Roster_NoOfStickers</vt:lpstr>
      <vt:lpstr>Roster_Status</vt:lpstr>
      <vt:lpstr>Roster_Trainer</vt:lpstr>
      <vt:lpstr>Roster_TypeOfOrganizer</vt:lpstr>
      <vt:lpstr>Roster_WorkshopDate</vt:lpstr>
      <vt:lpstr>Roster_WorkshopType</vt:lpstr>
      <vt:lpstr>Status</vt:lpstr>
      <vt:lpstr>Time</vt:lpstr>
      <vt:lpstr>Trainer</vt:lpstr>
      <vt:lpstr>TypeOfAttendees</vt:lpstr>
      <vt:lpstr>WorkshopType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Nanu, Shaneesh (.)</dc:creator>
  <cp:lastModifiedBy>ALERT</cp:lastModifiedBy>
  <cp:lastPrinted>2013-03-29T04:26:15Z</cp:lastPrinted>
  <dcterms:created xsi:type="dcterms:W3CDTF">2013-03-19T07:58:38Z</dcterms:created>
  <dcterms:modified xsi:type="dcterms:W3CDTF">2014-10-09T08:52:44Z</dcterms:modified>
</cp:coreProperties>
</file>