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__physicist__\_ae\Code Projects\"/>
    </mc:Choice>
  </mc:AlternateContent>
  <xr:revisionPtr revIDLastSave="0" documentId="13_ncr:1_{F45D0229-D10A-4AE3-B32B-4C460886F8AA}" xr6:coauthVersionLast="47" xr6:coauthVersionMax="47" xr10:uidLastSave="{00000000-0000-0000-0000-000000000000}"/>
  <bookViews>
    <workbookView xWindow="30570" yWindow="540" windowWidth="24345" windowHeight="16635" tabRatio="619" xr2:uid="{00000000-000D-0000-FFFF-FFFF00000000}"/>
  </bookViews>
  <sheets>
    <sheet name="Coord System" sheetId="4" r:id="rId1"/>
    <sheet name="Calcs" sheetId="1" r:id="rId2"/>
    <sheet name="Details" sheetId="2" r:id="rId3"/>
    <sheet name="Version History" sheetId="3" r:id="rId4"/>
  </sheets>
  <definedNames>
    <definedName name="Affine_RA_coll">#REF!</definedName>
    <definedName name="Affine_RA_couch">#REF!</definedName>
    <definedName name="Affine_RA_gantry">#REF!</definedName>
    <definedName name="Affine_RB_coll">#REF!</definedName>
    <definedName name="Affine_RB_couch">#REF!</definedName>
    <definedName name="Affine_RB_gantry">#REF!</definedName>
    <definedName name="Affine_RC_coll">#REF!</definedName>
    <definedName name="Affine_RC_couch">#REF!</definedName>
    <definedName name="Affine_RC_gantry">#REF!</definedName>
    <definedName name="angle_sign">'Coord System'!$AF$27:$AF$29</definedName>
    <definedName name="At">Details!$F$14</definedName>
    <definedName name="Bt">Details!$K$14</definedName>
    <definedName name="coord_axes">'Coord System'!$AC$13:$AC$18</definedName>
    <definedName name="Ct">Details!$P$14</definedName>
    <definedName name="m_A">#REF!</definedName>
    <definedName name="m_A_scale">#REF!</definedName>
    <definedName name="m_BEV">#REF!</definedName>
    <definedName name="m_C">#REF!</definedName>
    <definedName name="m_I">#REF!</definedName>
    <definedName name="m_iec">#REF!</definedName>
    <definedName name="m_orthog_proj_XY">#REF!</definedName>
    <definedName name="m_T">#REF!</definedName>
    <definedName name="m_target_coll">#REF!</definedName>
    <definedName name="m_target_couch">#REF!</definedName>
    <definedName name="m_target_gantry">#REF!</definedName>
    <definedName name="rot_sign_coll">'Coord System'!$AB$29</definedName>
    <definedName name="rot_sign_couch">'Coord System'!$AB$27</definedName>
    <definedName name="rot_sign_gantry">'Coord System'!$AB$28</definedName>
    <definedName name="sign_coll">Calcs!#REF!</definedName>
    <definedName name="sign_couch">Calcs!#REF!</definedName>
    <definedName name="sign_gantry">Calcs!#REF!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" i="2" l="1"/>
  <c r="N1" i="1" l="1"/>
  <c r="P17" i="2"/>
  <c r="K17" i="2"/>
  <c r="F17" i="2"/>
  <c r="AE14" i="4"/>
  <c r="AE15" i="4"/>
  <c r="AE13" i="4"/>
  <c r="AB28" i="4" l="1"/>
  <c r="K20" i="2" s="1"/>
  <c r="K23" i="2" s="1"/>
  <c r="AB29" i="4"/>
  <c r="P20" i="2" s="1"/>
  <c r="AB27" i="4"/>
  <c r="F20" i="2" s="1"/>
  <c r="F23" i="2" s="1"/>
  <c r="AB13" i="4"/>
  <c r="AB14" i="4"/>
  <c r="AB15" i="4"/>
  <c r="AA29" i="4" a="1"/>
  <c r="AA29" i="4" s="1"/>
  <c r="AA28" i="4" a="1"/>
  <c r="AA28" i="4" s="1"/>
  <c r="AA27" i="4" a="1"/>
  <c r="AA27" i="4" s="1"/>
  <c r="P23" i="2" l="1"/>
  <c r="AD16" i="1"/>
  <c r="AC14" i="1"/>
  <c r="AH15" i="1" s="1"/>
  <c r="AC17" i="1"/>
  <c r="AB15" i="1"/>
  <c r="AD17" i="1"/>
  <c r="AC15" i="1"/>
  <c r="AB18" i="1"/>
  <c r="AG16" i="1" s="1"/>
  <c r="AC16" i="1"/>
  <c r="AD15" i="1"/>
  <c r="AC18" i="1"/>
  <c r="AH16" i="1" s="1"/>
  <c r="AB14" i="1"/>
  <c r="AG15" i="1" s="1"/>
  <c r="AB16" i="1"/>
  <c r="AD18" i="1"/>
  <c r="AI16" i="1" s="1"/>
  <c r="AD14" i="1"/>
  <c r="AI15" i="1" s="1"/>
  <c r="AB17" i="1"/>
  <c r="AC15" i="4"/>
  <c r="AC14" i="4"/>
  <c r="AC13" i="4"/>
  <c r="F40" i="1"/>
  <c r="AH17" i="1" l="1"/>
  <c r="K14" i="2" s="1"/>
  <c r="O29" i="2" s="1"/>
  <c r="AG17" i="1"/>
  <c r="F14" i="2" s="1"/>
  <c r="AI17" i="1"/>
  <c r="P14" i="2" s="1"/>
  <c r="AD13" i="4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O30" i="2" l="1"/>
  <c r="O35" i="2" s="1"/>
  <c r="O28" i="2"/>
  <c r="J18" i="1"/>
  <c r="P11" i="2" s="1"/>
  <c r="I18" i="1"/>
  <c r="K11" i="2" s="1"/>
  <c r="H18" i="1"/>
  <c r="F11" i="2" s="1"/>
  <c r="O34" i="2" l="1"/>
  <c r="O39" i="2" s="1"/>
  <c r="O33" i="2"/>
  <c r="K18" i="1"/>
  <c r="O38" i="2" l="1"/>
  <c r="O42" i="2" s="1"/>
  <c r="O40" i="2"/>
  <c r="O43" i="2" s="1"/>
  <c r="G33" i="1" s="1"/>
  <c r="J40" i="1" s="1" a="1"/>
  <c r="J40" i="1" s="1"/>
  <c r="I40" i="1" l="1" a="1"/>
  <c r="I40" i="1" s="1"/>
  <c r="E49" i="1" s="1"/>
  <c r="X50" i="2"/>
  <c r="D33" i="1"/>
  <c r="T50" i="2"/>
  <c r="L50" i="1" l="1"/>
  <c r="J50" i="1"/>
  <c r="E43" i="1"/>
  <c r="L44" i="1" s="1"/>
  <c r="X48" i="2"/>
  <c r="X52" i="2" s="1"/>
  <c r="X54" i="2" s="1"/>
  <c r="J44" i="1" l="1"/>
  <c r="T48" i="2"/>
  <c r="T52" i="2" s="1"/>
  <c r="X56" i="2"/>
  <c r="X58" i="2" s="1"/>
  <c r="J51" i="1"/>
  <c r="P51" i="1" s="1"/>
  <c r="T54" i="2" l="1"/>
  <c r="J45" i="1" s="1"/>
  <c r="P45" i="1" s="1"/>
  <c r="J49" i="1"/>
  <c r="P49" i="1" s="1"/>
  <c r="T56" i="2" l="1"/>
  <c r="T58" i="2" l="1"/>
  <c r="J43" i="1" s="1"/>
  <c r="P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<sst xmlns="http://schemas.openxmlformats.org/spreadsheetml/2006/main" count="205" uniqueCount="158">
  <si>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</si>
  <si>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</si>
  <si>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</si>
  <si>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</si>
  <si>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</si>
  <si>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</si>
  <si>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</si>
  <si>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</si>
  <si>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</si>
  <si>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Step 1.b  Choose which target is at iso, and which to use for OAWL target.</t>
  </si>
  <si>
    <t>Couch Angle</t>
  </si>
  <si>
    <t>Gantry Angle</t>
  </si>
  <si>
    <t>Collimator Angle</t>
  </si>
  <si>
    <t>cm</t>
  </si>
  <si>
    <r>
      <t>X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</si>
  <si>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Y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</si>
  <si>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Z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</si>
  <si>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</si>
  <si>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</si>
  <si>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</si>
  <si>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</si>
  <si>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</si>
  <si>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</si>
  <si>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</si>
  <si>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</si>
  <si>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</si>
  <si>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 xml:space="preserve"> </t>
  </si>
  <si>
    <t>eq. 13)</t>
  </si>
  <si>
    <t>eq. 12)</t>
  </si>
  <si>
    <t>eq. 14)</t>
  </si>
  <si>
    <t>eq. 15)</t>
  </si>
  <si>
    <t>H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</si>
  <si>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</si>
  <si>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</si>
  <si>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</si>
  <si>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</si>
  <si>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</si>
  <si>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</si>
  <si>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</si>
  <si>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</si>
  <si>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Increasing couch values represent a…</t>
  </si>
  <si>
    <t>Gantry Angle:</t>
  </si>
  <si>
    <t>Couch Angle:</t>
  </si>
  <si>
    <t>Collimator Angle:</t>
  </si>
  <si>
    <t>&lt;select&gt;</t>
  </si>
  <si>
    <t>Positive</t>
  </si>
  <si>
    <t>Negative</t>
  </si>
  <si>
    <t>rotation.</t>
  </si>
  <si>
    <t>Increasing coll. values represent a…</t>
  </si>
  <si>
    <t>( Coord. System = TPS )</t>
  </si>
  <si>
    <t>( Coord. System = BEV )</t>
  </si>
  <si>
    <t>Specify whether angular rotations are positive or negative for your Treatment Planning System.</t>
  </si>
  <si>
    <t>Increasing gantry values represent a…</t>
  </si>
  <si>
    <t>Step 1.a  Enter absolute coords of targets</t>
  </si>
  <si>
    <r>
      <t>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 </t>
    </r>
  </si>
  <si>
    <r>
      <t>For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</si>
  <si>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</si>
  <si>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 =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= 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</si>
  <si>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</si>
  <si>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</si>
  <si>
    <t>Version History</t>
  </si>
  <si>
    <t>Version</t>
  </si>
  <si>
    <t>Change Notes</t>
  </si>
  <si>
    <t xml:space="preserve">Initial version.  </t>
  </si>
  <si>
    <t>Added initial section for specifying the sign of rotations.</t>
  </si>
  <si>
    <t>1.0</t>
  </si>
  <si>
    <t>Added this Version History.</t>
  </si>
  <si>
    <r>
      <t xml:space="preserve">Leaf Thickness </t>
    </r>
    <r>
      <rPr>
        <sz val="9"/>
        <color theme="1"/>
        <rFont val="Calibri"/>
        <family val="2"/>
        <scheme val="minor"/>
      </rPr>
      <t>(cm)</t>
    </r>
  </si>
  <si>
    <t>1.3</t>
  </si>
  <si>
    <t>Reordered eq 12 and 13.  Added "sign" to eq. 13 description.</t>
  </si>
  <si>
    <t>Step 2.  Specify sign of rotations.</t>
  </si>
  <si>
    <t>Step 1.  Specify coordinate system axes.</t>
  </si>
  <si>
    <t>A Axis:</t>
  </si>
  <si>
    <t>B Axis:</t>
  </si>
  <si>
    <t>C Axis</t>
  </si>
  <si>
    <t>+X</t>
  </si>
  <si>
    <t>-X</t>
  </si>
  <si>
    <t>+Y</t>
  </si>
  <si>
    <t>-Y</t>
  </si>
  <si>
    <t>+Z</t>
  </si>
  <si>
    <t>-Z</t>
  </si>
  <si>
    <t>Duplicate axes selected.  Please ensure that each axis is only selected once.</t>
  </si>
  <si>
    <t>Specify the axes for your TPS coordinate system.  Use the provided diagram, and identify which TPS axis corresponds to A, B, and C.</t>
  </si>
  <si>
    <t>x</t>
  </si>
  <si>
    <t>y</t>
  </si>
  <si>
    <t>z</t>
  </si>
  <si>
    <t>A</t>
  </si>
  <si>
    <t>B</t>
  </si>
  <si>
    <t>C</t>
  </si>
  <si>
    <t>Iso</t>
  </si>
  <si>
    <t>Diff</t>
  </si>
  <si>
    <t>Convert axes to A, B, and C</t>
  </si>
  <si>
    <r>
      <t>A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</si>
  <si>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</si>
  <si>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 </t>
    </r>
  </si>
  <si>
    <t>Apply sign change for rotation directions</t>
  </si>
  <si>
    <r>
      <t>A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</si>
  <si>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</si>
  <si>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</si>
  <si>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A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</si>
  <si>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</si>
  <si>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</si>
  <si>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A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</si>
  <si>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</si>
  <si>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</si>
  <si>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t>Apply sign change to account for object not moving with rotation</t>
  </si>
  <si>
    <r>
      <t>C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</si>
  <si>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Step 3.  Enter target coordinates (up to 5 targets).</t>
  </si>
  <si>
    <t>Step 4.  Enter desired Couch, Gantry, and initial Collimator angles</t>
  </si>
  <si>
    <t>Step 5.  Calculate coordinate transformations, to obtain the exact position of target in beam's eye view.</t>
  </si>
  <si>
    <t>Step 6.  Determine closest leaf-interfaces, and calculate needed collimator angle correction to align each leaf-interace with target.</t>
  </si>
  <si>
    <t>Note that the Collimator angle will ultimately be slightly different than desired, as we use small collimator angle adjustments to align MLC leaf-interfaces.</t>
  </si>
  <si>
    <t>See "Details" tab for step by step coordinate transformations.</t>
  </si>
  <si>
    <t>Go to "Calcs" tab…</t>
  </si>
  <si>
    <t>Methodology described here:</t>
  </si>
  <si>
    <r>
      <t>Y</t>
    </r>
    <r>
      <rPr>
        <b/>
        <vertAlign val="subscript"/>
        <sz val="11"/>
        <color rgb="FFC00000"/>
        <rFont val="Calibri"/>
        <family val="2"/>
        <scheme val="minor"/>
      </rPr>
      <t>int</t>
    </r>
    <r>
      <rPr>
        <b/>
        <sz val="11"/>
        <color rgb="FFC00000"/>
        <rFont val="Calibri"/>
        <family val="2"/>
        <scheme val="minor"/>
      </rPr>
      <t xml:space="preserve"> is the Y coordinate to the interface between the two MLC leaves.</t>
    </r>
  </si>
  <si>
    <t>1.4</t>
  </si>
  <si>
    <t>Coordinate Transformations</t>
  </si>
  <si>
    <t>New Collimator angle</t>
  </si>
  <si>
    <t>Coordinate System Setup</t>
  </si>
  <si>
    <r>
      <t>Let X</t>
    </r>
    <r>
      <rPr>
        <b/>
        <vertAlign val="subscript"/>
        <sz val="12"/>
        <color theme="5" tint="-0.499984740745262"/>
        <rFont val="Calibri"/>
        <family val="2"/>
        <scheme val="minor"/>
      </rPr>
      <t>phan</t>
    </r>
    <r>
      <rPr>
        <b/>
        <sz val="12"/>
        <color theme="5" tint="-0.499984740745262"/>
        <rFont val="Calibri"/>
        <family val="2"/>
        <scheme val="minor"/>
      </rPr>
      <t xml:space="preserve"> , Y</t>
    </r>
    <r>
      <rPr>
        <b/>
        <vertAlign val="subscript"/>
        <sz val="12"/>
        <color theme="5" tint="-0.499984740745262"/>
        <rFont val="Calibri"/>
        <family val="2"/>
        <scheme val="minor"/>
      </rPr>
      <t>phan</t>
    </r>
    <r>
      <rPr>
        <b/>
        <sz val="12"/>
        <color theme="5" tint="-0.499984740745262"/>
        <rFont val="Calibri"/>
        <family val="2"/>
        <scheme val="minor"/>
      </rPr>
      <t xml:space="preserve"> , and Z</t>
    </r>
    <r>
      <rPr>
        <b/>
        <vertAlign val="subscript"/>
        <sz val="12"/>
        <color theme="5" tint="-0.499984740745262"/>
        <rFont val="Calibri"/>
        <family val="2"/>
        <scheme val="minor"/>
      </rPr>
      <t>phan</t>
    </r>
    <r>
      <rPr>
        <b/>
        <sz val="12"/>
        <color theme="5" tint="-0.499984740745262"/>
        <rFont val="Calibri"/>
        <family val="2"/>
        <scheme val="minor"/>
      </rPr>
      <t xml:space="preserve"> be the starting coordinates of off-axis target in phantom.</t>
    </r>
  </si>
  <si>
    <r>
      <t xml:space="preserve">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t</t>
    </r>
    <r>
      <rPr>
        <b/>
        <sz val="12"/>
        <color theme="5" tint="-0.499984740745262"/>
        <rFont val="Calibri"/>
        <family val="2"/>
        <scheme val="minor"/>
      </rPr>
      <t xml:space="preserve"> ,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g</t>
    </r>
    <r>
      <rPr>
        <b/>
        <sz val="12"/>
        <color theme="5" tint="-0.499984740745262"/>
        <rFont val="Calibri"/>
        <family val="2"/>
        <scheme val="minor"/>
      </rPr>
      <t xml:space="preserve">  , 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c</t>
    </r>
    <r>
      <rPr>
        <b/>
        <sz val="12"/>
        <color theme="5" tint="-0.499984740745262"/>
        <rFont val="Calibri"/>
        <family val="2"/>
        <scheme val="minor"/>
      </rPr>
      <t xml:space="preserve">  be the table, gantry, and initial collimator angle, respectively.</t>
    </r>
  </si>
  <si>
    <t>Trigonometry Version</t>
  </si>
  <si>
    <t>Improved Off-Axis Winston-Lutz Calculator</t>
  </si>
  <si>
    <t>Renamed "Improved Off-Axis Winston Lutz Calculator".
Added ability to specify the coordinate system used.  Also, created a new version of this spreadsheet that uses matricies instead of Trig. Functions.</t>
  </si>
  <si>
    <r>
      <t>Eagle, A, Tallhamer, M, Keener, J, Geneser, S. </t>
    </r>
    <r>
      <rPr>
        <b/>
        <i/>
        <u/>
        <sz val="11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1"/>
        <color theme="10"/>
        <rFont val="Calibri"/>
        <family val="2"/>
        <scheme val="minor"/>
      </rPr>
      <t>. J Appl Clin Med Phys. 2022;e13816.
https://doi.org/10.1002/acm2.13816</t>
    </r>
  </si>
  <si>
    <r>
      <t>Eagle, A, Tallhamer, M, Keener, J, Geneser, S. </t>
    </r>
    <r>
      <rPr>
        <b/>
        <i/>
        <u/>
        <sz val="10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0"/>
        <color theme="10"/>
        <rFont val="Calibri"/>
        <family val="2"/>
        <scheme val="minor"/>
      </rPr>
      <t>. J Appl Clin Med Phys. 2022;e13816.
https://doi.org/10.1002/acm2.13816</t>
    </r>
  </si>
  <si>
    <t>Note that rotations are positive when clockwise while viewing the axis from negative to positve (i.e. pointing away from you).  For this determination, use the A, B, and C axes as shown above.</t>
  </si>
  <si>
    <t>This can be determined empirically by using the right-hand rule (RHR).</t>
  </si>
  <si>
    <t>Coordinate Transformation from Gantry angle.  (Rotation around C axis)</t>
  </si>
  <si>
    <r>
      <t>C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>t</t>
    </r>
  </si>
  <si>
    <t>1.5</t>
  </si>
  <si>
    <t>Renamed B axis to C, and C axis to B.</t>
  </si>
  <si>
    <t>Coordinate Transformation from Table angle.  (Rotation around B axis)</t>
  </si>
  <si>
    <t>Coordinate Transformation from Collimator angle.  (Rotation around B axis)</t>
  </si>
  <si>
    <r>
      <t>C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 + C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</si>
  <si>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 - C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</si>
  <si>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B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B</t>
    </r>
    <r>
      <rPr>
        <vertAlign val="subscript"/>
        <sz val="11"/>
        <color theme="1"/>
        <rFont val="Calibri"/>
        <family val="2"/>
        <scheme val="minor"/>
      </rPr>
      <t>phan</t>
    </r>
  </si>
  <si>
    <r>
      <t>C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 + C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</si>
  <si>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 - C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</si>
  <si>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B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B</t>
    </r>
    <r>
      <rPr>
        <vertAlign val="subscript"/>
        <sz val="11"/>
        <color theme="1"/>
        <rFont val="Calibri"/>
        <family val="2"/>
        <scheme val="minor"/>
      </rPr>
      <t>g</t>
    </r>
  </si>
  <si>
    <r>
      <t>A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* 100 / (100 + B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</si>
  <si>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C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* 100 / (100 + B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</si>
  <si>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</si>
  <si>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1.6</t>
  </si>
  <si>
    <t>Reoriented axes to conform to DICOM orientation, where DICOM X is A, DICOM Y is B, and DICOM Z is C.</t>
  </si>
  <si>
    <t>OAWL Calculator created by Anton Eagle, MS. DABR., Advent Health.  2022.</t>
  </si>
  <si>
    <r>
      <t>A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 - B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</t>
    </r>
  </si>
  <si>
    <r>
      <t>B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  A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 + B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</t>
    </r>
  </si>
  <si>
    <t>1.7</t>
  </si>
  <si>
    <t>Fixed a couple of bugs introduced at v1.6</t>
  </si>
  <si>
    <t>Version 1.8</t>
  </si>
  <si>
    <t>1.8</t>
  </si>
  <si>
    <t>Added Risidual Error calculations.</t>
  </si>
  <si>
    <t>Allowed Digits</t>
  </si>
  <si>
    <t>* Residual Error shows the error remaining from limitations imposed by the number of digits available in the TPS.  In Eclipse, this limitation is 1 digit for angular values, and 3 digits for MLC Positions.  Practically, one should tweak beam angles to minimize the Collimator Angle Residual Error, as the MLC precision is inherently much better.</t>
  </si>
  <si>
    <t>HDMLC</t>
  </si>
  <si>
    <r>
      <t>Residual Error</t>
    </r>
    <r>
      <rPr>
        <sz val="12"/>
        <color theme="1"/>
        <rFont val="Calibri"/>
        <family val="2"/>
        <scheme val="minor"/>
      </rPr>
      <t xml:space="preserve"> (cm) </t>
    </r>
    <r>
      <rPr>
        <sz val="12"/>
        <color rgb="FFC0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</si>
</sst>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vertAlign val="subscript"/>
      <sz val="11"/>
      <color rgb="FFC00000"/>
      <name val="Calibri"/>
      <family val="2"/>
      <scheme val="minor"/>
    </font>
    <font>
      <b/>
      <sz val="13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vertAlign val="subscript"/>
      <sz val="12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b/>
      <sz val="12"/>
      <color theme="5" tint="-0.499984740745262"/>
      <name val="Symbol"/>
      <family val="1"/>
      <charset val="2"/>
    </font>
    <font>
      <i/>
      <u/>
      <sz val="10"/>
      <color theme="10"/>
      <name val="Calibri"/>
      <family val="2"/>
      <scheme val="minor"/>
    </font>
    <font>
      <b/>
      <i/>
      <u/>
      <sz val="10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138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9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3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3" fillId="0" borderId="0" xfId="0" applyFont="1" applyAlignment="1">
      <alignment horizontal="center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 indent="1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vertical="center"/>
    </xf>
    <xf numFmtId="0" fontId="17" fillId="2" borderId="16" xfId="0" applyFont="1" applyFill="1" applyBorder="1" applyAlignment="1">
      <alignment horizontal="left" vertical="center"/>
    </xf>
    <xf numFmtId="0" fontId="0" fillId="0" borderId="7" xfId="0" applyBorder="1" applyAlignment="1">
      <alignment horizontal="right"/>
    </xf>
    <xf numFmtId="2" fontId="0" fillId="0" borderId="7" xfId="0" applyNumberFormat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9" fillId="2" borderId="2" xfId="0" applyFont="1" applyFill="1" applyBorder="1" applyAlignment="1">
      <alignment vertical="center"/>
    </xf>
    <xf numFmtId="0" fontId="19" fillId="2" borderId="3" xfId="0" applyFont="1" applyFill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9" fillId="2" borderId="1" xfId="0" applyFont="1" applyFill="1" applyBorder="1" applyAlignment="1">
      <alignment horizontal="left" vertical="center" indent="1"/>
    </xf>
    <xf numFmtId="0" fontId="20" fillId="0" borderId="0" xfId="0" applyFont="1"/>
    <xf numFmtId="0" fontId="21" fillId="0" borderId="0" xfId="0" applyFont="1"/>
    <xf numFmtId="0" fontId="22" fillId="0" borderId="4" xfId="0" applyFont="1" applyBorder="1" applyAlignment="1">
      <alignment horizontal="left" indent="1"/>
    </xf>
    <xf numFmtId="0" fontId="22" fillId="0" borderId="6" xfId="0" applyFont="1" applyBorder="1" applyAlignment="1">
      <alignment horizontal="left" indent="1"/>
    </xf>
    <xf numFmtId="49" fontId="22" fillId="0" borderId="10" xfId="0" applyNumberFormat="1" applyFont="1" applyBorder="1" applyAlignment="1">
      <alignment horizontal="center"/>
    </xf>
    <xf numFmtId="49" fontId="22" fillId="0" borderId="11" xfId="0" applyNumberFormat="1" applyFont="1" applyBorder="1" applyAlignment="1">
      <alignment horizontal="center"/>
    </xf>
    <xf numFmtId="0" fontId="19" fillId="2" borderId="9" xfId="0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right" vertical="center"/>
    </xf>
    <xf numFmtId="2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4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1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18" fillId="0" borderId="0" xfId="0" applyFont="1" applyAlignment="1">
      <alignment horizontal="right" vertical="top"/>
    </xf>
    <xf numFmtId="0" fontId="0" fillId="0" borderId="17" xfId="0" applyBorder="1"/>
    <xf numFmtId="0" fontId="29" fillId="0" borderId="0" xfId="0" applyFont="1"/>
    <xf numFmtId="0" fontId="30" fillId="0" borderId="0" xfId="0" applyFont="1" applyAlignment="1">
      <alignment vertical="center"/>
    </xf>
    <xf numFmtId="0" fontId="32" fillId="0" borderId="0" xfId="0" applyFont="1"/>
    <xf numFmtId="0" fontId="33" fillId="0" borderId="0" xfId="0" applyFont="1"/>
    <xf numFmtId="0" fontId="30" fillId="0" borderId="0" xfId="0" applyFont="1" applyAlignment="1">
      <alignment vertical="top"/>
    </xf>
    <xf numFmtId="0" fontId="33" fillId="0" borderId="0" xfId="0" applyFont="1" applyAlignment="1">
      <alignment vertical="center"/>
    </xf>
    <xf numFmtId="49" fontId="22" fillId="0" borderId="10" xfId="0" applyNumberFormat="1" applyFont="1" applyBorder="1" applyAlignment="1">
      <alignment horizontal="center" vertical="center"/>
    </xf>
    <xf numFmtId="0" fontId="22" fillId="0" borderId="0" xfId="0" applyFont="1" applyAlignment="1">
      <alignment vertical="top" wrapText="1"/>
    </xf>
    <xf numFmtId="0" fontId="22" fillId="0" borderId="5" xfId="0" applyFont="1" applyBorder="1" applyAlignment="1">
      <alignment vertical="top" wrapText="1"/>
    </xf>
    <xf numFmtId="0" fontId="22" fillId="0" borderId="4" xfId="0" applyFont="1" applyBorder="1" applyAlignment="1">
      <alignment horizontal="left" vertical="top" indent="1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6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2" fontId="2" fillId="4" borderId="14" xfId="0" applyNumberFormat="1" applyFont="1" applyFill="1" applyBorder="1" applyAlignment="1">
      <alignment horizontal="center" vertical="center"/>
    </xf>
    <xf numFmtId="2" fontId="2" fillId="4" borderId="16" xfId="0" applyNumberFormat="1" applyFont="1" applyFill="1" applyBorder="1" applyAlignment="1">
      <alignment horizontal="center" vertical="center"/>
    </xf>
    <xf numFmtId="2" fontId="2" fillId="4" borderId="13" xfId="0" applyNumberFormat="1" applyFont="1" applyFill="1" applyBorder="1" applyAlignment="1">
      <alignment horizontal="center" vertical="center"/>
    </xf>
    <xf numFmtId="0" fontId="24" fillId="0" borderId="15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5" fillId="0" borderId="0" xfId="1" applyFont="1" applyBorder="1" applyAlignment="1">
      <alignment horizontal="left" vertical="top" wrapText="1"/>
    </xf>
    <xf numFmtId="0" fontId="35" fillId="0" borderId="17" xfId="1" applyFont="1" applyBorder="1" applyAlignment="1">
      <alignment horizontal="left" vertical="top" wrapText="1"/>
    </xf>
    <xf numFmtId="164" fontId="6" fillId="0" borderId="0" xfId="0" applyNumberFormat="1" applyFont="1" applyAlignment="1">
      <alignment horizontal="left"/>
    </xf>
    <xf numFmtId="0" fontId="22" fillId="0" borderId="4" xfId="0" applyFont="1" applyBorder="1" applyAlignment="1">
      <alignment horizontal="left" vertical="top" wrapText="1" indent="1"/>
    </xf>
    <xf numFmtId="0" fontId="22" fillId="0" borderId="0" xfId="0" applyFont="1" applyAlignment="1">
      <alignment horizontal="left" vertical="top" wrapText="1" indent="1"/>
    </xf>
    <xf numFmtId="0" fontId="22" fillId="0" borderId="5" xfId="0" applyFont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2">
    <dxf>
      <font>
        <b/>
        <i val="0"/>
        <color rgb="FFC00000"/>
      </font>
    </dxf>
    <dxf>
      <font>
        <color theme="0"/>
      </font>
    </dxf>
  </dxfs>
  <tableStyles count="0" defaultTableStyle="TableStyleMedium2" defaultPivotStyle="PivotStyleLight16"/>
  <colors>
    <mruColors>
      <color rgb="FF4A722E"/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609600</xdr:colOff>
      <xdr:row>7</xdr:row>
      <xdr:rowOff>104775</xdr:rowOff>
    </xdr:from>
    <xdr:to>
      <xdr:col>14</xdr:col>
      <xdr:colOff>4475</xdr:colOff>
      <xdr:row>19</xdr:row>
      <xdr:rowOff>75899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C2D57D-E9D5-4F85-8AAD-0C991769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590675"/>
          <a:ext cx="2300000" cy="240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51</xdr:row>
      <xdr:rowOff>19050</xdr:rowOff>
    </xdr:from>
    <xdr:to>
      <xdr:col>7</xdr:col>
      <xdr:colOff>85725</xdr:colOff>
      <xdr:row>52</xdr:row>
      <xdr:rowOff>161925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3C66783-8423-4665-BD12-596B2ED2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9020175"/>
          <a:ext cx="10191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209550</xdr:rowOff>
    </xdr:from>
    <xdr:to>
      <xdr:col>14</xdr:col>
      <xdr:colOff>428625</xdr:colOff>
      <xdr:row>57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1A0575A-AB01-4A5A-B578-C1E6DEA0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96475"/>
          <a:ext cx="44577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57</xdr:row>
      <xdr:rowOff>28575</xdr:rowOff>
    </xdr:from>
    <xdr:to>
      <xdr:col>8</xdr:col>
      <xdr:colOff>104775</xdr:colOff>
      <xdr:row>58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0084CB1-8C72-4DED-A774-24E781B80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10401300"/>
          <a:ext cx="14382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123825</xdr:rowOff>
    </xdr:from>
    <xdr:to>
      <xdr:col>11</xdr:col>
      <xdr:colOff>123825</xdr:colOff>
      <xdr:row>54</xdr:row>
      <xdr:rowOff>219075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AF699A-F620-45AD-A0B9-2D6F8A42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353550"/>
          <a:ext cx="28098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02/acm2.1381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02/acm2.1381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i.org/10.1002/acm2.138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2"/>
  <sheetViews>
    <sheetView showGridLines="0" tabSelected="1" zoomScaleNormal="100" workbookViewId="0"/>
  </sheetViews>
  <sheetFormatPr defaultRowHeight="15" x14ac:dyDescent="0.25"/>
  <cols>
    <col min="1" max="2" width="4.7109375" customWidth="1"/>
    <col min="3" max="13" width="9.7109375" customWidth="1"/>
    <col min="14" max="14" width="4.7109375" customWidth="1"/>
    <col min="16" max="38" width="9.140625" style="50"/>
  </cols>
  <sheetData>
    <row r="1" spans="1:69" ht="23.25" x14ac:dyDescent="0.35">
      <c r="A1" s="17" t="s">
        <v>123</v>
      </c>
      <c r="N1" s="102" t="s">
        <v>151</v>
      </c>
      <c r="O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</row>
    <row r="2" spans="1:69" ht="18.75" x14ac:dyDescent="0.3">
      <c r="A2" s="16" t="s">
        <v>122</v>
      </c>
      <c r="N2" s="102"/>
      <c r="O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</row>
    <row r="3" spans="1:69" ht="15" customHeight="1" x14ac:dyDescent="0.3">
      <c r="A3" s="16"/>
      <c r="O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</row>
    <row r="4" spans="1:69" ht="15" customHeight="1" x14ac:dyDescent="0.3">
      <c r="A4" s="16"/>
      <c r="B4" t="s">
        <v>114</v>
      </c>
      <c r="F4" s="120" t="s">
        <v>125</v>
      </c>
      <c r="G4" s="120"/>
      <c r="H4" s="120"/>
      <c r="I4" s="120"/>
      <c r="J4" s="120"/>
      <c r="K4" s="120"/>
      <c r="L4" s="120"/>
      <c r="M4" s="120"/>
      <c r="N4" s="120"/>
      <c r="O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</row>
    <row r="5" spans="1:69" ht="15" customHeight="1" x14ac:dyDescent="0.3">
      <c r="A5" s="16"/>
      <c r="F5" s="120"/>
      <c r="G5" s="120"/>
      <c r="H5" s="120"/>
      <c r="I5" s="120"/>
      <c r="J5" s="120"/>
      <c r="K5" s="120"/>
      <c r="L5" s="120"/>
      <c r="M5" s="120"/>
      <c r="N5" s="120"/>
      <c r="O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</row>
    <row r="6" spans="1:69" ht="15" customHeight="1" x14ac:dyDescent="0.3">
      <c r="A6" s="16"/>
      <c r="F6" s="120"/>
      <c r="G6" s="120"/>
      <c r="H6" s="120"/>
      <c r="I6" s="120"/>
      <c r="J6" s="120"/>
      <c r="K6" s="120"/>
      <c r="L6" s="120"/>
      <c r="M6" s="120"/>
      <c r="N6" s="120"/>
      <c r="O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</row>
    <row r="7" spans="1:69" ht="15" customHeight="1" thickBot="1" x14ac:dyDescent="0.3">
      <c r="O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</row>
    <row r="8" spans="1:69" x14ac:dyDescent="0.25">
      <c r="B8" s="39" t="s">
        <v>71</v>
      </c>
      <c r="C8" s="39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50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</row>
    <row r="9" spans="1:69" ht="6" customHeight="1" x14ac:dyDescent="0.25">
      <c r="O9" s="50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</row>
    <row r="10" spans="1:69" x14ac:dyDescent="0.25">
      <c r="C10" s="117" t="s">
        <v>82</v>
      </c>
      <c r="D10" s="117"/>
      <c r="E10" s="117"/>
      <c r="F10" s="117"/>
      <c r="G10" s="117"/>
      <c r="H10" s="117"/>
      <c r="I10" s="117"/>
      <c r="J10" s="117"/>
      <c r="O10" s="50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</row>
    <row r="11" spans="1:69" x14ac:dyDescent="0.25">
      <c r="C11" s="117"/>
      <c r="D11" s="117"/>
      <c r="E11" s="117"/>
      <c r="F11" s="117"/>
      <c r="G11" s="117"/>
      <c r="H11" s="117"/>
      <c r="I11" s="117"/>
      <c r="J11" s="117"/>
      <c r="O11" s="50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</row>
    <row r="12" spans="1:69" x14ac:dyDescent="0.25">
      <c r="O12" s="50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</row>
    <row r="13" spans="1:69" s="20" customFormat="1" ht="18" customHeight="1" x14ac:dyDescent="0.25">
      <c r="C13" s="52" t="s">
        <v>72</v>
      </c>
      <c r="D13" s="54" t="s">
        <v>75</v>
      </c>
      <c r="P13" s="92"/>
      <c r="V13" s="93"/>
      <c r="W13" s="93"/>
      <c r="X13" s="93"/>
      <c r="Y13" s="93"/>
      <c r="Z13" s="93"/>
      <c r="AA13" s="96" t="s">
        <v>75</v>
      </c>
      <c r="AB13" s="94" t="str">
        <f>RIGHT(D13,1)</f>
        <v>X</v>
      </c>
      <c r="AC13" s="92" t="b">
        <f>AND(AB13&lt;&gt;AB14,AB13&lt;&gt;AB15)</f>
        <v>1</v>
      </c>
      <c r="AD13" s="93" t="b">
        <f>AND(AC13=TRUE, AC14=TRUE, AC15=TRUE)</f>
        <v>1</v>
      </c>
      <c r="AE13" s="92">
        <f>VALUE(LEFT(D13,1)&amp;"1")</f>
        <v>1</v>
      </c>
      <c r="AF13" s="92"/>
      <c r="AG13" s="92"/>
      <c r="AH13" s="92"/>
      <c r="AI13" s="92"/>
      <c r="AJ13" s="92"/>
      <c r="AK13" s="92"/>
      <c r="AL13" s="92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</row>
    <row r="14" spans="1:69" s="20" customFormat="1" ht="18" customHeight="1" x14ac:dyDescent="0.25">
      <c r="C14" s="52" t="s">
        <v>73</v>
      </c>
      <c r="D14" s="55" t="s">
        <v>77</v>
      </c>
      <c r="P14" s="92"/>
      <c r="V14" s="93"/>
      <c r="W14" s="93"/>
      <c r="X14" s="93"/>
      <c r="Y14" s="93"/>
      <c r="Z14" s="93"/>
      <c r="AA14" s="96" t="s">
        <v>76</v>
      </c>
      <c r="AB14" s="94" t="str">
        <f>RIGHT(D14,1)</f>
        <v>Y</v>
      </c>
      <c r="AC14" s="92" t="b">
        <f>AND(AB14&lt;&gt;AB13,AB14&lt;&gt;AB15)</f>
        <v>1</v>
      </c>
      <c r="AD14" s="93"/>
      <c r="AE14" s="92">
        <f>VALUE(LEFT(D14,1)&amp;"1")</f>
        <v>1</v>
      </c>
      <c r="AF14" s="92"/>
      <c r="AG14" s="92"/>
      <c r="AH14" s="92"/>
      <c r="AI14" s="92"/>
      <c r="AJ14" s="92"/>
      <c r="AK14" s="92"/>
      <c r="AL14" s="92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</row>
    <row r="15" spans="1:69" s="20" customFormat="1" ht="18" customHeight="1" x14ac:dyDescent="0.25">
      <c r="C15" s="52" t="s">
        <v>74</v>
      </c>
      <c r="D15" s="55" t="s">
        <v>79</v>
      </c>
      <c r="F15" s="97"/>
      <c r="G15" s="97"/>
      <c r="H15" s="97"/>
      <c r="I15" s="97"/>
      <c r="J15" s="97"/>
      <c r="P15" s="92"/>
      <c r="V15" s="93"/>
      <c r="W15" s="93"/>
      <c r="X15" s="93"/>
      <c r="Y15" s="93"/>
      <c r="Z15" s="92"/>
      <c r="AA15" s="96" t="s">
        <v>77</v>
      </c>
      <c r="AB15" s="94" t="str">
        <f>RIGHT(D15,1)</f>
        <v>Z</v>
      </c>
      <c r="AC15" s="92" t="b">
        <f>AND(AB15&lt;&gt;AB13,AB15&lt;&gt;AB14)</f>
        <v>1</v>
      </c>
      <c r="AD15" s="93"/>
      <c r="AE15" s="92">
        <f>VALUE(LEFT(D15,1)&amp;"1")</f>
        <v>1</v>
      </c>
      <c r="AF15" s="92"/>
      <c r="AG15" s="92"/>
      <c r="AH15" s="92"/>
      <c r="AI15" s="92"/>
      <c r="AJ15" s="92"/>
      <c r="AK15" s="92"/>
      <c r="AL15" s="92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</row>
    <row r="16" spans="1:69" s="20" customFormat="1" ht="18" customHeight="1" x14ac:dyDescent="0.25">
      <c r="E16" s="95"/>
      <c r="F16" s="95"/>
      <c r="G16" s="95"/>
      <c r="O16" s="92"/>
      <c r="P16" s="92"/>
      <c r="V16" s="93"/>
      <c r="W16" s="93"/>
      <c r="X16" s="93"/>
      <c r="Y16" s="93"/>
      <c r="Z16" s="92"/>
      <c r="AA16" s="96" t="s">
        <v>78</v>
      </c>
      <c r="AB16" s="92"/>
      <c r="AC16" s="96"/>
      <c r="AD16" s="93"/>
      <c r="AE16" s="93"/>
      <c r="AF16" s="92"/>
      <c r="AG16" s="92"/>
      <c r="AH16" s="92"/>
      <c r="AI16" s="92"/>
      <c r="AJ16" s="92"/>
      <c r="AK16" s="92"/>
      <c r="AL16" s="92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</row>
    <row r="17" spans="2:69" s="20" customFormat="1" ht="18" customHeight="1" x14ac:dyDescent="0.25">
      <c r="C17" s="118" t="s">
        <v>81</v>
      </c>
      <c r="D17" s="118"/>
      <c r="E17" s="118"/>
      <c r="F17" s="118"/>
      <c r="G17" s="118"/>
      <c r="O17" s="92"/>
      <c r="P17" s="92"/>
      <c r="V17" s="93"/>
      <c r="W17" s="93"/>
      <c r="X17" s="93"/>
      <c r="Y17" s="93"/>
      <c r="Z17" s="92"/>
      <c r="AA17" s="96" t="s">
        <v>79</v>
      </c>
      <c r="AB17" s="92"/>
      <c r="AC17" s="96"/>
      <c r="AD17" s="93"/>
      <c r="AE17" s="93"/>
      <c r="AF17" s="92"/>
      <c r="AG17" s="92"/>
      <c r="AH17" s="92"/>
      <c r="AI17" s="92"/>
      <c r="AJ17" s="92"/>
      <c r="AK17" s="92"/>
      <c r="AL17" s="92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</row>
    <row r="18" spans="2:69" s="20" customFormat="1" ht="18" customHeight="1" x14ac:dyDescent="0.25">
      <c r="C18" s="118"/>
      <c r="D18" s="118"/>
      <c r="E18" s="118"/>
      <c r="F18" s="118"/>
      <c r="G18" s="118"/>
      <c r="O18" s="92"/>
      <c r="P18" s="92"/>
      <c r="V18" s="93"/>
      <c r="W18" s="93"/>
      <c r="X18" s="93"/>
      <c r="Y18" s="93"/>
      <c r="Z18" s="92"/>
      <c r="AA18" s="96" t="s">
        <v>80</v>
      </c>
      <c r="AB18" s="92"/>
      <c r="AC18" s="96"/>
      <c r="AD18" s="93"/>
      <c r="AE18" s="93"/>
      <c r="AF18" s="92"/>
      <c r="AG18" s="92"/>
      <c r="AH18" s="92"/>
      <c r="AI18" s="92"/>
      <c r="AJ18" s="92"/>
      <c r="AK18" s="92"/>
      <c r="AL18" s="92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</row>
    <row r="19" spans="2:69" s="20" customFormat="1" ht="18" customHeight="1" x14ac:dyDescent="0.25">
      <c r="O19" s="92"/>
      <c r="P19" s="93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</row>
    <row r="20" spans="2:69" ht="15.75" thickBot="1" x14ac:dyDescent="0.3">
      <c r="N20" s="74"/>
      <c r="O20" s="50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</row>
    <row r="21" spans="2:69" x14ac:dyDescent="0.25">
      <c r="B21" s="39" t="s">
        <v>70</v>
      </c>
      <c r="C21" s="39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</row>
    <row r="22" spans="2:69" ht="6" customHeight="1" x14ac:dyDescent="0.25">
      <c r="O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</row>
    <row r="23" spans="2:69" x14ac:dyDescent="0.25">
      <c r="C23" t="s">
        <v>51</v>
      </c>
      <c r="O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</row>
    <row r="24" spans="2:69" x14ac:dyDescent="0.25">
      <c r="C24" t="s">
        <v>128</v>
      </c>
      <c r="O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</row>
    <row r="25" spans="2:69" s="59" customFormat="1" ht="33" customHeight="1" x14ac:dyDescent="0.25">
      <c r="C25" s="119" t="s">
        <v>127</v>
      </c>
      <c r="D25" s="119"/>
      <c r="E25" s="119"/>
      <c r="F25" s="119"/>
      <c r="G25" s="119"/>
      <c r="H25" s="119"/>
      <c r="I25" s="119"/>
      <c r="J25" s="119"/>
      <c r="K25" s="119"/>
      <c r="L25" s="119"/>
      <c r="M25" s="60"/>
      <c r="O25" s="63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</row>
    <row r="26" spans="2:69" ht="6" customHeight="1" x14ac:dyDescent="0.25">
      <c r="O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</row>
    <row r="27" spans="2:69" s="20" customFormat="1" ht="18" customHeight="1" x14ac:dyDescent="0.25">
      <c r="C27" s="52" t="s">
        <v>42</v>
      </c>
      <c r="D27" s="53"/>
      <c r="E27" s="65" t="s">
        <v>50</v>
      </c>
      <c r="F27" s="61"/>
      <c r="G27" s="56" t="s">
        <v>40</v>
      </c>
      <c r="H27" s="57"/>
      <c r="I27" s="57"/>
      <c r="J27" s="62"/>
      <c r="K27" s="54" t="s">
        <v>45</v>
      </c>
      <c r="L27" s="58" t="s">
        <v>47</v>
      </c>
      <c r="O27" s="64"/>
      <c r="W27" s="92"/>
      <c r="X27" s="92"/>
      <c r="Y27" s="92"/>
      <c r="Z27" s="92"/>
      <c r="AA27" s="93" cm="1">
        <f t="array" ref="AA27">INDEX($AG$28:$AG$29, MATCH(K27,$AF$28:$AF$29,0), 0)</f>
        <v>1</v>
      </c>
      <c r="AB27" s="92">
        <f>IF(K27="Negative", -1, 1)</f>
        <v>1</v>
      </c>
      <c r="AC27" s="92"/>
      <c r="AD27" s="92"/>
      <c r="AE27" s="92"/>
      <c r="AF27" s="92" t="s">
        <v>44</v>
      </c>
      <c r="AG27" s="92"/>
      <c r="AH27" s="92"/>
      <c r="AI27" s="92"/>
      <c r="AJ27" s="92"/>
      <c r="AK27" s="92"/>
      <c r="AL27" s="92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</row>
    <row r="28" spans="2:69" s="20" customFormat="1" ht="18" customHeight="1" x14ac:dyDescent="0.25">
      <c r="C28" s="52" t="s">
        <v>41</v>
      </c>
      <c r="D28" s="53"/>
      <c r="E28" s="65" t="s">
        <v>49</v>
      </c>
      <c r="F28" s="61"/>
      <c r="G28" s="56" t="s">
        <v>52</v>
      </c>
      <c r="H28" s="57"/>
      <c r="I28" s="57"/>
      <c r="J28" s="62"/>
      <c r="K28" s="55" t="s">
        <v>45</v>
      </c>
      <c r="L28" s="58" t="s">
        <v>47</v>
      </c>
      <c r="O28" s="64"/>
      <c r="W28" s="92"/>
      <c r="X28" s="92"/>
      <c r="Y28" s="92"/>
      <c r="Z28" s="92"/>
      <c r="AA28" s="93" cm="1">
        <f t="array" ref="AA28">INDEX($AG$28:$AG$29, MATCH(K28,$AF$28:$AF$29,0), 0)</f>
        <v>1</v>
      </c>
      <c r="AB28" s="92">
        <f>IF(K28="Negative", -1, 1)</f>
        <v>1</v>
      </c>
      <c r="AC28" s="92"/>
      <c r="AD28" s="92"/>
      <c r="AE28" s="92"/>
      <c r="AF28" s="92" t="s">
        <v>45</v>
      </c>
      <c r="AG28" s="92">
        <v>1</v>
      </c>
      <c r="AH28" s="92"/>
      <c r="AI28" s="92"/>
      <c r="AJ28" s="92"/>
      <c r="AK28" s="92"/>
      <c r="AL28" s="92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</row>
    <row r="29" spans="2:69" s="20" customFormat="1" ht="18" customHeight="1" x14ac:dyDescent="0.25">
      <c r="C29" s="52" t="s">
        <v>43</v>
      </c>
      <c r="D29" s="53"/>
      <c r="E29" s="65" t="s">
        <v>50</v>
      </c>
      <c r="F29" s="61"/>
      <c r="G29" s="56" t="s">
        <v>48</v>
      </c>
      <c r="H29" s="57"/>
      <c r="I29" s="57"/>
      <c r="J29" s="62"/>
      <c r="K29" s="55" t="s">
        <v>45</v>
      </c>
      <c r="L29" s="58" t="s">
        <v>47</v>
      </c>
      <c r="O29" s="64"/>
      <c r="W29" s="92"/>
      <c r="X29" s="92"/>
      <c r="Y29" s="92"/>
      <c r="Z29" s="92"/>
      <c r="AA29" s="93" cm="1">
        <f t="array" ref="AA29">INDEX($AG$28:$AG$29, MATCH(K29,$AF$28:$AF$29,0), 0)</f>
        <v>1</v>
      </c>
      <c r="AB29" s="92">
        <f>IF(K29="Negative", -1, 1)</f>
        <v>1</v>
      </c>
      <c r="AC29" s="92"/>
      <c r="AD29" s="92"/>
      <c r="AE29" s="92"/>
      <c r="AF29" s="92" t="s">
        <v>46</v>
      </c>
      <c r="AG29" s="92">
        <v>-1</v>
      </c>
      <c r="AH29" s="92"/>
      <c r="AI29" s="92"/>
      <c r="AJ29" s="92"/>
      <c r="AK29" s="92"/>
      <c r="AL29" s="92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</row>
    <row r="30" spans="2:69" x14ac:dyDescent="0.25">
      <c r="O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</row>
    <row r="31" spans="2:69" x14ac:dyDescent="0.25">
      <c r="O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</row>
    <row r="32" spans="2:69" x14ac:dyDescent="0.25">
      <c r="C32" s="34" t="s">
        <v>113</v>
      </c>
    </row>
  </sheetData>
  <mergeCells count="4">
    <mergeCell ref="C10:J11"/>
    <mergeCell ref="C17:G18"/>
    <mergeCell ref="C25:L25"/>
    <mergeCell ref="F4:N6"/>
  </mergeCells>
  <conditionalFormatting sqref="C17">
    <cfRule type="expression" dxfId="1" priority="8">
      <formula>$AD$13=TRUE</formula>
    </cfRule>
  </conditionalFormatting>
  <conditionalFormatting sqref="D13:D15">
    <cfRule type="expression" dxfId="0" priority="9">
      <formula>$AD$13=FALSE</formula>
    </cfRule>
  </conditionalFormatting>
  <dataValidations count="2">
    <dataValidation type="list" allowBlank="1" showInputMessage="1" showErrorMessage="1" sqref="K27:K29" xr:uid="{00000000-0002-0000-0000-000000000000}">
      <formula1>angle_sign</formula1>
    </dataValidation>
    <dataValidation type="list" allowBlank="1" showInputMessage="1" showErrorMessage="1" sqref="D13:D15" xr:uid="{00000000-0002-0000-0000-000001000000}">
      <formula1>$AA$13:$AA$18</formula1>
    </dataValidation>
  </dataValidations>
  <hyperlinks>
    <hyperlink ref="F4" r:id="rId1" display="https://doi.org/10.1002/acm2.13816" xr:uid="{B10489CB-20DA-4CCC-890F-DED479BCF5E8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98"/>
  <sheetViews>
    <sheetView showGridLines="0" zoomScaleNormal="100" workbookViewId="0"/>
  </sheetViews>
  <sheetFormatPr defaultRowHeight="15" x14ac:dyDescent="0.25"/>
  <cols>
    <col min="1" max="2" width="4.7109375" customWidth="1"/>
    <col min="3" max="14" width="9.7109375" customWidth="1"/>
    <col min="15" max="35" width="9.140625" style="50"/>
    <col min="36" max="69" width="9.140625" style="41"/>
  </cols>
  <sheetData>
    <row r="1" spans="1:35" ht="23.25" x14ac:dyDescent="0.35">
      <c r="A1" s="17" t="s">
        <v>123</v>
      </c>
      <c r="N1" s="102" t="str">
        <f>'Coord System'!N1</f>
        <v>Version 1.8</v>
      </c>
    </row>
    <row r="2" spans="1:35" ht="18.75" x14ac:dyDescent="0.3">
      <c r="A2" s="16" t="s">
        <v>122</v>
      </c>
    </row>
    <row r="4" spans="1:35" ht="15" customHeight="1" x14ac:dyDescent="0.25">
      <c r="B4" t="s">
        <v>114</v>
      </c>
      <c r="F4" s="120" t="s">
        <v>125</v>
      </c>
      <c r="G4" s="120"/>
      <c r="H4" s="120"/>
      <c r="I4" s="120"/>
      <c r="J4" s="120"/>
      <c r="K4" s="120"/>
      <c r="L4" s="120"/>
      <c r="M4" s="120"/>
      <c r="N4" s="120"/>
    </row>
    <row r="5" spans="1:35" x14ac:dyDescent="0.25">
      <c r="F5" s="120"/>
      <c r="G5" s="120"/>
      <c r="H5" s="120"/>
      <c r="I5" s="120"/>
      <c r="J5" s="120"/>
      <c r="K5" s="120"/>
      <c r="L5" s="120"/>
      <c r="M5" s="120"/>
      <c r="N5" s="120"/>
    </row>
    <row r="6" spans="1:35" x14ac:dyDescent="0.25">
      <c r="F6" s="120"/>
      <c r="G6" s="120"/>
      <c r="H6" s="120"/>
      <c r="I6" s="120"/>
      <c r="J6" s="120"/>
      <c r="K6" s="120"/>
      <c r="L6" s="120"/>
      <c r="M6" s="120"/>
      <c r="N6" s="120"/>
    </row>
    <row r="7" spans="1:35" ht="15" customHeight="1" thickBot="1" x14ac:dyDescent="0.3"/>
    <row r="8" spans="1:35" x14ac:dyDescent="0.25">
      <c r="B8" s="39" t="s">
        <v>107</v>
      </c>
      <c r="C8" s="39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</row>
    <row r="9" spans="1:35" ht="6" customHeight="1" x14ac:dyDescent="0.25"/>
    <row r="10" spans="1:35" ht="18" customHeight="1" x14ac:dyDescent="0.25">
      <c r="C10" t="s">
        <v>53</v>
      </c>
      <c r="H10" s="117" t="s">
        <v>9</v>
      </c>
      <c r="I10" s="117"/>
      <c r="J10" s="117"/>
      <c r="K10" s="117"/>
      <c r="L10" s="117"/>
    </row>
    <row r="11" spans="1:35" ht="18" customHeight="1" x14ac:dyDescent="0.25">
      <c r="D11" s="38"/>
      <c r="E11" s="38"/>
      <c r="F11" s="38"/>
      <c r="H11" s="117"/>
      <c r="I11" s="117"/>
      <c r="J11" s="117"/>
      <c r="K11" s="117"/>
      <c r="L11" s="117"/>
    </row>
    <row r="12" spans="1:35" x14ac:dyDescent="0.25">
      <c r="C12" s="2"/>
      <c r="D12" s="129" t="s">
        <v>4</v>
      </c>
      <c r="E12" s="129"/>
      <c r="F12" s="130"/>
      <c r="H12" s="12" t="s">
        <v>6</v>
      </c>
      <c r="I12" s="10"/>
      <c r="J12" s="9">
        <v>1</v>
      </c>
    </row>
    <row r="13" spans="1:35" x14ac:dyDescent="0.25">
      <c r="C13" s="3" t="s">
        <v>0</v>
      </c>
      <c r="D13" s="4" t="s">
        <v>83</v>
      </c>
      <c r="E13" s="4" t="s">
        <v>84</v>
      </c>
      <c r="F13" s="5" t="s">
        <v>85</v>
      </c>
      <c r="H13" s="12" t="s">
        <v>7</v>
      </c>
      <c r="I13" s="10"/>
      <c r="J13" s="9">
        <v>5</v>
      </c>
      <c r="AA13" s="94"/>
      <c r="AB13" s="94" t="s">
        <v>86</v>
      </c>
      <c r="AC13" s="94" t="s">
        <v>87</v>
      </c>
      <c r="AD13" s="94" t="s">
        <v>88</v>
      </c>
    </row>
    <row r="14" spans="1:35" x14ac:dyDescent="0.25">
      <c r="C14" s="72">
        <v>1</v>
      </c>
      <c r="D14" s="68">
        <v>-2.5</v>
      </c>
      <c r="E14" s="68">
        <v>3</v>
      </c>
      <c r="F14" s="69">
        <v>-1</v>
      </c>
      <c r="AA14" s="94">
        <v>1</v>
      </c>
      <c r="AB14" s="94">
        <f>INDEX($D14:$F14,0,MATCH('Coord System'!$AB$13,$D$13:$F$13,0)) * 'Coord System'!$AE$13</f>
        <v>-2.5</v>
      </c>
      <c r="AC14" s="94">
        <f>INDEX($D14:$F14,0,MATCH('Coord System'!$AB$14,$D$13:$F$13,0)) * 'Coord System'!$AE$14</f>
        <v>3</v>
      </c>
      <c r="AD14" s="94">
        <f>INDEX($D14:$F14,0,MATCH('Coord System'!$AB$15,$D$13:$F$13,0)) * 'Coord System'!$AE$15</f>
        <v>-1</v>
      </c>
      <c r="AG14" s="94" t="s">
        <v>86</v>
      </c>
      <c r="AH14" s="94" t="s">
        <v>87</v>
      </c>
      <c r="AI14" s="94" t="s">
        <v>88</v>
      </c>
    </row>
    <row r="15" spans="1:35" x14ac:dyDescent="0.25">
      <c r="C15" s="72">
        <v>2</v>
      </c>
      <c r="D15" s="68">
        <v>-1.5</v>
      </c>
      <c r="E15" s="68">
        <v>1.5</v>
      </c>
      <c r="F15" s="69">
        <v>1</v>
      </c>
      <c r="AA15" s="94">
        <v>2</v>
      </c>
      <c r="AB15" s="94">
        <f>INDEX($D15:$F15,0,MATCH('Coord System'!$AB$13,$D$13:$F$13,0)) * 'Coord System'!$AE$13</f>
        <v>-1.5</v>
      </c>
      <c r="AC15" s="94">
        <f>INDEX($D15:$F15,0,MATCH('Coord System'!$AB$14,$D$13:$F$13,0)) * 'Coord System'!$AE$14</f>
        <v>1.5</v>
      </c>
      <c r="AD15" s="94">
        <f>INDEX($D15:$F15,0,MATCH('Coord System'!$AB$15,$D$13:$F$13,0)) * 'Coord System'!$AE$15</f>
        <v>1</v>
      </c>
      <c r="AF15" s="50" t="s">
        <v>89</v>
      </c>
      <c r="AG15" s="94">
        <f>VLOOKUP($J$12, $AA$14:$AD$18, 2)</f>
        <v>-2.5</v>
      </c>
      <c r="AH15" s="94">
        <f>VLOOKUP($J$12, $AA$14:$AD$18, 3)</f>
        <v>3</v>
      </c>
      <c r="AI15" s="94">
        <f>VLOOKUP($J$12, $AA$14:$AD$18, 4)</f>
        <v>-1</v>
      </c>
    </row>
    <row r="16" spans="1:35" x14ac:dyDescent="0.25">
      <c r="C16" s="72">
        <v>3</v>
      </c>
      <c r="D16" s="68">
        <v>0</v>
      </c>
      <c r="E16" s="68">
        <v>0</v>
      </c>
      <c r="F16" s="69">
        <v>0</v>
      </c>
      <c r="H16" s="131" t="s">
        <v>8</v>
      </c>
      <c r="I16" s="129"/>
      <c r="J16" s="130"/>
      <c r="K16" s="13"/>
      <c r="AA16" s="94">
        <v>3</v>
      </c>
      <c r="AB16" s="94">
        <f>INDEX($D16:$F16,0,MATCH('Coord System'!$AB$13,$D$13:$F$13,0)) * 'Coord System'!$AE$13</f>
        <v>0</v>
      </c>
      <c r="AC16" s="94">
        <f>INDEX($D16:$F16,0,MATCH('Coord System'!$AB$14,$D$13:$F$13,0)) * 'Coord System'!$AE$14</f>
        <v>0</v>
      </c>
      <c r="AD16" s="94">
        <f>INDEX($D16:$F16,0,MATCH('Coord System'!$AB$15,$D$13:$F$13,0)) * 'Coord System'!$AE$15</f>
        <v>0</v>
      </c>
      <c r="AF16" s="50" t="s">
        <v>0</v>
      </c>
      <c r="AG16" s="94">
        <f>VLOOKUP($J$13, $AA$14:$AD$18, 2)</f>
        <v>3</v>
      </c>
      <c r="AH16" s="94">
        <f>VLOOKUP($J$13, $AA$14:$AD$18, 3)</f>
        <v>-2</v>
      </c>
      <c r="AI16" s="94">
        <f>VLOOKUP($J$13, $AA$14:$AD$18, 4)</f>
        <v>2</v>
      </c>
    </row>
    <row r="17" spans="2:35" x14ac:dyDescent="0.25">
      <c r="C17" s="72">
        <v>4</v>
      </c>
      <c r="D17" s="68">
        <v>2</v>
      </c>
      <c r="E17" s="68">
        <v>-1</v>
      </c>
      <c r="F17" s="69">
        <v>-2</v>
      </c>
      <c r="H17" s="3" t="s">
        <v>1</v>
      </c>
      <c r="I17" s="4" t="s">
        <v>2</v>
      </c>
      <c r="J17" s="5" t="s">
        <v>3</v>
      </c>
      <c r="K17" s="14" t="s">
        <v>5</v>
      </c>
      <c r="AA17" s="94">
        <v>4</v>
      </c>
      <c r="AB17" s="94">
        <f>INDEX($D17:$F17,0,MATCH('Coord System'!$AB$13,$D$13:$F$13,0)) * 'Coord System'!$AE$13</f>
        <v>2</v>
      </c>
      <c r="AC17" s="94">
        <f>INDEX($D17:$F17,0,MATCH('Coord System'!$AB$14,$D$13:$F$13,0)) * 'Coord System'!$AE$14</f>
        <v>-1</v>
      </c>
      <c r="AD17" s="94">
        <f>INDEX($D17:$F17,0,MATCH('Coord System'!$AB$15,$D$13:$F$13,0)) * 'Coord System'!$AE$15</f>
        <v>-2</v>
      </c>
      <c r="AF17" s="50" t="s">
        <v>90</v>
      </c>
      <c r="AG17" s="94">
        <f>AG16-AG15</f>
        <v>5.5</v>
      </c>
      <c r="AH17" s="94">
        <f t="shared" ref="AH17:AI17" si="0">AH16-AH15</f>
        <v>-5</v>
      </c>
      <c r="AI17" s="94">
        <f t="shared" si="0"/>
        <v>3</v>
      </c>
    </row>
    <row r="18" spans="2:35" x14ac:dyDescent="0.25">
      <c r="C18" s="73">
        <v>5</v>
      </c>
      <c r="D18" s="70">
        <v>3</v>
      </c>
      <c r="E18" s="70">
        <v>-2</v>
      </c>
      <c r="F18" s="71">
        <v>2</v>
      </c>
      <c r="H18" s="7">
        <f>VLOOKUP($J$13,$C$14:$F$18,2) - VLOOKUP($J$12,$C$14:$F$18,2)</f>
        <v>5.5</v>
      </c>
      <c r="I18" s="6">
        <f>VLOOKUP($J$13,$C$14:$F$18,3) - VLOOKUP($J$12,$C$14:$F$18,3)</f>
        <v>-5</v>
      </c>
      <c r="J18" s="6">
        <f>VLOOKUP($J$13,$C$14:$F$18,4) - VLOOKUP($J$12,$C$14:$F$18,4)</f>
        <v>3</v>
      </c>
      <c r="K18" s="8">
        <f>SQRT(H18^2 + I18^2 + J18^2)</f>
        <v>8.0156097709406993</v>
      </c>
      <c r="AA18" s="94">
        <v>5</v>
      </c>
      <c r="AB18" s="94">
        <f>INDEX($D18:$F18,0,MATCH('Coord System'!$AB$13,$D$13:$F$13,0)) * 'Coord System'!$AE$13</f>
        <v>3</v>
      </c>
      <c r="AC18" s="94">
        <f>INDEX($D18:$F18,0,MATCH('Coord System'!$AB$14,$D$13:$F$13,0)) * 'Coord System'!$AE$14</f>
        <v>-2</v>
      </c>
      <c r="AD18" s="94">
        <f>INDEX($D18:$F18,0,MATCH('Coord System'!$AB$15,$D$13:$F$13,0)) * 'Coord System'!$AE$15</f>
        <v>2</v>
      </c>
    </row>
    <row r="20" spans="2:35" ht="15.75" thickBot="1" x14ac:dyDescent="0.3">
      <c r="F20" s="11"/>
    </row>
    <row r="21" spans="2:35" x14ac:dyDescent="0.25">
      <c r="B21" s="39" t="s">
        <v>108</v>
      </c>
      <c r="C21" s="39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</row>
    <row r="22" spans="2:35" ht="6" customHeight="1" x14ac:dyDescent="0.25">
      <c r="B22" s="15"/>
      <c r="C22" s="15"/>
    </row>
    <row r="23" spans="2:35" ht="15" customHeight="1" x14ac:dyDescent="0.25">
      <c r="C23" s="119" t="s">
        <v>111</v>
      </c>
      <c r="D23" s="119"/>
      <c r="E23" s="119"/>
      <c r="F23" s="119"/>
      <c r="G23" s="119"/>
      <c r="H23" s="119"/>
      <c r="I23" s="119"/>
      <c r="J23" s="119"/>
      <c r="K23" s="119"/>
      <c r="L23" s="119"/>
      <c r="M23" s="119"/>
    </row>
    <row r="24" spans="2:35" ht="15" customHeight="1" x14ac:dyDescent="0.25"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</row>
    <row r="25" spans="2:35" ht="6" customHeight="1" x14ac:dyDescent="0.25"/>
    <row r="26" spans="2:35" x14ac:dyDescent="0.25">
      <c r="C26" s="12" t="s">
        <v>10</v>
      </c>
      <c r="D26" s="18"/>
      <c r="E26" s="19">
        <v>0</v>
      </c>
      <c r="G26" s="12" t="s">
        <v>11</v>
      </c>
      <c r="H26" s="18"/>
      <c r="I26" s="19">
        <v>0</v>
      </c>
      <c r="K26" s="12" t="s">
        <v>12</v>
      </c>
      <c r="L26" s="18"/>
      <c r="M26" s="19">
        <v>0</v>
      </c>
    </row>
    <row r="28" spans="2:35" ht="15.75" thickBot="1" x14ac:dyDescent="0.3"/>
    <row r="29" spans="2:35" x14ac:dyDescent="0.25">
      <c r="B29" s="39" t="s">
        <v>109</v>
      </c>
      <c r="C29" s="39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</row>
    <row r="30" spans="2:35" ht="6" customHeight="1" x14ac:dyDescent="0.25"/>
    <row r="31" spans="2:35" x14ac:dyDescent="0.25">
      <c r="C31" s="34" t="s">
        <v>112</v>
      </c>
    </row>
    <row r="32" spans="2:35" ht="6" customHeight="1" x14ac:dyDescent="0.25"/>
    <row r="33" spans="2:33" ht="18" x14ac:dyDescent="0.25">
      <c r="C33" s="30" t="s">
        <v>20</v>
      </c>
      <c r="D33" s="45">
        <f>Details!O42</f>
        <v>5.7894736842105257</v>
      </c>
      <c r="F33" s="30" t="s">
        <v>21</v>
      </c>
      <c r="G33" s="45">
        <f>Details!O43</f>
        <v>3.1578947368421053</v>
      </c>
      <c r="N33" s="50"/>
      <c r="AA33" s="50" t="s">
        <v>23</v>
      </c>
      <c r="AB33" s="50">
        <v>0.5</v>
      </c>
      <c r="AC33" s="50">
        <v>8.5</v>
      </c>
      <c r="AD33" s="50">
        <v>1</v>
      </c>
    </row>
    <row r="34" spans="2:33" x14ac:dyDescent="0.25">
      <c r="AA34" s="50" t="s">
        <v>24</v>
      </c>
      <c r="AB34" s="50">
        <v>0.25</v>
      </c>
      <c r="AC34" s="50">
        <v>3.25</v>
      </c>
      <c r="AD34" s="50">
        <v>0.5</v>
      </c>
    </row>
    <row r="35" spans="2:33" ht="15.75" thickBot="1" x14ac:dyDescent="0.3"/>
    <row r="36" spans="2:33" x14ac:dyDescent="0.25">
      <c r="B36" s="39" t="s">
        <v>110</v>
      </c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AA36" s="50" t="s">
        <v>23</v>
      </c>
      <c r="AE36" s="50" t="s">
        <v>156</v>
      </c>
    </row>
    <row r="37" spans="2:33" ht="6" customHeight="1" x14ac:dyDescent="0.25"/>
    <row r="38" spans="2:33" ht="18" x14ac:dyDescent="0.35">
      <c r="C38" s="34" t="s">
        <v>115</v>
      </c>
      <c r="AA38" s="50" t="s">
        <v>35</v>
      </c>
      <c r="AB38" s="98" t="s">
        <v>36</v>
      </c>
      <c r="AC38" s="94"/>
      <c r="AE38" s="50" t="s">
        <v>35</v>
      </c>
      <c r="AF38" s="50" t="s">
        <v>36</v>
      </c>
    </row>
    <row r="39" spans="2:33" ht="6" customHeight="1" x14ac:dyDescent="0.25"/>
    <row r="40" spans="2:33" x14ac:dyDescent="0.25">
      <c r="C40" s="12" t="s">
        <v>22</v>
      </c>
      <c r="D40" s="18"/>
      <c r="E40" s="19" t="s">
        <v>24</v>
      </c>
      <c r="F40" s="51">
        <f>MATCH(E40,$AA$33:$AA$34,0)</f>
        <v>2</v>
      </c>
      <c r="G40" s="12" t="s">
        <v>67</v>
      </c>
      <c r="H40" s="18"/>
      <c r="I40" s="46" cm="1">
        <f t="array" ref="I40">IF(OR(G33&lt;-INDEX(AC33:AC34,F40), G33&gt;INDEX(AC33:AC34,F40)), INDEX(AD33:AD34,F40), INDEX($AB$33:$AB$34,F40))</f>
        <v>0.25</v>
      </c>
      <c r="J40" s="121" t="str" cm="1">
        <f t="array" ref="J40">IF(OR(G33&lt;-INDEX(AC33:AC34,F40), G33&gt;INDEX(AC33:AC34,F40)), "Note: The calculated field falls beyond small MLC leaves, so larger leaf size is used.", "")</f>
        <v/>
      </c>
      <c r="K40" s="121"/>
      <c r="L40" s="121"/>
      <c r="M40" s="121"/>
      <c r="N40" s="121"/>
      <c r="AA40" s="94">
        <v>-19</v>
      </c>
      <c r="AB40" s="94">
        <v>59</v>
      </c>
      <c r="AC40" s="94">
        <f>AB40+1</f>
        <v>60</v>
      </c>
      <c r="AE40" s="50">
        <v>-10.5</v>
      </c>
      <c r="AF40" s="50">
        <v>59</v>
      </c>
      <c r="AG40" s="50">
        <v>60</v>
      </c>
    </row>
    <row r="41" spans="2:33" x14ac:dyDescent="0.25">
      <c r="J41" s="121"/>
      <c r="K41" s="121"/>
      <c r="L41" s="121"/>
      <c r="M41" s="121"/>
      <c r="N41" s="121"/>
      <c r="AA41" s="94">
        <v>-18</v>
      </c>
      <c r="AB41" s="94">
        <v>58</v>
      </c>
      <c r="AC41" s="94">
        <f t="shared" ref="AC41:AC98" si="1">AB41+1</f>
        <v>59</v>
      </c>
      <c r="AE41" s="50">
        <v>-10</v>
      </c>
      <c r="AF41" s="50">
        <v>58</v>
      </c>
      <c r="AG41" s="50">
        <v>59</v>
      </c>
    </row>
    <row r="42" spans="2:33" ht="15.75" x14ac:dyDescent="0.25">
      <c r="N42" s="114" t="s">
        <v>154</v>
      </c>
      <c r="P42" s="115" t="s">
        <v>157</v>
      </c>
      <c r="AA42" s="94">
        <v>-17</v>
      </c>
      <c r="AB42" s="94">
        <v>57</v>
      </c>
      <c r="AC42" s="94">
        <f t="shared" si="1"/>
        <v>58</v>
      </c>
      <c r="AE42" s="50">
        <v>-9.5</v>
      </c>
      <c r="AF42" s="50">
        <v>57</v>
      </c>
      <c r="AG42" s="50">
        <v>58</v>
      </c>
    </row>
    <row r="43" spans="2:33" ht="18" x14ac:dyDescent="0.35">
      <c r="C43" s="37" t="s">
        <v>33</v>
      </c>
      <c r="D43" s="44" t="s">
        <v>54</v>
      </c>
      <c r="E43" s="45">
        <f>FLOOR($G$33/$I$40, 1) * $I$40</f>
        <v>3</v>
      </c>
      <c r="F43" s="42"/>
      <c r="G43" s="37" t="s">
        <v>25</v>
      </c>
      <c r="J43" s="122">
        <f>Details!T58</f>
        <v>1.5513466609989948</v>
      </c>
      <c r="K43" s="123"/>
      <c r="L43" s="124"/>
      <c r="N43" s="38">
        <v>1</v>
      </c>
      <c r="P43" s="116">
        <f>J43 - ROUND(J43,N43)</f>
        <v>-4.8653339001005325E-2</v>
      </c>
      <c r="AA43" s="94">
        <v>-16</v>
      </c>
      <c r="AB43" s="94">
        <v>56</v>
      </c>
      <c r="AC43" s="94">
        <f t="shared" si="1"/>
        <v>57</v>
      </c>
      <c r="AE43" s="50">
        <v>-9</v>
      </c>
      <c r="AF43" s="50">
        <v>56</v>
      </c>
      <c r="AG43" s="50">
        <v>57</v>
      </c>
    </row>
    <row r="44" spans="2:33" x14ac:dyDescent="0.25">
      <c r="F44" s="43"/>
      <c r="G44" s="37" t="s">
        <v>39</v>
      </c>
      <c r="J44" s="47">
        <f>VLOOKUP(-E43, CHOOSE(F40,$AA$40:$AC$98,AE40:AG98), 2)</f>
        <v>42</v>
      </c>
      <c r="K44" s="48" t="s">
        <v>37</v>
      </c>
      <c r="L44" s="49">
        <f>VLOOKUP(-E43-I40, CHOOSE(F40,$AA$40:$AC$98,AE40:AG98), 2)</f>
        <v>43</v>
      </c>
      <c r="N44" s="38"/>
      <c r="P44" s="116"/>
      <c r="AA44" s="94">
        <v>-15</v>
      </c>
      <c r="AB44" s="94">
        <v>55</v>
      </c>
      <c r="AC44" s="94">
        <f t="shared" si="1"/>
        <v>56</v>
      </c>
      <c r="AE44" s="50">
        <v>-8.5</v>
      </c>
      <c r="AF44" s="50">
        <v>55</v>
      </c>
      <c r="AG44" s="50">
        <v>56</v>
      </c>
    </row>
    <row r="45" spans="2:33" x14ac:dyDescent="0.25">
      <c r="G45" s="37" t="s">
        <v>38</v>
      </c>
      <c r="J45" s="125">
        <f>Details!T54</f>
        <v>5.8728446862777899</v>
      </c>
      <c r="K45" s="126"/>
      <c r="L45" s="127"/>
      <c r="N45" s="38">
        <v>3</v>
      </c>
      <c r="P45" s="116">
        <f>J45 - ROUND(J45,N45)</f>
        <v>-1.5531372221033735E-4</v>
      </c>
      <c r="AA45" s="94">
        <v>-14</v>
      </c>
      <c r="AB45" s="94">
        <v>54</v>
      </c>
      <c r="AC45" s="94">
        <f t="shared" si="1"/>
        <v>55</v>
      </c>
      <c r="AE45" s="50">
        <v>-8</v>
      </c>
      <c r="AF45" s="50">
        <v>54</v>
      </c>
      <c r="AG45" s="50">
        <v>55</v>
      </c>
    </row>
    <row r="46" spans="2:33" x14ac:dyDescent="0.25">
      <c r="N46" s="38"/>
      <c r="P46" s="116"/>
      <c r="AA46" s="94">
        <v>-13</v>
      </c>
      <c r="AB46" s="94">
        <v>53</v>
      </c>
      <c r="AC46" s="94">
        <f t="shared" si="1"/>
        <v>54</v>
      </c>
      <c r="AE46" s="50">
        <v>-7.5</v>
      </c>
      <c r="AF46" s="50">
        <v>53</v>
      </c>
      <c r="AG46" s="50">
        <v>54</v>
      </c>
    </row>
    <row r="47" spans="2:33" x14ac:dyDescent="0.25">
      <c r="N47" s="38"/>
      <c r="P47" s="116"/>
      <c r="AA47" s="94">
        <v>-12</v>
      </c>
      <c r="AB47" s="94">
        <v>52</v>
      </c>
      <c r="AC47" s="94">
        <f t="shared" si="1"/>
        <v>53</v>
      </c>
      <c r="AE47" s="50">
        <v>-7</v>
      </c>
      <c r="AF47" s="50">
        <v>52</v>
      </c>
      <c r="AG47" s="50">
        <v>53</v>
      </c>
    </row>
    <row r="48" spans="2:33" x14ac:dyDescent="0.25">
      <c r="N48" s="38"/>
      <c r="P48" s="116"/>
      <c r="AA48" s="94">
        <v>-11</v>
      </c>
      <c r="AB48" s="94">
        <v>51</v>
      </c>
      <c r="AC48" s="94">
        <f t="shared" si="1"/>
        <v>52</v>
      </c>
      <c r="AE48" s="50">
        <v>-6.5</v>
      </c>
      <c r="AF48" s="50">
        <v>51</v>
      </c>
      <c r="AG48" s="50">
        <v>52</v>
      </c>
    </row>
    <row r="49" spans="2:33" ht="18" x14ac:dyDescent="0.35">
      <c r="C49" s="37" t="s">
        <v>34</v>
      </c>
      <c r="D49" s="44" t="s">
        <v>54</v>
      </c>
      <c r="E49" s="45">
        <f>FLOOR($G$33/$I$40, 1) * $I$40 + I40</f>
        <v>3.25</v>
      </c>
      <c r="G49" s="37" t="s">
        <v>25</v>
      </c>
      <c r="J49" s="122">
        <f>Details!X58</f>
        <v>359.08444736026468</v>
      </c>
      <c r="K49" s="123"/>
      <c r="L49" s="124"/>
      <c r="N49" s="38">
        <v>1</v>
      </c>
      <c r="P49" s="116">
        <f>J49 - ROUND(J49,N49)</f>
        <v>-1.5552639735346929E-2</v>
      </c>
      <c r="AA49" s="94">
        <v>-10</v>
      </c>
      <c r="AB49" s="94">
        <v>50</v>
      </c>
      <c r="AC49" s="94">
        <f t="shared" si="1"/>
        <v>51</v>
      </c>
      <c r="AE49" s="50">
        <v>-6</v>
      </c>
      <c r="AF49" s="50">
        <v>50</v>
      </c>
      <c r="AG49" s="50">
        <v>51</v>
      </c>
    </row>
    <row r="50" spans="2:33" x14ac:dyDescent="0.25">
      <c r="G50" s="37" t="s">
        <v>39</v>
      </c>
      <c r="J50" s="47">
        <f>VLOOKUP(-E49, CHOOSE(F40,$AA$40:$AC$98,AE40:AG98), 2)</f>
        <v>43</v>
      </c>
      <c r="K50" s="48" t="s">
        <v>37</v>
      </c>
      <c r="L50" s="49">
        <f>VLOOKUP(-E49-I40, CHOOSE(F40,$AA$40:$AC$98,AE40:AG98), 2)</f>
        <v>44</v>
      </c>
      <c r="N50" s="38"/>
      <c r="P50" s="116"/>
      <c r="AA50" s="94">
        <v>-9.5</v>
      </c>
      <c r="AB50" s="94">
        <v>49</v>
      </c>
      <c r="AC50" s="94">
        <f t="shared" si="1"/>
        <v>50</v>
      </c>
      <c r="AE50" s="50">
        <v>-5.5</v>
      </c>
      <c r="AF50" s="50">
        <v>49</v>
      </c>
      <c r="AG50" s="50">
        <v>50</v>
      </c>
    </row>
    <row r="51" spans="2:33" x14ac:dyDescent="0.25">
      <c r="G51" s="37" t="s">
        <v>38</v>
      </c>
      <c r="J51" s="125">
        <f>Details!X54</f>
        <v>5.738275412451137</v>
      </c>
      <c r="K51" s="126"/>
      <c r="L51" s="127"/>
      <c r="N51" s="38">
        <v>3</v>
      </c>
      <c r="P51" s="116">
        <f>J51 - ROUND(J51,N51)</f>
        <v>2.7541245113660295E-4</v>
      </c>
      <c r="AA51" s="94">
        <v>-9</v>
      </c>
      <c r="AB51" s="94">
        <v>48</v>
      </c>
      <c r="AC51" s="94">
        <f t="shared" si="1"/>
        <v>49</v>
      </c>
      <c r="AE51" s="50">
        <v>-5</v>
      </c>
      <c r="AF51" s="50">
        <v>48</v>
      </c>
      <c r="AG51" s="50">
        <v>49</v>
      </c>
    </row>
    <row r="52" spans="2:33" x14ac:dyDescent="0.25">
      <c r="AA52" s="94">
        <v>-8.5</v>
      </c>
      <c r="AB52" s="94">
        <v>47</v>
      </c>
      <c r="AC52" s="94">
        <f t="shared" si="1"/>
        <v>48</v>
      </c>
      <c r="AE52" s="50">
        <v>-4.5</v>
      </c>
      <c r="AF52" s="50">
        <v>47</v>
      </c>
      <c r="AG52" s="50">
        <v>48</v>
      </c>
    </row>
    <row r="53" spans="2:33" ht="15.75" thickBot="1" x14ac:dyDescent="0.3">
      <c r="AA53" s="94">
        <v>-8</v>
      </c>
      <c r="AB53" s="94">
        <v>46</v>
      </c>
      <c r="AC53" s="94">
        <f t="shared" si="1"/>
        <v>47</v>
      </c>
      <c r="AE53" s="50">
        <v>-4</v>
      </c>
      <c r="AF53" s="50">
        <v>46</v>
      </c>
      <c r="AG53" s="50">
        <v>47</v>
      </c>
    </row>
    <row r="54" spans="2:33" x14ac:dyDescent="0.25">
      <c r="B54" s="39"/>
      <c r="C54" s="128" t="s">
        <v>155</v>
      </c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40"/>
      <c r="AA54" s="94">
        <v>-7.5</v>
      </c>
      <c r="AB54" s="94">
        <v>45</v>
      </c>
      <c r="AC54" s="94">
        <f t="shared" si="1"/>
        <v>46</v>
      </c>
      <c r="AE54" s="50">
        <v>-3.75</v>
      </c>
      <c r="AF54" s="50">
        <v>45</v>
      </c>
      <c r="AG54" s="50">
        <v>46</v>
      </c>
    </row>
    <row r="55" spans="2:33" x14ac:dyDescent="0.25"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AA55" s="94">
        <v>-7</v>
      </c>
      <c r="AB55" s="94">
        <v>44</v>
      </c>
      <c r="AC55" s="94">
        <f t="shared" si="1"/>
        <v>45</v>
      </c>
      <c r="AE55" s="50">
        <v>-3.5</v>
      </c>
      <c r="AF55" s="50">
        <v>44</v>
      </c>
      <c r="AG55" s="50">
        <v>45</v>
      </c>
    </row>
    <row r="56" spans="2:33" x14ac:dyDescent="0.25"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AA56" s="94">
        <v>-6.5</v>
      </c>
      <c r="AB56" s="94">
        <v>43</v>
      </c>
      <c r="AC56" s="94">
        <f t="shared" si="1"/>
        <v>44</v>
      </c>
      <c r="AE56" s="50">
        <v>-3.25</v>
      </c>
      <c r="AF56" s="50">
        <v>43</v>
      </c>
      <c r="AG56" s="50">
        <v>44</v>
      </c>
    </row>
    <row r="57" spans="2:33" x14ac:dyDescent="0.25">
      <c r="AA57" s="94">
        <v>-6</v>
      </c>
      <c r="AB57" s="94">
        <v>42</v>
      </c>
      <c r="AC57" s="94">
        <f t="shared" si="1"/>
        <v>43</v>
      </c>
      <c r="AE57" s="50">
        <v>-3</v>
      </c>
      <c r="AF57" s="50">
        <v>42</v>
      </c>
      <c r="AG57" s="50">
        <v>43</v>
      </c>
    </row>
    <row r="58" spans="2:33" x14ac:dyDescent="0.25">
      <c r="AA58" s="94">
        <v>-5.5</v>
      </c>
      <c r="AB58" s="94">
        <v>41</v>
      </c>
      <c r="AC58" s="94">
        <f t="shared" si="1"/>
        <v>42</v>
      </c>
      <c r="AE58" s="50">
        <v>-2.75</v>
      </c>
      <c r="AF58" s="50">
        <v>41</v>
      </c>
      <c r="AG58" s="50">
        <v>42</v>
      </c>
    </row>
    <row r="59" spans="2:33" x14ac:dyDescent="0.25">
      <c r="AA59" s="94">
        <v>-5</v>
      </c>
      <c r="AB59" s="94">
        <v>40</v>
      </c>
      <c r="AC59" s="94">
        <f t="shared" si="1"/>
        <v>41</v>
      </c>
      <c r="AE59" s="50">
        <v>-2.5</v>
      </c>
      <c r="AF59" s="50">
        <v>40</v>
      </c>
      <c r="AG59" s="50">
        <v>41</v>
      </c>
    </row>
    <row r="60" spans="2:33" x14ac:dyDescent="0.25">
      <c r="AA60" s="94">
        <v>-4.5</v>
      </c>
      <c r="AB60" s="94">
        <v>39</v>
      </c>
      <c r="AC60" s="94">
        <f t="shared" si="1"/>
        <v>40</v>
      </c>
      <c r="AE60" s="50">
        <v>-2.25</v>
      </c>
      <c r="AF60" s="50">
        <v>39</v>
      </c>
      <c r="AG60" s="50">
        <v>40</v>
      </c>
    </row>
    <row r="61" spans="2:33" x14ac:dyDescent="0.25">
      <c r="AA61" s="94">
        <v>-4</v>
      </c>
      <c r="AB61" s="94">
        <v>38</v>
      </c>
      <c r="AC61" s="94">
        <f>AB61+1</f>
        <v>39</v>
      </c>
      <c r="AE61" s="50">
        <v>-2</v>
      </c>
      <c r="AF61" s="50">
        <v>38</v>
      </c>
      <c r="AG61" s="50">
        <v>39</v>
      </c>
    </row>
    <row r="62" spans="2:33" x14ac:dyDescent="0.25">
      <c r="AA62" s="94">
        <v>-3.5</v>
      </c>
      <c r="AB62" s="94">
        <v>37</v>
      </c>
      <c r="AC62" s="94">
        <f>AB62+1</f>
        <v>38</v>
      </c>
      <c r="AE62" s="50">
        <v>-1.75</v>
      </c>
      <c r="AF62" s="50">
        <v>37</v>
      </c>
      <c r="AG62" s="50">
        <v>38</v>
      </c>
    </row>
    <row r="63" spans="2:33" x14ac:dyDescent="0.25">
      <c r="AA63" s="94">
        <v>-3</v>
      </c>
      <c r="AB63" s="94">
        <v>36</v>
      </c>
      <c r="AC63" s="94">
        <f t="shared" si="1"/>
        <v>37</v>
      </c>
      <c r="AE63" s="50">
        <v>-1.5</v>
      </c>
      <c r="AF63" s="50">
        <v>36</v>
      </c>
      <c r="AG63" s="50">
        <v>37</v>
      </c>
    </row>
    <row r="64" spans="2:33" x14ac:dyDescent="0.25">
      <c r="AA64" s="94">
        <v>-2.5</v>
      </c>
      <c r="AB64" s="94">
        <v>35</v>
      </c>
      <c r="AC64" s="94">
        <f t="shared" si="1"/>
        <v>36</v>
      </c>
      <c r="AE64" s="50">
        <v>-1.25</v>
      </c>
      <c r="AF64" s="50">
        <v>35</v>
      </c>
      <c r="AG64" s="50">
        <v>36</v>
      </c>
    </row>
    <row r="65" spans="27:33" x14ac:dyDescent="0.25">
      <c r="AA65" s="94">
        <v>-2</v>
      </c>
      <c r="AB65" s="94">
        <v>34</v>
      </c>
      <c r="AC65" s="94">
        <f t="shared" si="1"/>
        <v>35</v>
      </c>
      <c r="AE65" s="50">
        <v>-1</v>
      </c>
      <c r="AF65" s="50">
        <v>34</v>
      </c>
      <c r="AG65" s="50">
        <v>35</v>
      </c>
    </row>
    <row r="66" spans="27:33" x14ac:dyDescent="0.25">
      <c r="AA66" s="94">
        <v>-1.5</v>
      </c>
      <c r="AB66" s="94">
        <v>33</v>
      </c>
      <c r="AC66" s="94">
        <f t="shared" si="1"/>
        <v>34</v>
      </c>
      <c r="AE66" s="50">
        <v>-0.75</v>
      </c>
      <c r="AF66" s="50">
        <v>33</v>
      </c>
      <c r="AG66" s="50">
        <v>34</v>
      </c>
    </row>
    <row r="67" spans="27:33" x14ac:dyDescent="0.25">
      <c r="AA67" s="94">
        <v>-1</v>
      </c>
      <c r="AB67" s="94">
        <v>32</v>
      </c>
      <c r="AC67" s="94">
        <f t="shared" si="1"/>
        <v>33</v>
      </c>
      <c r="AE67" s="50">
        <v>-0.5</v>
      </c>
      <c r="AF67" s="50">
        <v>32</v>
      </c>
      <c r="AG67" s="50">
        <v>33</v>
      </c>
    </row>
    <row r="68" spans="27:33" x14ac:dyDescent="0.25">
      <c r="AA68" s="94">
        <v>-0.5</v>
      </c>
      <c r="AB68" s="94">
        <v>31</v>
      </c>
      <c r="AC68" s="94">
        <f t="shared" si="1"/>
        <v>32</v>
      </c>
      <c r="AE68" s="50">
        <v>-0.25</v>
      </c>
      <c r="AF68" s="50">
        <v>31</v>
      </c>
      <c r="AG68" s="50">
        <v>32</v>
      </c>
    </row>
    <row r="69" spans="27:33" x14ac:dyDescent="0.25">
      <c r="AA69" s="94">
        <v>0</v>
      </c>
      <c r="AB69" s="94">
        <v>30</v>
      </c>
      <c r="AC69" s="94">
        <f t="shared" si="1"/>
        <v>31</v>
      </c>
      <c r="AE69" s="50">
        <v>0</v>
      </c>
      <c r="AF69" s="50">
        <v>30</v>
      </c>
      <c r="AG69" s="50">
        <v>31</v>
      </c>
    </row>
    <row r="70" spans="27:33" x14ac:dyDescent="0.25">
      <c r="AA70" s="94">
        <v>0.5</v>
      </c>
      <c r="AB70" s="94">
        <v>29</v>
      </c>
      <c r="AC70" s="94">
        <f t="shared" si="1"/>
        <v>30</v>
      </c>
      <c r="AE70" s="50">
        <v>0.25</v>
      </c>
      <c r="AF70" s="50">
        <v>29</v>
      </c>
      <c r="AG70" s="50">
        <v>30</v>
      </c>
    </row>
    <row r="71" spans="27:33" x14ac:dyDescent="0.25">
      <c r="AA71" s="94">
        <v>1</v>
      </c>
      <c r="AB71" s="94">
        <v>28</v>
      </c>
      <c r="AC71" s="94">
        <f t="shared" si="1"/>
        <v>29</v>
      </c>
      <c r="AE71" s="50">
        <v>0.5</v>
      </c>
      <c r="AF71" s="50">
        <v>28</v>
      </c>
      <c r="AG71" s="50">
        <v>29</v>
      </c>
    </row>
    <row r="72" spans="27:33" x14ac:dyDescent="0.25">
      <c r="AA72" s="94">
        <v>1.5</v>
      </c>
      <c r="AB72" s="94">
        <v>27</v>
      </c>
      <c r="AC72" s="94">
        <f t="shared" si="1"/>
        <v>28</v>
      </c>
      <c r="AE72" s="50">
        <v>0.75</v>
      </c>
      <c r="AF72" s="50">
        <v>27</v>
      </c>
      <c r="AG72" s="50">
        <v>28</v>
      </c>
    </row>
    <row r="73" spans="27:33" x14ac:dyDescent="0.25">
      <c r="AA73" s="94">
        <v>2</v>
      </c>
      <c r="AB73" s="94">
        <v>26</v>
      </c>
      <c r="AC73" s="94">
        <f t="shared" si="1"/>
        <v>27</v>
      </c>
      <c r="AE73" s="50">
        <v>1</v>
      </c>
      <c r="AF73" s="50">
        <v>26</v>
      </c>
      <c r="AG73" s="50">
        <v>27</v>
      </c>
    </row>
    <row r="74" spans="27:33" x14ac:dyDescent="0.25">
      <c r="AA74" s="94">
        <v>2.5</v>
      </c>
      <c r="AB74" s="94">
        <v>25</v>
      </c>
      <c r="AC74" s="94">
        <f t="shared" si="1"/>
        <v>26</v>
      </c>
      <c r="AE74" s="50">
        <v>1.25</v>
      </c>
      <c r="AF74" s="50">
        <v>25</v>
      </c>
      <c r="AG74" s="50">
        <v>26</v>
      </c>
    </row>
    <row r="75" spans="27:33" x14ac:dyDescent="0.25">
      <c r="AA75" s="94">
        <v>3</v>
      </c>
      <c r="AB75" s="94">
        <v>24</v>
      </c>
      <c r="AC75" s="94">
        <f t="shared" si="1"/>
        <v>25</v>
      </c>
      <c r="AE75" s="50">
        <v>1.5</v>
      </c>
      <c r="AF75" s="50">
        <v>24</v>
      </c>
      <c r="AG75" s="50">
        <v>25</v>
      </c>
    </row>
    <row r="76" spans="27:33" x14ac:dyDescent="0.25">
      <c r="AA76" s="94">
        <v>3.5</v>
      </c>
      <c r="AB76" s="94">
        <v>23</v>
      </c>
      <c r="AC76" s="94">
        <f t="shared" si="1"/>
        <v>24</v>
      </c>
      <c r="AE76" s="50">
        <v>1.75</v>
      </c>
      <c r="AF76" s="50">
        <v>23</v>
      </c>
      <c r="AG76" s="50">
        <v>24</v>
      </c>
    </row>
    <row r="77" spans="27:33" x14ac:dyDescent="0.25">
      <c r="AA77" s="94">
        <v>4</v>
      </c>
      <c r="AB77" s="94">
        <v>22</v>
      </c>
      <c r="AC77" s="94">
        <f t="shared" si="1"/>
        <v>23</v>
      </c>
      <c r="AE77" s="50">
        <v>2</v>
      </c>
      <c r="AF77" s="50">
        <v>22</v>
      </c>
      <c r="AG77" s="50">
        <v>23</v>
      </c>
    </row>
    <row r="78" spans="27:33" x14ac:dyDescent="0.25">
      <c r="AA78" s="94">
        <v>4.5</v>
      </c>
      <c r="AB78" s="94">
        <v>21</v>
      </c>
      <c r="AC78" s="94">
        <f t="shared" si="1"/>
        <v>22</v>
      </c>
      <c r="AE78" s="50">
        <v>2.25</v>
      </c>
      <c r="AF78" s="50">
        <v>21</v>
      </c>
      <c r="AG78" s="50">
        <v>22</v>
      </c>
    </row>
    <row r="79" spans="27:33" x14ac:dyDescent="0.25">
      <c r="AA79" s="94">
        <v>5</v>
      </c>
      <c r="AB79" s="94">
        <v>20</v>
      </c>
      <c r="AC79" s="94">
        <f t="shared" si="1"/>
        <v>21</v>
      </c>
      <c r="AE79" s="50">
        <v>2.5</v>
      </c>
      <c r="AF79" s="50">
        <v>20</v>
      </c>
      <c r="AG79" s="50">
        <v>21</v>
      </c>
    </row>
    <row r="80" spans="27:33" x14ac:dyDescent="0.25">
      <c r="AA80" s="94">
        <v>5.5</v>
      </c>
      <c r="AB80" s="94">
        <v>19</v>
      </c>
      <c r="AC80" s="94">
        <f t="shared" si="1"/>
        <v>20</v>
      </c>
      <c r="AE80" s="50">
        <v>2.75</v>
      </c>
      <c r="AF80" s="50">
        <v>19</v>
      </c>
      <c r="AG80" s="50">
        <v>20</v>
      </c>
    </row>
    <row r="81" spans="27:33" x14ac:dyDescent="0.25">
      <c r="AA81" s="94">
        <v>6</v>
      </c>
      <c r="AB81" s="94">
        <v>18</v>
      </c>
      <c r="AC81" s="94">
        <f t="shared" si="1"/>
        <v>19</v>
      </c>
      <c r="AE81" s="50">
        <v>3</v>
      </c>
      <c r="AF81" s="50">
        <v>18</v>
      </c>
      <c r="AG81" s="50">
        <v>19</v>
      </c>
    </row>
    <row r="82" spans="27:33" x14ac:dyDescent="0.25">
      <c r="AA82" s="94">
        <v>6.5</v>
      </c>
      <c r="AB82" s="94">
        <v>17</v>
      </c>
      <c r="AC82" s="94">
        <f t="shared" si="1"/>
        <v>18</v>
      </c>
      <c r="AE82" s="50">
        <v>3.25</v>
      </c>
      <c r="AF82" s="50">
        <v>17</v>
      </c>
      <c r="AG82" s="50">
        <v>18</v>
      </c>
    </row>
    <row r="83" spans="27:33" x14ac:dyDescent="0.25">
      <c r="AA83" s="94">
        <v>7</v>
      </c>
      <c r="AB83" s="94">
        <v>16</v>
      </c>
      <c r="AC83" s="94">
        <f t="shared" si="1"/>
        <v>17</v>
      </c>
      <c r="AE83" s="50">
        <v>3.5</v>
      </c>
      <c r="AF83" s="50">
        <v>16</v>
      </c>
      <c r="AG83" s="50">
        <v>17</v>
      </c>
    </row>
    <row r="84" spans="27:33" x14ac:dyDescent="0.25">
      <c r="AA84" s="94">
        <v>7.5</v>
      </c>
      <c r="AB84" s="94">
        <v>15</v>
      </c>
      <c r="AC84" s="94">
        <f t="shared" si="1"/>
        <v>16</v>
      </c>
      <c r="AE84" s="50">
        <v>3.75</v>
      </c>
      <c r="AF84" s="50">
        <v>15</v>
      </c>
      <c r="AG84" s="50">
        <v>16</v>
      </c>
    </row>
    <row r="85" spans="27:33" x14ac:dyDescent="0.25">
      <c r="AA85" s="94">
        <v>8</v>
      </c>
      <c r="AB85" s="94">
        <v>14</v>
      </c>
      <c r="AC85" s="94">
        <f t="shared" si="1"/>
        <v>15</v>
      </c>
      <c r="AE85" s="50">
        <v>4</v>
      </c>
      <c r="AF85" s="50">
        <v>14</v>
      </c>
      <c r="AG85" s="50">
        <v>15</v>
      </c>
    </row>
    <row r="86" spans="27:33" x14ac:dyDescent="0.25">
      <c r="AA86" s="94">
        <v>8.5</v>
      </c>
      <c r="AB86" s="94">
        <v>13</v>
      </c>
      <c r="AC86" s="94">
        <f t="shared" si="1"/>
        <v>14</v>
      </c>
      <c r="AE86" s="50">
        <v>4.5</v>
      </c>
      <c r="AF86" s="50">
        <v>13</v>
      </c>
      <c r="AG86" s="50">
        <v>14</v>
      </c>
    </row>
    <row r="87" spans="27:33" x14ac:dyDescent="0.25">
      <c r="AA87" s="94">
        <v>9</v>
      </c>
      <c r="AB87" s="94">
        <v>12</v>
      </c>
      <c r="AC87" s="94">
        <f t="shared" si="1"/>
        <v>13</v>
      </c>
      <c r="AE87" s="50">
        <v>5</v>
      </c>
      <c r="AF87" s="50">
        <v>12</v>
      </c>
      <c r="AG87" s="50">
        <v>13</v>
      </c>
    </row>
    <row r="88" spans="27:33" x14ac:dyDescent="0.25">
      <c r="AA88" s="94">
        <v>9.5</v>
      </c>
      <c r="AB88" s="94">
        <v>11</v>
      </c>
      <c r="AC88" s="94">
        <f t="shared" si="1"/>
        <v>12</v>
      </c>
      <c r="AE88" s="50">
        <v>5.5</v>
      </c>
      <c r="AF88" s="50">
        <v>11</v>
      </c>
      <c r="AG88" s="50">
        <v>12</v>
      </c>
    </row>
    <row r="89" spans="27:33" x14ac:dyDescent="0.25">
      <c r="AA89" s="94">
        <v>10</v>
      </c>
      <c r="AB89" s="94">
        <v>10</v>
      </c>
      <c r="AC89" s="94">
        <f t="shared" si="1"/>
        <v>11</v>
      </c>
      <c r="AE89" s="50">
        <v>6</v>
      </c>
      <c r="AF89" s="50">
        <v>10</v>
      </c>
      <c r="AG89" s="50">
        <v>11</v>
      </c>
    </row>
    <row r="90" spans="27:33" x14ac:dyDescent="0.25">
      <c r="AA90" s="94">
        <v>11</v>
      </c>
      <c r="AB90" s="94">
        <v>9</v>
      </c>
      <c r="AC90" s="94">
        <f t="shared" si="1"/>
        <v>10</v>
      </c>
      <c r="AE90" s="50">
        <v>6.5</v>
      </c>
      <c r="AF90" s="50">
        <v>9</v>
      </c>
      <c r="AG90" s="50">
        <v>10</v>
      </c>
    </row>
    <row r="91" spans="27:33" x14ac:dyDescent="0.25">
      <c r="AA91" s="94">
        <v>12</v>
      </c>
      <c r="AB91" s="94">
        <v>8</v>
      </c>
      <c r="AC91" s="94">
        <f t="shared" si="1"/>
        <v>9</v>
      </c>
      <c r="AE91" s="50">
        <v>7</v>
      </c>
      <c r="AF91" s="50">
        <v>8</v>
      </c>
      <c r="AG91" s="50">
        <v>9</v>
      </c>
    </row>
    <row r="92" spans="27:33" x14ac:dyDescent="0.25">
      <c r="AA92" s="94">
        <v>13</v>
      </c>
      <c r="AB92" s="94">
        <v>7</v>
      </c>
      <c r="AC92" s="94">
        <f t="shared" si="1"/>
        <v>8</v>
      </c>
      <c r="AE92" s="50">
        <v>7.5</v>
      </c>
      <c r="AF92" s="50">
        <v>7</v>
      </c>
      <c r="AG92" s="50">
        <v>8</v>
      </c>
    </row>
    <row r="93" spans="27:33" x14ac:dyDescent="0.25">
      <c r="AA93" s="94">
        <v>14</v>
      </c>
      <c r="AB93" s="94">
        <v>6</v>
      </c>
      <c r="AC93" s="94">
        <f t="shared" si="1"/>
        <v>7</v>
      </c>
      <c r="AE93" s="50">
        <v>8</v>
      </c>
      <c r="AF93" s="50">
        <v>6</v>
      </c>
      <c r="AG93" s="50">
        <v>7</v>
      </c>
    </row>
    <row r="94" spans="27:33" x14ac:dyDescent="0.25">
      <c r="AA94" s="94">
        <v>15</v>
      </c>
      <c r="AB94" s="94">
        <v>5</v>
      </c>
      <c r="AC94" s="94">
        <f t="shared" si="1"/>
        <v>6</v>
      </c>
      <c r="AE94" s="50">
        <v>8.5</v>
      </c>
      <c r="AF94" s="50">
        <v>5</v>
      </c>
      <c r="AG94" s="50">
        <v>6</v>
      </c>
    </row>
    <row r="95" spans="27:33" x14ac:dyDescent="0.25">
      <c r="AA95" s="94">
        <v>16</v>
      </c>
      <c r="AB95" s="94">
        <v>4</v>
      </c>
      <c r="AC95" s="94">
        <f t="shared" si="1"/>
        <v>5</v>
      </c>
      <c r="AE95" s="50">
        <v>9</v>
      </c>
      <c r="AF95" s="50">
        <v>4</v>
      </c>
      <c r="AG95" s="50">
        <v>5</v>
      </c>
    </row>
    <row r="96" spans="27:33" x14ac:dyDescent="0.25">
      <c r="AA96" s="94">
        <v>17</v>
      </c>
      <c r="AB96" s="94">
        <v>3</v>
      </c>
      <c r="AC96" s="94">
        <f t="shared" si="1"/>
        <v>4</v>
      </c>
      <c r="AE96" s="50">
        <v>9.5</v>
      </c>
      <c r="AF96" s="50">
        <v>3</v>
      </c>
      <c r="AG96" s="50">
        <v>4</v>
      </c>
    </row>
    <row r="97" spans="27:33" x14ac:dyDescent="0.25">
      <c r="AA97" s="94">
        <v>18</v>
      </c>
      <c r="AB97" s="94">
        <v>2</v>
      </c>
      <c r="AC97" s="94">
        <f t="shared" si="1"/>
        <v>3</v>
      </c>
      <c r="AE97" s="50">
        <v>10</v>
      </c>
      <c r="AF97" s="50">
        <v>2</v>
      </c>
      <c r="AG97" s="50">
        <v>3</v>
      </c>
    </row>
    <row r="98" spans="27:33" x14ac:dyDescent="0.25">
      <c r="AA98" s="94">
        <v>19</v>
      </c>
      <c r="AB98" s="94">
        <v>1</v>
      </c>
      <c r="AC98" s="94">
        <f t="shared" si="1"/>
        <v>2</v>
      </c>
      <c r="AE98" s="50">
        <v>10.5</v>
      </c>
      <c r="AF98" s="50">
        <v>1</v>
      </c>
      <c r="AG98" s="50">
        <v>2</v>
      </c>
    </row>
  </sheetData>
  <mergeCells count="11">
    <mergeCell ref="C54:M56"/>
    <mergeCell ref="J51:L51"/>
    <mergeCell ref="J49:L49"/>
    <mergeCell ref="C23:M24"/>
    <mergeCell ref="D12:F12"/>
    <mergeCell ref="H16:J16"/>
    <mergeCell ref="H10:L11"/>
    <mergeCell ref="J40:N41"/>
    <mergeCell ref="J43:L43"/>
    <mergeCell ref="J45:L45"/>
    <mergeCell ref="F4:N6"/>
  </mergeCells>
  <dataValidations disablePrompts="1" count="2">
    <dataValidation type="list" allowBlank="1" showInputMessage="1" showErrorMessage="1" sqref="J12:J13" xr:uid="{00000000-0002-0000-0100-000000000000}">
      <formula1>$C$14:$C$18</formula1>
    </dataValidation>
    <dataValidation type="list" allowBlank="1" showInputMessage="1" showErrorMessage="1" sqref="E40" xr:uid="{00000000-0002-0000-0100-000001000000}">
      <formula1>$AA$33:$AA$34</formula1>
    </dataValidation>
  </dataValidations>
  <hyperlinks>
    <hyperlink ref="F4" r:id="rId1" display="https://doi.org/10.1002/acm2.13816" xr:uid="{94595ABB-D026-4FFA-89E5-6129638A7884}"/>
  </hyperlinks>
  <pageMargins left="0.7" right="0.7" top="0.75" bottom="0.75" header="0.3" footer="0.3"/>
  <pageSetup scale="75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58"/>
  <sheetViews>
    <sheetView showGridLines="0" zoomScaleNormal="100" workbookViewId="0"/>
  </sheetViews>
  <sheetFormatPr defaultRowHeight="18" customHeight="1" x14ac:dyDescent="0.25"/>
  <cols>
    <col min="1" max="1" width="4.7109375" customWidth="1"/>
    <col min="2" max="16" width="6.7109375" customWidth="1"/>
    <col min="17" max="17" width="6.28515625" customWidth="1"/>
  </cols>
  <sheetData>
    <row r="1" spans="1:71" ht="23.25" x14ac:dyDescent="0.35">
      <c r="A1" s="17" t="s">
        <v>123</v>
      </c>
      <c r="O1" s="41"/>
      <c r="P1" s="50"/>
      <c r="Q1" s="102" t="str">
        <f>'Coord System'!N1</f>
        <v>Version 1.8</v>
      </c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</row>
    <row r="2" spans="1:71" ht="18.75" x14ac:dyDescent="0.3">
      <c r="A2" s="16" t="s">
        <v>122</v>
      </c>
      <c r="O2" s="41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</row>
    <row r="3" spans="1:71" ht="15" customHeight="1" x14ac:dyDescent="0.3">
      <c r="A3" s="16"/>
      <c r="O3" s="41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</row>
    <row r="4" spans="1:71" ht="15" customHeight="1" x14ac:dyDescent="0.3">
      <c r="A4" s="16"/>
      <c r="B4" t="s">
        <v>114</v>
      </c>
      <c r="G4" s="132" t="s">
        <v>126</v>
      </c>
      <c r="H4" s="132"/>
      <c r="I4" s="132"/>
      <c r="J4" s="132"/>
      <c r="K4" s="132"/>
      <c r="L4" s="132"/>
      <c r="M4" s="132"/>
      <c r="N4" s="132"/>
      <c r="O4" s="132"/>
      <c r="P4" s="132"/>
      <c r="Q4" s="132"/>
      <c r="AK4" s="50"/>
      <c r="AL4" s="50"/>
      <c r="AM4" s="50"/>
      <c r="AN4" s="50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</row>
    <row r="5" spans="1:71" ht="15" customHeight="1" x14ac:dyDescent="0.3">
      <c r="A5" s="16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AK5" s="50"/>
      <c r="AL5" s="50"/>
      <c r="AM5" s="50"/>
      <c r="AN5" s="50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</row>
    <row r="6" spans="1:71" ht="15" customHeight="1" thickBot="1" x14ac:dyDescent="0.35">
      <c r="A6" s="16"/>
      <c r="B6" s="103"/>
      <c r="C6" s="103"/>
      <c r="D6" s="103"/>
      <c r="E6" s="103"/>
      <c r="F6" s="10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AK6" s="50"/>
      <c r="AL6" s="50"/>
      <c r="AM6" s="50"/>
      <c r="AN6" s="50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</row>
    <row r="7" spans="1:71" ht="15" customHeight="1" x14ac:dyDescent="0.25">
      <c r="O7" s="41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</row>
    <row r="8" spans="1:71" ht="18" customHeight="1" x14ac:dyDescent="0.3">
      <c r="B8" s="104" t="s">
        <v>119</v>
      </c>
    </row>
    <row r="9" spans="1:71" ht="6" customHeight="1" x14ac:dyDescent="0.25">
      <c r="B9" s="32"/>
    </row>
    <row r="10" spans="1:71" s="20" customFormat="1" ht="25.5" customHeight="1" x14ac:dyDescent="0.25">
      <c r="B10" s="33"/>
      <c r="C10" s="105" t="s">
        <v>120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71" ht="18" customHeight="1" x14ac:dyDescent="0.25">
      <c r="C11" s="106"/>
      <c r="D11" s="22"/>
      <c r="E11" s="23" t="s">
        <v>14</v>
      </c>
      <c r="F11" s="28">
        <f>Calcs!H18</f>
        <v>5.5</v>
      </c>
      <c r="G11" s="22" t="s">
        <v>13</v>
      </c>
      <c r="H11" s="22"/>
      <c r="I11" s="22"/>
      <c r="J11" s="23" t="s">
        <v>15</v>
      </c>
      <c r="K11" s="28">
        <f>Calcs!I18</f>
        <v>-5</v>
      </c>
      <c r="L11" s="22" t="s">
        <v>13</v>
      </c>
      <c r="M11" s="22"/>
      <c r="N11" s="22"/>
      <c r="O11" s="23" t="s">
        <v>16</v>
      </c>
      <c r="P11" s="28">
        <f>Calcs!J18</f>
        <v>3</v>
      </c>
      <c r="Q11" s="22" t="s">
        <v>13</v>
      </c>
      <c r="T11" s="21"/>
    </row>
    <row r="12" spans="1:71" ht="18" customHeight="1" x14ac:dyDescent="0.25">
      <c r="B12" s="15"/>
      <c r="C12" s="107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71" ht="18" customHeight="1" x14ac:dyDescent="0.25">
      <c r="B13" s="15"/>
      <c r="C13" s="108" t="s">
        <v>91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71" ht="18" customHeight="1" x14ac:dyDescent="0.35">
      <c r="B14" s="15"/>
      <c r="C14" s="107"/>
      <c r="D14" s="22"/>
      <c r="E14" s="29" t="s">
        <v>92</v>
      </c>
      <c r="F14" s="28">
        <f>Calcs!AG17</f>
        <v>5.5</v>
      </c>
      <c r="G14" s="22" t="s">
        <v>13</v>
      </c>
      <c r="H14" s="22"/>
      <c r="I14" s="22"/>
      <c r="J14" s="29" t="s">
        <v>93</v>
      </c>
      <c r="K14" s="28">
        <f>Calcs!AH17</f>
        <v>-5</v>
      </c>
      <c r="L14" s="22" t="s">
        <v>13</v>
      </c>
      <c r="M14" s="22"/>
      <c r="N14" s="22"/>
      <c r="O14" s="29" t="s">
        <v>94</v>
      </c>
      <c r="P14" s="28">
        <f>Calcs!AI17</f>
        <v>3</v>
      </c>
      <c r="Q14" s="22" t="s">
        <v>13</v>
      </c>
    </row>
    <row r="15" spans="1:71" ht="18" customHeight="1" x14ac:dyDescent="0.25">
      <c r="B15" s="15"/>
      <c r="C15" s="107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71" s="25" customFormat="1" ht="18" customHeight="1" x14ac:dyDescent="0.25">
      <c r="B16" s="26"/>
      <c r="C16" s="108" t="s">
        <v>121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2:24" ht="18" customHeight="1" x14ac:dyDescent="0.35">
      <c r="C17" s="106"/>
      <c r="D17" s="22"/>
      <c r="E17" s="29" t="s">
        <v>17</v>
      </c>
      <c r="F17" s="134">
        <f>Calcs!E26</f>
        <v>0</v>
      </c>
      <c r="G17" s="134"/>
      <c r="J17" s="29" t="s">
        <v>18</v>
      </c>
      <c r="K17" s="134">
        <f>Calcs!I26</f>
        <v>0</v>
      </c>
      <c r="L17" s="134"/>
      <c r="O17" s="29" t="s">
        <v>19</v>
      </c>
      <c r="P17" s="134">
        <f>Calcs!M26</f>
        <v>0</v>
      </c>
      <c r="Q17" s="134"/>
    </row>
    <row r="18" spans="2:24" ht="18" customHeight="1" x14ac:dyDescent="0.25">
      <c r="C18" s="106"/>
      <c r="D18" s="22"/>
      <c r="E18" s="29"/>
      <c r="F18" s="99"/>
      <c r="G18" s="99"/>
      <c r="J18" s="29"/>
      <c r="K18" s="99"/>
      <c r="L18" s="99"/>
      <c r="O18" s="29"/>
      <c r="P18" s="99"/>
      <c r="Q18" s="99"/>
    </row>
    <row r="19" spans="2:24" ht="18" customHeight="1" x14ac:dyDescent="0.25">
      <c r="C19" s="108" t="s">
        <v>95</v>
      </c>
      <c r="D19" s="22"/>
      <c r="E19" s="29"/>
      <c r="F19" s="99"/>
      <c r="G19" s="99"/>
      <c r="J19" s="29"/>
      <c r="K19" s="99"/>
      <c r="L19" s="99"/>
      <c r="O19" s="29"/>
      <c r="P19" s="99"/>
      <c r="Q19" s="99"/>
    </row>
    <row r="20" spans="2:24" ht="18" customHeight="1" x14ac:dyDescent="0.35">
      <c r="C20" s="106"/>
      <c r="D20" s="22"/>
      <c r="E20" s="29" t="s">
        <v>17</v>
      </c>
      <c r="F20" s="134">
        <f>F17 * rot_sign_couch</f>
        <v>0</v>
      </c>
      <c r="G20" s="134"/>
      <c r="J20" s="29" t="s">
        <v>18</v>
      </c>
      <c r="K20" s="134">
        <f>K17* rot_sign_gantry</f>
        <v>0</v>
      </c>
      <c r="L20" s="134"/>
      <c r="O20" s="29" t="s">
        <v>19</v>
      </c>
      <c r="P20" s="134">
        <f>P17* rot_sign_coll</f>
        <v>0</v>
      </c>
      <c r="Q20" s="134"/>
    </row>
    <row r="21" spans="2:24" ht="18" customHeight="1" x14ac:dyDescent="0.25">
      <c r="C21" s="106"/>
      <c r="D21" s="22"/>
      <c r="E21" s="29"/>
      <c r="F21" s="99"/>
      <c r="G21" s="99"/>
      <c r="J21" s="29"/>
      <c r="K21" s="99"/>
      <c r="L21" s="99"/>
      <c r="O21" s="29"/>
      <c r="P21" s="99"/>
      <c r="Q21" s="99"/>
    </row>
    <row r="22" spans="2:24" ht="18" customHeight="1" x14ac:dyDescent="0.25">
      <c r="C22" s="108" t="s">
        <v>105</v>
      </c>
      <c r="D22" s="22"/>
      <c r="E22" s="29"/>
      <c r="F22" s="99"/>
      <c r="G22" s="99"/>
      <c r="J22" s="29"/>
      <c r="K22" s="99"/>
      <c r="L22" s="99"/>
      <c r="O22" s="29"/>
      <c r="P22" s="99"/>
      <c r="Q22" s="99"/>
    </row>
    <row r="23" spans="2:24" ht="18" customHeight="1" x14ac:dyDescent="0.35">
      <c r="C23" s="106"/>
      <c r="D23" s="22"/>
      <c r="E23" s="29" t="s">
        <v>17</v>
      </c>
      <c r="F23" s="134">
        <f>F20</f>
        <v>0</v>
      </c>
      <c r="G23" s="134"/>
      <c r="J23" s="29" t="s">
        <v>18</v>
      </c>
      <c r="K23" s="134">
        <f>-K20</f>
        <v>0</v>
      </c>
      <c r="L23" s="134"/>
      <c r="O23" s="29" t="s">
        <v>19</v>
      </c>
      <c r="P23" s="134">
        <f>-P20</f>
        <v>0</v>
      </c>
      <c r="Q23" s="134"/>
    </row>
    <row r="24" spans="2:24" ht="24" customHeight="1" x14ac:dyDescent="0.25">
      <c r="C24" s="15"/>
      <c r="D24" s="22"/>
      <c r="E24" s="29"/>
      <c r="F24" s="99"/>
      <c r="G24" s="99"/>
      <c r="J24" s="29"/>
      <c r="K24" s="99"/>
      <c r="L24" s="99"/>
      <c r="O24" s="29"/>
      <c r="P24" s="99"/>
      <c r="Q24" s="99"/>
    </row>
    <row r="25" spans="2:24" ht="18" customHeight="1" x14ac:dyDescent="0.3">
      <c r="B25" s="104" t="s">
        <v>117</v>
      </c>
      <c r="C25" s="15"/>
      <c r="D25" s="22"/>
      <c r="E25" s="29"/>
      <c r="F25" s="99"/>
      <c r="G25" s="99"/>
      <c r="J25" s="29"/>
      <c r="K25" s="99"/>
      <c r="L25" s="99"/>
      <c r="O25" s="29"/>
      <c r="P25" s="99"/>
      <c r="Q25" s="99"/>
    </row>
    <row r="26" spans="2:24" ht="6" customHeight="1" x14ac:dyDescent="0.25">
      <c r="C26" s="22"/>
    </row>
    <row r="27" spans="2:24" s="20" customFormat="1" ht="25.5" customHeight="1" x14ac:dyDescent="0.25">
      <c r="C27" s="105" t="s">
        <v>133</v>
      </c>
      <c r="D27" s="21"/>
    </row>
    <row r="28" spans="2:24" s="20" customFormat="1" ht="19.5" customHeight="1" x14ac:dyDescent="0.25">
      <c r="D28" s="20" t="s">
        <v>136</v>
      </c>
      <c r="N28" s="23" t="s">
        <v>96</v>
      </c>
      <c r="O28" s="31">
        <f>$F$14 * COS(RADIANS($F$23)) - $P$14 * SIN(RADIANS($F$23))</f>
        <v>5.5</v>
      </c>
    </row>
    <row r="29" spans="2:24" s="20" customFormat="1" ht="19.5" customHeight="1" x14ac:dyDescent="0.25">
      <c r="C29" s="109"/>
      <c r="D29" s="20" t="s">
        <v>137</v>
      </c>
      <c r="N29" s="23" t="s">
        <v>97</v>
      </c>
      <c r="O29" s="31">
        <f>Bt</f>
        <v>-5</v>
      </c>
      <c r="X29" s="100"/>
    </row>
    <row r="30" spans="2:24" s="20" customFormat="1" ht="19.5" customHeight="1" x14ac:dyDescent="0.25">
      <c r="C30" s="109"/>
      <c r="D30" s="20" t="s">
        <v>135</v>
      </c>
      <c r="N30" s="23" t="s">
        <v>98</v>
      </c>
      <c r="O30" s="31">
        <f xml:space="preserve"> $P$14 * COS(RADIANS($F$23)) + $F$14 * SIN(RADIANS($F$23))</f>
        <v>3</v>
      </c>
    </row>
    <row r="31" spans="2:24" ht="19.5" customHeight="1" x14ac:dyDescent="0.25">
      <c r="C31" s="107"/>
      <c r="N31" s="24"/>
    </row>
    <row r="32" spans="2:24" s="20" customFormat="1" ht="19.5" customHeight="1" x14ac:dyDescent="0.25">
      <c r="C32" s="105" t="s">
        <v>129</v>
      </c>
      <c r="N32" s="30"/>
    </row>
    <row r="33" spans="2:24" ht="19.5" customHeight="1" x14ac:dyDescent="0.25">
      <c r="C33" s="109"/>
      <c r="D33" s="20" t="s">
        <v>147</v>
      </c>
      <c r="H33" s="20"/>
      <c r="I33" s="20"/>
      <c r="J33" s="20"/>
      <c r="K33" s="20"/>
      <c r="M33" s="20"/>
      <c r="N33" s="23" t="s">
        <v>99</v>
      </c>
      <c r="O33" s="91">
        <f>$O$29 * -SIN(RADIANS($K$23)) + $O$28 * COS(RADIANS($K$23))</f>
        <v>5.5</v>
      </c>
    </row>
    <row r="34" spans="2:24" ht="19.5" customHeight="1" x14ac:dyDescent="0.25">
      <c r="C34" s="109"/>
      <c r="D34" s="20" t="s">
        <v>148</v>
      </c>
      <c r="H34" s="20"/>
      <c r="I34" s="20"/>
      <c r="J34" s="20"/>
      <c r="L34" s="20"/>
      <c r="M34" s="20"/>
      <c r="N34" s="23" t="s">
        <v>100</v>
      </c>
      <c r="O34" s="91">
        <f>$O$29 * COS(RADIANS($K$23)) + $O$28 * SIN(RADIANS($K$23))</f>
        <v>-5</v>
      </c>
    </row>
    <row r="35" spans="2:24" ht="19.5" customHeight="1" x14ac:dyDescent="0.25">
      <c r="D35" s="20" t="s">
        <v>130</v>
      </c>
      <c r="H35" s="20"/>
      <c r="I35" s="20"/>
      <c r="J35" s="20"/>
      <c r="K35" s="20"/>
      <c r="N35" s="23" t="s">
        <v>101</v>
      </c>
      <c r="O35" s="91">
        <f>$O$30</f>
        <v>3</v>
      </c>
    </row>
    <row r="36" spans="2:24" ht="19.5" customHeight="1" x14ac:dyDescent="0.25">
      <c r="C36" s="107"/>
      <c r="N36" s="24"/>
    </row>
    <row r="37" spans="2:24" s="20" customFormat="1" ht="19.5" customHeight="1" x14ac:dyDescent="0.25">
      <c r="C37" s="105" t="s">
        <v>134</v>
      </c>
      <c r="N37" s="30"/>
    </row>
    <row r="38" spans="2:24" ht="19.5" customHeight="1" x14ac:dyDescent="0.25">
      <c r="D38" s="20" t="s">
        <v>139</v>
      </c>
      <c r="H38" s="20"/>
      <c r="I38" s="20"/>
      <c r="J38" s="20"/>
      <c r="K38" s="20"/>
      <c r="L38" s="20"/>
      <c r="M38" s="20"/>
      <c r="N38" s="23" t="s">
        <v>102</v>
      </c>
      <c r="O38" s="90">
        <f>$O$33 * COS(RADIANS($P$23)) - $O$35 * SIN(RADIANS($P$23))</f>
        <v>5.5</v>
      </c>
    </row>
    <row r="39" spans="2:24" ht="19.5" customHeight="1" x14ac:dyDescent="0.25">
      <c r="C39" s="21"/>
      <c r="D39" s="20" t="s">
        <v>140</v>
      </c>
      <c r="H39" s="20"/>
      <c r="I39" s="20"/>
      <c r="J39" s="20"/>
      <c r="K39" s="20"/>
      <c r="L39" s="20"/>
      <c r="M39" s="20"/>
      <c r="N39" s="23" t="s">
        <v>103</v>
      </c>
      <c r="O39" s="90">
        <f>O34</f>
        <v>-5</v>
      </c>
    </row>
    <row r="40" spans="2:24" ht="19.5" customHeight="1" x14ac:dyDescent="0.25">
      <c r="C40" s="21"/>
      <c r="D40" s="20" t="s">
        <v>138</v>
      </c>
      <c r="H40" s="20"/>
      <c r="I40" s="20"/>
      <c r="J40" s="20"/>
      <c r="K40" s="20"/>
      <c r="L40" s="20"/>
      <c r="M40" s="20"/>
      <c r="N40" s="23" t="s">
        <v>104</v>
      </c>
      <c r="O40" s="90">
        <f>$O$33 * SIN(RADIANS($P$23)) + $O$35 * COS(RADIANS($P$23))</f>
        <v>3</v>
      </c>
    </row>
    <row r="41" spans="2:24" ht="19.5" customHeight="1" x14ac:dyDescent="0.25"/>
    <row r="42" spans="2:24" ht="19.5" customHeight="1" x14ac:dyDescent="0.25">
      <c r="D42" s="20" t="s">
        <v>141</v>
      </c>
      <c r="N42" s="30" t="s">
        <v>143</v>
      </c>
      <c r="O42" s="31">
        <f>$O$38 * (100 / (100 + $O$39))</f>
        <v>5.7894736842105257</v>
      </c>
    </row>
    <row r="43" spans="2:24" ht="19.5" customHeight="1" x14ac:dyDescent="0.25">
      <c r="D43" s="20" t="s">
        <v>142</v>
      </c>
      <c r="N43" s="30" t="s">
        <v>106</v>
      </c>
      <c r="O43" s="31">
        <f>$O$40 * (100 / (100 + $O$39))</f>
        <v>3.1578947368421053</v>
      </c>
    </row>
    <row r="47" spans="2:24" ht="18" customHeight="1" x14ac:dyDescent="0.3">
      <c r="B47" s="104" t="s">
        <v>118</v>
      </c>
    </row>
    <row r="48" spans="2:24" ht="18" customHeight="1" x14ac:dyDescent="0.35">
      <c r="B48" t="s">
        <v>26</v>
      </c>
      <c r="S48" s="66" t="s">
        <v>55</v>
      </c>
      <c r="T48" s="67">
        <f>Calcs!E43</f>
        <v>3</v>
      </c>
      <c r="W48" s="66" t="s">
        <v>55</v>
      </c>
      <c r="X48" s="67">
        <f>Calcs!E49</f>
        <v>3.25</v>
      </c>
    </row>
    <row r="49" spans="4:25" ht="18" customHeight="1" x14ac:dyDescent="0.25">
      <c r="S49" s="24"/>
      <c r="T49" s="35"/>
      <c r="W49" s="24"/>
      <c r="X49" s="35"/>
    </row>
    <row r="50" spans="4:25" ht="18" customHeight="1" x14ac:dyDescent="0.25">
      <c r="S50" s="24" t="s">
        <v>31</v>
      </c>
      <c r="T50" s="35">
        <f>SQRT(O42^2 + O43^2)</f>
        <v>6.5947179400745615</v>
      </c>
      <c r="W50" s="24" t="s">
        <v>31</v>
      </c>
      <c r="X50" s="35">
        <f>SQRT(O42^2 + O43^2)</f>
        <v>6.5947179400745615</v>
      </c>
    </row>
    <row r="52" spans="4:25" ht="18" customHeight="1" x14ac:dyDescent="0.35">
      <c r="D52" t="s">
        <v>28</v>
      </c>
      <c r="S52" s="24" t="s">
        <v>57</v>
      </c>
      <c r="T52" s="35">
        <f>T48</f>
        <v>3</v>
      </c>
      <c r="W52" s="24" t="s">
        <v>57</v>
      </c>
      <c r="X52" s="35">
        <f>X48</f>
        <v>3.25</v>
      </c>
    </row>
    <row r="54" spans="4:25" ht="18" customHeight="1" x14ac:dyDescent="0.35">
      <c r="D54" t="s">
        <v>27</v>
      </c>
      <c r="S54" s="24" t="s">
        <v>56</v>
      </c>
      <c r="T54" s="35">
        <f>SIGN(O42) * SQRT(T50^2 - T52^2)</f>
        <v>5.8728446862777899</v>
      </c>
      <c r="W54" s="24" t="s">
        <v>56</v>
      </c>
      <c r="X54" s="35">
        <f>SIGN(O42) * SQRT(X50^2 - X52^2)</f>
        <v>5.738275412451137</v>
      </c>
    </row>
    <row r="56" spans="4:25" ht="18" customHeight="1" x14ac:dyDescent="0.35">
      <c r="D56" t="s">
        <v>29</v>
      </c>
      <c r="S56" s="36" t="s">
        <v>58</v>
      </c>
      <c r="T56" s="35">
        <f>DEGREES( ATAN(T52/T54) ) - DEGREES( ATAN(O43/O42) )</f>
        <v>-1.5513466609989948</v>
      </c>
      <c r="W56" s="36" t="s">
        <v>58</v>
      </c>
      <c r="X56" s="35">
        <f>DEGREES( ATAN(X52/X54) ) - DEGREES( ATAN(O43/O42) )</f>
        <v>0.91555263973529932</v>
      </c>
    </row>
    <row r="57" spans="4:25" ht="18" customHeight="1" x14ac:dyDescent="0.25">
      <c r="T57" s="38"/>
      <c r="X57" s="38"/>
    </row>
    <row r="58" spans="4:25" ht="18" customHeight="1" x14ac:dyDescent="0.35">
      <c r="D58" t="s">
        <v>30</v>
      </c>
      <c r="S58" s="36" t="s">
        <v>59</v>
      </c>
      <c r="T58" s="1">
        <f>IF(Calcs!M26 - T56&lt;0, Calcs!M26 - T56 + 360, Calcs!M26 - T56)</f>
        <v>1.5513466609989948</v>
      </c>
      <c r="U58" t="s">
        <v>32</v>
      </c>
      <c r="W58" s="36" t="s">
        <v>59</v>
      </c>
      <c r="X58" s="1">
        <f>IF(Calcs!M26 - X56&lt;0, Calcs!M26 - X56 + 360, Calcs!M26 - X56)</f>
        <v>359.08444736026468</v>
      </c>
      <c r="Y58" t="s">
        <v>32</v>
      </c>
    </row>
  </sheetData>
  <mergeCells count="10">
    <mergeCell ref="G4:Q6"/>
    <mergeCell ref="F23:G23"/>
    <mergeCell ref="K23:L23"/>
    <mergeCell ref="P23:Q23"/>
    <mergeCell ref="P17:Q17"/>
    <mergeCell ref="K17:L17"/>
    <mergeCell ref="F17:G17"/>
    <mergeCell ref="F20:G20"/>
    <mergeCell ref="K20:L20"/>
    <mergeCell ref="P20:Q20"/>
  </mergeCells>
  <hyperlinks>
    <hyperlink ref="G4" r:id="rId1" display="https://doi.org/10.1002/acm2.13816" xr:uid="{7593776D-9515-49C0-B16F-F9ED4630C5A5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24"/>
  <sheetViews>
    <sheetView workbookViewId="0">
      <selection activeCell="E5" sqref="E5"/>
    </sheetView>
  </sheetViews>
  <sheetFormatPr defaultRowHeight="15" x14ac:dyDescent="0.25"/>
  <cols>
    <col min="1" max="2" width="4.7109375" customWidth="1"/>
  </cols>
  <sheetData>
    <row r="2" spans="2:14" ht="18.75" x14ac:dyDescent="0.3">
      <c r="B2" s="83" t="s">
        <v>60</v>
      </c>
    </row>
    <row r="3" spans="2:14" ht="7.5" customHeight="1" x14ac:dyDescent="0.25"/>
    <row r="4" spans="2:14" ht="15" customHeight="1" x14ac:dyDescent="0.25">
      <c r="C4" s="84" t="s">
        <v>146</v>
      </c>
    </row>
    <row r="5" spans="2:14" ht="15" customHeight="1" x14ac:dyDescent="0.25"/>
    <row r="6" spans="2:14" ht="15" customHeight="1" x14ac:dyDescent="0.25"/>
    <row r="7" spans="2:14" s="20" customFormat="1" ht="21" customHeight="1" x14ac:dyDescent="0.25">
      <c r="C7" s="89" t="s">
        <v>61</v>
      </c>
      <c r="D7" s="82" t="s">
        <v>62</v>
      </c>
      <c r="E7" s="77"/>
      <c r="F7" s="77"/>
      <c r="G7" s="77"/>
      <c r="H7" s="77"/>
      <c r="I7" s="77"/>
      <c r="J7" s="77"/>
      <c r="K7" s="77"/>
      <c r="L7" s="77"/>
      <c r="M7" s="77"/>
      <c r="N7" s="78"/>
    </row>
    <row r="8" spans="2:14" x14ac:dyDescent="0.25">
      <c r="C8" s="87" t="s">
        <v>65</v>
      </c>
      <c r="D8" s="85" t="s">
        <v>63</v>
      </c>
      <c r="N8" s="79"/>
    </row>
    <row r="9" spans="2:14" x14ac:dyDescent="0.25">
      <c r="C9" s="87">
        <v>1.1000000000000001</v>
      </c>
      <c r="D9" s="85" t="s">
        <v>64</v>
      </c>
      <c r="N9" s="79"/>
    </row>
    <row r="10" spans="2:14" x14ac:dyDescent="0.25">
      <c r="C10" s="87">
        <v>1.2</v>
      </c>
      <c r="D10" s="85" t="s">
        <v>66</v>
      </c>
      <c r="N10" s="79"/>
    </row>
    <row r="11" spans="2:14" x14ac:dyDescent="0.25">
      <c r="C11" s="87" t="s">
        <v>68</v>
      </c>
      <c r="D11" s="85" t="s">
        <v>69</v>
      </c>
      <c r="N11" s="79"/>
    </row>
    <row r="12" spans="2:14" ht="45" customHeight="1" x14ac:dyDescent="0.25">
      <c r="C12" s="110" t="s">
        <v>116</v>
      </c>
      <c r="D12" s="135" t="s">
        <v>124</v>
      </c>
      <c r="E12" s="136"/>
      <c r="F12" s="136"/>
      <c r="G12" s="136"/>
      <c r="H12" s="136"/>
      <c r="I12" s="136"/>
      <c r="J12" s="136"/>
      <c r="K12" s="136"/>
      <c r="L12" s="136"/>
      <c r="M12" s="136"/>
      <c r="N12" s="137"/>
    </row>
    <row r="13" spans="2:14" ht="15" customHeight="1" x14ac:dyDescent="0.25">
      <c r="C13" s="87" t="s">
        <v>131</v>
      </c>
      <c r="D13" s="113" t="s">
        <v>132</v>
      </c>
      <c r="E13" s="111"/>
      <c r="F13" s="111"/>
      <c r="G13" s="111"/>
      <c r="H13" s="111"/>
      <c r="I13" s="111"/>
      <c r="J13" s="111"/>
      <c r="K13" s="111"/>
      <c r="L13" s="111"/>
      <c r="M13" s="111"/>
      <c r="N13" s="112"/>
    </row>
    <row r="14" spans="2:14" x14ac:dyDescent="0.25">
      <c r="C14" s="87" t="s">
        <v>144</v>
      </c>
      <c r="D14" s="85" t="s">
        <v>145</v>
      </c>
      <c r="N14" s="79"/>
    </row>
    <row r="15" spans="2:14" x14ac:dyDescent="0.25">
      <c r="C15" s="87" t="s">
        <v>149</v>
      </c>
      <c r="D15" s="85" t="s">
        <v>150</v>
      </c>
      <c r="N15" s="79"/>
    </row>
    <row r="16" spans="2:14" x14ac:dyDescent="0.25">
      <c r="C16" s="88" t="s">
        <v>152</v>
      </c>
      <c r="D16" s="86" t="s">
        <v>153</v>
      </c>
      <c r="E16" s="80"/>
      <c r="F16" s="80"/>
      <c r="G16" s="80"/>
      <c r="H16" s="80"/>
      <c r="I16" s="80"/>
      <c r="J16" s="80"/>
      <c r="K16" s="80"/>
      <c r="L16" s="80"/>
      <c r="M16" s="80"/>
      <c r="N16" s="81"/>
    </row>
    <row r="17" spans="3:3" x14ac:dyDescent="0.25">
      <c r="C17" s="75"/>
    </row>
    <row r="18" spans="3:3" x14ac:dyDescent="0.25">
      <c r="C18" s="75"/>
    </row>
    <row r="19" spans="3:3" x14ac:dyDescent="0.25">
      <c r="C19" s="76"/>
    </row>
    <row r="20" spans="3:3" x14ac:dyDescent="0.25">
      <c r="C20" s="76"/>
    </row>
    <row r="21" spans="3:3" x14ac:dyDescent="0.25">
      <c r="C21" s="76"/>
    </row>
    <row r="22" spans="3:3" x14ac:dyDescent="0.25">
      <c r="C22" s="76"/>
    </row>
    <row r="23" spans="3:3" x14ac:dyDescent="0.25">
      <c r="C23" s="76"/>
    </row>
    <row r="24" spans="3:3" x14ac:dyDescent="0.25">
      <c r="C24" s="76"/>
    </row>
  </sheetData>
  <mergeCells count="1">
    <mergeCell ref="D12:N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Coord System</vt:lpstr>
      <vt:lpstr>Calcs</vt:lpstr>
      <vt:lpstr>Details</vt:lpstr>
      <vt:lpstr>Version History</vt:lpstr>
      <vt:lpstr>angle_sign</vt:lpstr>
      <vt:lpstr>At</vt:lpstr>
      <vt:lpstr>Bt</vt:lpstr>
      <vt:lpstr>coord_axes</vt:lpstr>
      <vt:lpstr>Ct</vt:lpstr>
      <vt:lpstr>rot_sign_coll</vt:lpstr>
      <vt:lpstr>rot_sign_couch</vt:lpstr>
      <vt:lpstr>rot_sign_gantry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Eagle, Anton L</cp:lastModifiedBy>
  <cp:lastPrinted>2022-04-11T15:56:19Z</cp:lastPrinted>
  <dcterms:created xsi:type="dcterms:W3CDTF">2022-04-08T18:45:44Z</dcterms:created>
  <dcterms:modified xsi:type="dcterms:W3CDTF">2023-10-17T20:19:42Z</dcterms:modified>
</cp:coreProperties>
</file>