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New OAWL Sheet\"/>
    </mc:Choice>
  </mc:AlternateContent>
  <xr:revisionPtr revIDLastSave="0" documentId="13_ncr:1_{D447DCC3-51A0-49F6-931F-FDB9763423AD}" xr6:coauthVersionLast="47" xr6:coauthVersionMax="47" xr10:uidLastSave="{00000000-0000-0000-0000-000000000000}"/>
  <bookViews>
    <workbookView xWindow="2670" yWindow="360" windowWidth="24225" windowHeight="16665" tabRatio="517" xr2:uid="{5D793858-2E08-460B-A8FF-38326940BF89}"/>
  </bookViews>
  <sheets>
    <sheet name="Main" sheetId="1" r:id="rId1"/>
    <sheet name="Details" sheetId="2" r:id="rId2"/>
    <sheet name="Version History" sheetId="3" r:id="rId3"/>
  </sheets>
  <definedNames>
    <definedName name="angle_sign">Main!$U$13:$U$15</definedName>
    <definedName name="sign_coll">Main!$P$15</definedName>
    <definedName name="sign_couch">Main!$P$13</definedName>
    <definedName name="sign_gantry">Main!$P$14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" i="1" l="1" a="1"/>
  <c r="P15" i="1" s="1"/>
  <c r="P13" i="2" s="1"/>
  <c r="P14" i="1" a="1"/>
  <c r="P14" i="1" s="1"/>
  <c r="K13" i="2" s="1"/>
  <c r="P13" i="1" a="1"/>
  <c r="P13" i="1" s="1"/>
  <c r="F13" i="2" s="1"/>
  <c r="F48" i="1" l="1"/>
  <c r="AC105" i="1" l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J28" i="1" l="1"/>
  <c r="P10" i="2" s="1"/>
  <c r="I28" i="1"/>
  <c r="K10" i="2" s="1"/>
  <c r="H28" i="1"/>
  <c r="F10" i="2" s="1"/>
  <c r="Q16" i="2" l="1"/>
  <c r="Q17" i="2"/>
  <c r="Q18" i="2"/>
  <c r="Q23" i="2" s="1"/>
  <c r="K28" i="1"/>
  <c r="Q21" i="2" l="1"/>
  <c r="Q22" i="2"/>
  <c r="Q27" i="2" s="1"/>
  <c r="Q26" i="2" l="1"/>
  <c r="Q32" i="2" s="1"/>
  <c r="Q28" i="2"/>
  <c r="Q33" i="2" s="1"/>
  <c r="G43" i="1" s="1"/>
  <c r="J48" i="1" s="1" a="1"/>
  <c r="J48" i="1" s="1"/>
  <c r="I48" i="1" l="1" a="1"/>
  <c r="I48" i="1" s="1"/>
  <c r="E57" i="1" s="1"/>
  <c r="Z39" i="2"/>
  <c r="D43" i="1"/>
  <c r="T39" i="2"/>
  <c r="L58" i="1" l="1"/>
  <c r="J58" i="1"/>
  <c r="E51" i="1"/>
  <c r="L52" i="1" s="1"/>
  <c r="Z37" i="2"/>
  <c r="Z41" i="2" s="1"/>
  <c r="Z43" i="2" s="1"/>
  <c r="J52" i="1" l="1"/>
  <c r="T37" i="2"/>
  <c r="T41" i="2" s="1"/>
  <c r="Z45" i="2"/>
  <c r="Z47" i="2" s="1"/>
  <c r="J59" i="1"/>
  <c r="T43" i="2" l="1"/>
  <c r="J53" i="1" s="1"/>
  <c r="J57" i="1"/>
  <c r="T45" i="2" l="1"/>
  <c r="T47" i="2" l="1"/>
  <c r="J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<sst xmlns="http://schemas.openxmlformats.org/spreadsheetml/2006/main" count="144" uniqueCount="112">
  <si>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</si>
  <si>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</si>
  <si>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</si>
  <si>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</si>
  <si>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</si>
  <si>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</si>
  <si>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</si>
  <si>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</si>
  <si>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</si>
  <si>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</si>
  <si>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</si>
  <si>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</si>
  <si>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</si>
  <si>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</si>
  <si>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</si>
  <si>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</si>
  <si>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</si>
  <si>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</si>
  <si>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</si>
  <si>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</si>
  <si>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</si>
  <si>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</si>
  <si>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</si>
  <si>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</si>
  <si>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</si>
  <si>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</si>
  <si>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</si>
  <si>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</si>
  <si>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</si>
  <si>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</si>
  <si>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</si>
  <si>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</si>
  <si>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</si>
  <si>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</si>
  <si>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</si>
  <si>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</si>
  <si>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</si>
  <si>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</si>
  <si>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</si>
  <si>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</si>
  <si>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</si>
  <si>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</si>
  <si>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</si>
  <si>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</si>
  <si>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</si>
  <si>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</si>
  <si>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</si>
  <si>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</si>
  <si>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</si>
  <si>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</si>
  <si>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</si>
  <si>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</si>
  <si>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</si>
  <si>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</si>
  <si>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</si>
  <si>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</si>
  <si>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</si>
  <si>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</si>
  <si>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</si>
  <si>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</si>
  <si>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</si>
  <si>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</si>
  <si>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</si>
  <si>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</si>
  <si>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</si>
  <si>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</si>
  <si>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</si>
  <si>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</si>
  <si>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</si>
  <si>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</si>
  <si>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</si>
  <si>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</si>
  <si>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</si>
  <si>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</si>
  <si>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</si>
  <si>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Step 1.  Specify sign of rotations.</t>
  </si>
  <si>
    <t>`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</si>
  <si>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</si>
  <si>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>( Coord. System = TPS )</t>
  </si>
  <si>
    <t>( Coord. System = BEV )</t>
  </si>
  <si>
    <t>Specify whether angular rotations are positive or negative for your Treatment Planning System.</t>
  </si>
  <si>
    <t>This can be determined empirically, or by examining the handedness of the coordinate systems.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</si>
  <si>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</si>
  <si>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</si>
  <si>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</si>
  <si>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</si>
  <si>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</si>
  <si>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</si>
  <si>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</si>
  <si>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</si>
  <si>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</si>
  <si>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Step 5.  Determine closest leaf-interfaces, and calculate needed collimator angle correction to align each leaf-interace with target.</t>
  </si>
  <si>
    <t>Note that the Collimator angle will ultimately be slightly different than desired, as we use a collimator angle correction to align MLC leaf-interfaces.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</si>
  <si>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</si>
  <si>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</si>
  <si>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</si>
  <si>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</si>
  <si>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</si>
  <si>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</si>
  <si>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</si>
  <si>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t>OAWL Calculator created by Anton Eagle, MS. DABR., Centura Health.  2022.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</si>
  <si>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</si>
  <si>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</si>
  <si>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</si>
  <si>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Version 1.3</t>
  </si>
  <si>
    <t>Off-Axis Winston-Lutz  Calculator</t>
  </si>
  <si>
    <t>Methodology described here: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</si>
  <si>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
https://doi.org/10.1002/acm2.13816</t>
    </r>
  </si>
  <si>
    <t>Coordinate Transformations</t>
  </si>
  <si>
    <t>New Collimator angle</t>
  </si>
  <si>
    <r>
      <t>Let X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Y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and Z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</si>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</sst>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19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Fill="1" applyBorder="1" applyAlignment="1">
      <alignment horizontal="right"/>
    </xf>
    <xf numFmtId="2" fontId="0" fillId="0" borderId="7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0" fillId="0" borderId="0" xfId="0" applyAlignment="1"/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6" fillId="0" borderId="0" xfId="0" applyNumberFormat="1" applyFont="1" applyAlignment="1">
      <alignment horizontal="left"/>
    </xf>
    <xf numFmtId="0" fontId="25" fillId="0" borderId="0" xfId="1" applyFont="1" applyAlignment="1">
      <alignment horizontal="left" vertical="top" wrapText="1"/>
    </xf>
    <xf numFmtId="0" fontId="25" fillId="0" borderId="0" xfId="1" applyFont="1" applyAlignment="1">
      <alignment horizontal="left" vertical="top" wrapText="1"/>
    </xf>
    <xf numFmtId="0" fontId="0" fillId="0" borderId="17" xfId="0" applyBorder="1"/>
    <xf numFmtId="0" fontId="25" fillId="0" borderId="17" xfId="1" applyFont="1" applyBorder="1" applyAlignment="1">
      <alignment horizontal="left" vertical="top" wrapText="1"/>
    </xf>
    <xf numFmtId="0" fontId="27" fillId="0" borderId="0" xfId="0" applyFont="1" applyAlignment="1">
      <alignment vertical="center"/>
    </xf>
    <xf numFmtId="0" fontId="29" fillId="0" borderId="0" xfId="0" applyFont="1"/>
    <xf numFmtId="0" fontId="30" fillId="0" borderId="0" xfId="0" applyFont="1"/>
    <xf numFmtId="0" fontId="27" fillId="0" borderId="0" xfId="0" applyFont="1" applyAlignment="1">
      <alignment vertical="top"/>
    </xf>
    <xf numFmtId="0" fontId="3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11</xdr:col>
      <xdr:colOff>95250</xdr:colOff>
      <xdr:row>15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247650</xdr:colOff>
      <xdr:row>16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11</xdr:col>
      <xdr:colOff>85725</xdr:colOff>
      <xdr:row>17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10</xdr:col>
      <xdr:colOff>180690</xdr:colOff>
      <xdr:row>25</xdr:row>
      <xdr:rowOff>200000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581650"/>
          <a:ext cx="2276190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85662</xdr:colOff>
      <xdr:row>26</xdr:row>
      <xdr:rowOff>200000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810250"/>
          <a:ext cx="504762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10</xdr:col>
      <xdr:colOff>209262</xdr:colOff>
      <xdr:row>27</xdr:row>
      <xdr:rowOff>200000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038850"/>
          <a:ext cx="2304762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10</xdr:col>
      <xdr:colOff>256881</xdr:colOff>
      <xdr:row>31</xdr:row>
      <xdr:rowOff>200000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953250"/>
          <a:ext cx="2352381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10</xdr:col>
      <xdr:colOff>218786</xdr:colOff>
      <xdr:row>32</xdr:row>
      <xdr:rowOff>200000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181850"/>
          <a:ext cx="2314286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40</xdr:row>
      <xdr:rowOff>19050</xdr:rowOff>
    </xdr:from>
    <xdr:to>
      <xdr:col>7</xdr:col>
      <xdr:colOff>171450</xdr:colOff>
      <xdr:row>41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209550</xdr:rowOff>
    </xdr:from>
    <xdr:to>
      <xdr:col>15</xdr:col>
      <xdr:colOff>266700</xdr:colOff>
      <xdr:row>46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28575</xdr:rowOff>
    </xdr:from>
    <xdr:to>
      <xdr:col>8</xdr:col>
      <xdr:colOff>190500</xdr:colOff>
      <xdr:row>47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19</xdr:row>
      <xdr:rowOff>304800</xdr:rowOff>
    </xdr:from>
    <xdr:to>
      <xdr:col>10</xdr:col>
      <xdr:colOff>114300</xdr:colOff>
      <xdr:row>21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BA043E5-AA21-49F5-AEF3-F9F1564D7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4324350"/>
          <a:ext cx="21907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10</xdr:col>
      <xdr:colOff>76200</xdr:colOff>
      <xdr:row>22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D991ED6-0953-44FD-BE44-D1FA3135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572000"/>
          <a:ext cx="21717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19050</xdr:rowOff>
    </xdr:from>
    <xdr:to>
      <xdr:col>6</xdr:col>
      <xdr:colOff>76200</xdr:colOff>
      <xdr:row>23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BBAD34D-4F5A-4679-99B9-3B71A0320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819650"/>
          <a:ext cx="4953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123825</xdr:rowOff>
    </xdr:from>
    <xdr:to>
      <xdr:col>11</xdr:col>
      <xdr:colOff>295275</xdr:colOff>
      <xdr:row>43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5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69" width="9.140625" style="42"/>
  </cols>
  <sheetData>
    <row r="1" spans="1:69" ht="23.25" x14ac:dyDescent="0.35">
      <c r="A1" s="18" t="s">
        <v>105</v>
      </c>
      <c r="N1" s="78" t="s">
        <v>104</v>
      </c>
    </row>
    <row r="2" spans="1:69" ht="9" customHeight="1" x14ac:dyDescent="0.3">
      <c r="A2" s="17"/>
    </row>
    <row r="3" spans="1:69" ht="15" customHeight="1" x14ac:dyDescent="0.3">
      <c r="A3" s="17"/>
      <c r="B3" t="s">
        <v>106</v>
      </c>
      <c r="F3" s="110" t="s">
        <v>107</v>
      </c>
      <c r="G3" s="110"/>
      <c r="H3" s="110"/>
      <c r="I3" s="110"/>
      <c r="J3" s="110"/>
      <c r="K3" s="110"/>
      <c r="L3" s="110"/>
      <c r="M3" s="110"/>
      <c r="N3" s="110"/>
    </row>
    <row r="4" spans="1:69" ht="15" customHeight="1" x14ac:dyDescent="0.3">
      <c r="A4" s="17"/>
      <c r="F4" s="110"/>
      <c r="G4" s="110"/>
      <c r="H4" s="110"/>
      <c r="I4" s="110"/>
      <c r="J4" s="110"/>
      <c r="K4" s="110"/>
      <c r="L4" s="110"/>
      <c r="M4" s="110"/>
      <c r="N4" s="110"/>
    </row>
    <row r="5" spans="1:69" ht="15" customHeight="1" x14ac:dyDescent="0.3">
      <c r="A5" s="17"/>
      <c r="F5" s="110"/>
      <c r="G5" s="110"/>
      <c r="H5" s="110"/>
      <c r="I5" s="110"/>
      <c r="J5" s="110"/>
      <c r="K5" s="110"/>
      <c r="L5" s="110"/>
      <c r="M5" s="110"/>
      <c r="N5" s="110"/>
    </row>
    <row r="6" spans="1:69" ht="15" customHeight="1" thickBot="1" x14ac:dyDescent="0.35">
      <c r="A6" s="17"/>
      <c r="F6" s="111"/>
      <c r="G6" s="111"/>
      <c r="H6" s="111"/>
      <c r="I6" s="111"/>
      <c r="J6" s="111"/>
      <c r="K6" s="111"/>
      <c r="L6" s="111"/>
      <c r="M6" s="111"/>
      <c r="N6" s="111"/>
    </row>
    <row r="7" spans="1:69" x14ac:dyDescent="0.25">
      <c r="B7" s="40" t="s">
        <v>75</v>
      </c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1:69" ht="6" customHeight="1" x14ac:dyDescent="0.25"/>
    <row r="9" spans="1:69" x14ac:dyDescent="0.25">
      <c r="C9" t="s">
        <v>80</v>
      </c>
      <c r="L9" t="s">
        <v>76</v>
      </c>
    </row>
    <row r="10" spans="1:69" x14ac:dyDescent="0.25">
      <c r="C10" t="s">
        <v>81</v>
      </c>
    </row>
    <row r="11" spans="1:69" s="61" customFormat="1" ht="45" customHeight="1" x14ac:dyDescent="0.25">
      <c r="C11" s="103" t="s">
        <v>77</v>
      </c>
      <c r="D11" s="103"/>
      <c r="E11" s="103"/>
      <c r="F11" s="103"/>
      <c r="G11" s="103"/>
      <c r="H11" s="103"/>
      <c r="I11" s="103"/>
      <c r="J11" s="103"/>
      <c r="K11" s="103"/>
      <c r="L11" s="103"/>
      <c r="M11" s="62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</row>
    <row r="12" spans="1:69" ht="6" customHeight="1" x14ac:dyDescent="0.25"/>
    <row r="13" spans="1:69" s="21" customFormat="1" ht="18" customHeight="1" x14ac:dyDescent="0.25">
      <c r="C13" s="54" t="s">
        <v>68</v>
      </c>
      <c r="D13" s="55"/>
      <c r="E13" s="68" t="s">
        <v>79</v>
      </c>
      <c r="F13" s="63"/>
      <c r="G13" s="58" t="s">
        <v>66</v>
      </c>
      <c r="H13" s="59"/>
      <c r="I13" s="59"/>
      <c r="J13" s="64"/>
      <c r="K13" s="56" t="s">
        <v>71</v>
      </c>
      <c r="L13" s="60" t="s">
        <v>73</v>
      </c>
      <c r="O13" s="67"/>
      <c r="P13" s="66" cm="1">
        <f t="array" ref="P13">INDEX($V$14:$V$15, MATCH(K13,$U$14:$U$15,0), 0)</f>
        <v>1</v>
      </c>
      <c r="Q13" s="67"/>
      <c r="R13" s="67"/>
      <c r="S13" s="67"/>
      <c r="T13" s="67"/>
      <c r="U13" s="67" t="s">
        <v>70</v>
      </c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</row>
    <row r="14" spans="1:69" s="21" customFormat="1" ht="18" customHeight="1" x14ac:dyDescent="0.25">
      <c r="C14" s="54" t="s">
        <v>67</v>
      </c>
      <c r="D14" s="55"/>
      <c r="E14" s="68" t="s">
        <v>78</v>
      </c>
      <c r="F14" s="63"/>
      <c r="G14" s="58" t="s">
        <v>82</v>
      </c>
      <c r="H14" s="59"/>
      <c r="I14" s="59"/>
      <c r="J14" s="64"/>
      <c r="K14" s="57" t="s">
        <v>72</v>
      </c>
      <c r="L14" s="60" t="s">
        <v>73</v>
      </c>
      <c r="O14" s="67"/>
      <c r="P14" s="66" cm="1">
        <f t="array" ref="P14">INDEX($V$14:$V$15, MATCH(K14,$U$14:$U$15,0), 0)</f>
        <v>-1</v>
      </c>
      <c r="Q14" s="67"/>
      <c r="R14" s="67"/>
      <c r="S14" s="67"/>
      <c r="T14" s="67"/>
      <c r="U14" s="67" t="s">
        <v>71</v>
      </c>
      <c r="V14" s="67">
        <v>1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</row>
    <row r="15" spans="1:69" s="21" customFormat="1" ht="18" customHeight="1" x14ac:dyDescent="0.25">
      <c r="C15" s="54" t="s">
        <v>69</v>
      </c>
      <c r="D15" s="55"/>
      <c r="E15" s="68" t="s">
        <v>79</v>
      </c>
      <c r="F15" s="63"/>
      <c r="G15" s="58" t="s">
        <v>74</v>
      </c>
      <c r="H15" s="59"/>
      <c r="I15" s="59"/>
      <c r="J15" s="64"/>
      <c r="K15" s="57" t="s">
        <v>72</v>
      </c>
      <c r="L15" s="60" t="s">
        <v>73</v>
      </c>
      <c r="O15" s="67"/>
      <c r="P15" s="66" cm="1">
        <f t="array" ref="P15">INDEX($V$14:$V$15, MATCH(K15,$U$14:$U$15,0), 0)</f>
        <v>-1</v>
      </c>
      <c r="Q15" s="67"/>
      <c r="R15" s="67"/>
      <c r="S15" s="67"/>
      <c r="T15" s="67"/>
      <c r="U15" s="67" t="s">
        <v>72</v>
      </c>
      <c r="V15" s="67">
        <v>-1</v>
      </c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</row>
    <row r="17" spans="2:14" ht="15.75" thickBot="1" x14ac:dyDescent="0.3"/>
    <row r="18" spans="2:14" x14ac:dyDescent="0.25">
      <c r="B18" s="40" t="s">
        <v>63</v>
      </c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2:14" ht="6" customHeight="1" x14ac:dyDescent="0.25"/>
    <row r="20" spans="2:14" ht="18" customHeight="1" x14ac:dyDescent="0.25">
      <c r="C20" t="s">
        <v>83</v>
      </c>
      <c r="H20" s="107" t="s">
        <v>9</v>
      </c>
      <c r="I20" s="107"/>
      <c r="J20" s="107"/>
      <c r="K20" s="107"/>
      <c r="L20" s="107"/>
    </row>
    <row r="21" spans="2:14" ht="18" customHeight="1" x14ac:dyDescent="0.25">
      <c r="H21" s="107"/>
      <c r="I21" s="107"/>
      <c r="J21" s="107"/>
      <c r="K21" s="107"/>
      <c r="L21" s="107"/>
    </row>
    <row r="22" spans="2:14" x14ac:dyDescent="0.25">
      <c r="C22" s="2"/>
      <c r="D22" s="104" t="s">
        <v>4</v>
      </c>
      <c r="E22" s="104"/>
      <c r="F22" s="105"/>
      <c r="H22" s="13" t="s">
        <v>6</v>
      </c>
      <c r="I22" s="11"/>
      <c r="J22" s="10">
        <v>1</v>
      </c>
    </row>
    <row r="23" spans="2:14" x14ac:dyDescent="0.25">
      <c r="C23" s="3" t="s">
        <v>0</v>
      </c>
      <c r="D23" s="4" t="s">
        <v>1</v>
      </c>
      <c r="E23" s="4" t="s">
        <v>2</v>
      </c>
      <c r="F23" s="5" t="s">
        <v>3</v>
      </c>
      <c r="H23" s="13" t="s">
        <v>7</v>
      </c>
      <c r="I23" s="11"/>
      <c r="J23" s="10">
        <v>5</v>
      </c>
    </row>
    <row r="24" spans="2:14" x14ac:dyDescent="0.25">
      <c r="C24" s="76">
        <v>1</v>
      </c>
      <c r="D24" s="72">
        <v>-2.5</v>
      </c>
      <c r="E24" s="72">
        <v>3</v>
      </c>
      <c r="F24" s="73">
        <v>-1</v>
      </c>
    </row>
    <row r="25" spans="2:14" x14ac:dyDescent="0.25">
      <c r="C25" s="76">
        <v>2</v>
      </c>
      <c r="D25" s="72">
        <v>-1.5</v>
      </c>
      <c r="E25" s="72">
        <v>1.5</v>
      </c>
      <c r="F25" s="73">
        <v>1</v>
      </c>
    </row>
    <row r="26" spans="2:14" x14ac:dyDescent="0.25">
      <c r="C26" s="76">
        <v>3</v>
      </c>
      <c r="D26" s="72">
        <v>0</v>
      </c>
      <c r="E26" s="72">
        <v>0</v>
      </c>
      <c r="F26" s="73">
        <v>0</v>
      </c>
      <c r="H26" s="106" t="s">
        <v>8</v>
      </c>
      <c r="I26" s="104"/>
      <c r="J26" s="105"/>
      <c r="K26" s="14"/>
    </row>
    <row r="27" spans="2:14" x14ac:dyDescent="0.25">
      <c r="C27" s="76">
        <v>4</v>
      </c>
      <c r="D27" s="72">
        <v>2</v>
      </c>
      <c r="E27" s="72">
        <v>-1</v>
      </c>
      <c r="F27" s="73">
        <v>-2</v>
      </c>
      <c r="H27" s="3" t="s">
        <v>1</v>
      </c>
      <c r="I27" s="9" t="s">
        <v>2</v>
      </c>
      <c r="J27" s="5" t="s">
        <v>3</v>
      </c>
      <c r="K27" s="15" t="s">
        <v>5</v>
      </c>
    </row>
    <row r="28" spans="2:14" x14ac:dyDescent="0.25">
      <c r="C28" s="77">
        <v>5</v>
      </c>
      <c r="D28" s="74">
        <v>3</v>
      </c>
      <c r="E28" s="74">
        <v>-2</v>
      </c>
      <c r="F28" s="75">
        <v>2</v>
      </c>
      <c r="H28" s="7">
        <f>VLOOKUP($J$23,$C$24:$F$28,2) - VLOOKUP($J$22,$C$24:$F$28,2)</f>
        <v>5.5</v>
      </c>
      <c r="I28" s="6">
        <f>VLOOKUP($J$23,$C$24:$F$28,3) - VLOOKUP($J$22,$C$24:$F$28,3)</f>
        <v>-5</v>
      </c>
      <c r="J28" s="6">
        <f>VLOOKUP($J$23,$C$24:$F$28,4) - VLOOKUP($J$22,$C$24:$F$28,4)</f>
        <v>3</v>
      </c>
      <c r="K28" s="8">
        <f>SQRT(H28^2 + I28^2 + J28^2)</f>
        <v>8.0156097709406993</v>
      </c>
    </row>
    <row r="30" spans="2:14" ht="15.75" thickBot="1" x14ac:dyDescent="0.3">
      <c r="F30" s="12"/>
    </row>
    <row r="31" spans="2:14" x14ac:dyDescent="0.25">
      <c r="B31" s="40" t="s">
        <v>64</v>
      </c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2:14" ht="6" customHeight="1" x14ac:dyDescent="0.25">
      <c r="B32" s="16"/>
      <c r="C32" s="16"/>
    </row>
    <row r="33" spans="2:33" ht="15" customHeight="1" x14ac:dyDescent="0.25">
      <c r="C33" s="103" t="s">
        <v>92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</row>
    <row r="34" spans="2:33" ht="15" customHeight="1" x14ac:dyDescent="0.25"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</row>
    <row r="35" spans="2:33" ht="6" customHeight="1" x14ac:dyDescent="0.25"/>
    <row r="36" spans="2:33" x14ac:dyDescent="0.25">
      <c r="C36" s="13" t="s">
        <v>10</v>
      </c>
      <c r="D36" s="19"/>
      <c r="E36" s="20">
        <v>30</v>
      </c>
      <c r="G36" s="13" t="s">
        <v>11</v>
      </c>
      <c r="H36" s="19"/>
      <c r="I36" s="20">
        <v>30</v>
      </c>
      <c r="K36" s="13" t="s">
        <v>12</v>
      </c>
      <c r="L36" s="19"/>
      <c r="M36" s="20">
        <v>30</v>
      </c>
    </row>
    <row r="38" spans="2:33" ht="15.75" thickBot="1" x14ac:dyDescent="0.3"/>
    <row r="39" spans="2:33" x14ac:dyDescent="0.25">
      <c r="B39" s="40" t="s">
        <v>65</v>
      </c>
      <c r="C39" s="40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2:33" ht="6" customHeight="1" x14ac:dyDescent="0.25"/>
    <row r="41" spans="2:33" x14ac:dyDescent="0.25">
      <c r="C41" s="35" t="s">
        <v>84</v>
      </c>
    </row>
    <row r="42" spans="2:33" ht="6" customHeight="1" x14ac:dyDescent="0.25"/>
    <row r="43" spans="2:33" ht="18" x14ac:dyDescent="0.25">
      <c r="C43" s="31" t="s">
        <v>34</v>
      </c>
      <c r="D43" s="46">
        <f>Details!Q32</f>
        <v>3.1437502472080867</v>
      </c>
      <c r="F43" s="31" t="s">
        <v>35</v>
      </c>
      <c r="G43" s="46">
        <f>Details!Q33</f>
        <v>4.7518816960270014</v>
      </c>
      <c r="N43" s="51"/>
    </row>
    <row r="45" spans="2:33" ht="15.75" thickBot="1" x14ac:dyDescent="0.3"/>
    <row r="46" spans="2:33" x14ac:dyDescent="0.25">
      <c r="B46" s="40" t="s">
        <v>91</v>
      </c>
      <c r="C46" s="40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U46" s="42" t="s">
        <v>46</v>
      </c>
      <c r="V46" s="42">
        <v>0.5</v>
      </c>
      <c r="W46" s="42">
        <v>8.5</v>
      </c>
      <c r="X46" s="42">
        <v>1</v>
      </c>
      <c r="AA46" s="42" t="s">
        <v>58</v>
      </c>
      <c r="AB46" s="53" t="s">
        <v>59</v>
      </c>
      <c r="AC46" s="52"/>
      <c r="AE46" s="42" t="s">
        <v>58</v>
      </c>
      <c r="AF46" s="42" t="s">
        <v>59</v>
      </c>
    </row>
    <row r="47" spans="2:33" x14ac:dyDescent="0.25">
      <c r="U47" s="42" t="s">
        <v>47</v>
      </c>
      <c r="V47" s="42">
        <v>0.25</v>
      </c>
      <c r="W47" s="42">
        <v>3</v>
      </c>
      <c r="X47" s="42">
        <v>0.5</v>
      </c>
      <c r="AA47" s="52">
        <v>-19</v>
      </c>
      <c r="AB47" s="52">
        <v>59</v>
      </c>
      <c r="AC47" s="52">
        <f>AB47+1</f>
        <v>60</v>
      </c>
      <c r="AE47" s="42">
        <v>-10.5</v>
      </c>
      <c r="AF47" s="42">
        <v>59</v>
      </c>
      <c r="AG47" s="42">
        <v>60</v>
      </c>
    </row>
    <row r="48" spans="2:33" x14ac:dyDescent="0.25">
      <c r="C48" s="13" t="s">
        <v>45</v>
      </c>
      <c r="D48" s="19"/>
      <c r="E48" s="20" t="s">
        <v>46</v>
      </c>
      <c r="F48" s="52">
        <f>MATCH(E48,$U$46:$U$47,0)</f>
        <v>1</v>
      </c>
      <c r="G48" s="13" t="s">
        <v>101</v>
      </c>
      <c r="H48" s="19"/>
      <c r="I48" s="47" cm="1">
        <f t="array" ref="I48">IF(OR(G43&lt;-INDEX(W46:W47,F48), G43&gt;INDEX(W46:W47,F48)), INDEX(X46:X47,F48), INDEX($V$46:$V$47,F48))</f>
        <v>0.5</v>
      </c>
      <c r="J48" s="108" t="str" cm="1">
        <f t="array" ref="J48">IF(OR(G43&lt;-INDEX(W46:W47,F48), G43&gt;INDEX(W46:W47,F48)), "Note: The calculated field falls beyond small MLC leaves, so larger leaf size is used.", "")</f>
        <v/>
      </c>
      <c r="K48" s="108"/>
      <c r="L48" s="108"/>
      <c r="M48" s="108"/>
      <c r="N48" s="108"/>
      <c r="AA48" s="52">
        <v>-18</v>
      </c>
      <c r="AB48" s="52">
        <v>58</v>
      </c>
      <c r="AC48" s="52">
        <f t="shared" ref="AC48:AC105" si="0">AB48+1</f>
        <v>59</v>
      </c>
      <c r="AE48" s="42">
        <v>-10</v>
      </c>
      <c r="AF48" s="42">
        <v>58</v>
      </c>
      <c r="AG48" s="42">
        <v>59</v>
      </c>
    </row>
    <row r="49" spans="2:33" x14ac:dyDescent="0.25">
      <c r="J49" s="108"/>
      <c r="K49" s="108"/>
      <c r="L49" s="108"/>
      <c r="M49" s="108"/>
      <c r="N49" s="108"/>
      <c r="AA49" s="52">
        <v>-17</v>
      </c>
      <c r="AB49" s="52">
        <v>57</v>
      </c>
      <c r="AC49" s="52">
        <f t="shared" si="0"/>
        <v>58</v>
      </c>
      <c r="AE49" s="42">
        <v>-9.5</v>
      </c>
      <c r="AF49" s="42">
        <v>57</v>
      </c>
      <c r="AG49" s="42">
        <v>58</v>
      </c>
    </row>
    <row r="50" spans="2:33" x14ac:dyDescent="0.25">
      <c r="AA50" s="52">
        <v>-16</v>
      </c>
      <c r="AB50" s="52">
        <v>56</v>
      </c>
      <c r="AC50" s="52">
        <f t="shared" si="0"/>
        <v>57</v>
      </c>
      <c r="AE50" s="42">
        <v>-9</v>
      </c>
      <c r="AF50" s="42">
        <v>56</v>
      </c>
      <c r="AG50" s="42">
        <v>57</v>
      </c>
    </row>
    <row r="51" spans="2:33" ht="18" x14ac:dyDescent="0.35">
      <c r="C51" s="38" t="s">
        <v>56</v>
      </c>
      <c r="D51" s="45" t="s">
        <v>85</v>
      </c>
      <c r="E51" s="46">
        <f>FLOOR($G$43/$I$48, 1) * $I$48</f>
        <v>4.5</v>
      </c>
      <c r="F51" s="43"/>
      <c r="G51" s="38" t="s">
        <v>48</v>
      </c>
      <c r="J51" s="100">
        <f>Details!T47</f>
        <v>34.345787425266344</v>
      </c>
      <c r="K51" s="101"/>
      <c r="L51" s="102"/>
      <c r="AA51" s="52">
        <v>-15</v>
      </c>
      <c r="AB51" s="52">
        <v>55</v>
      </c>
      <c r="AC51" s="52">
        <f t="shared" si="0"/>
        <v>56</v>
      </c>
      <c r="AE51" s="42">
        <v>-8.5</v>
      </c>
      <c r="AF51" s="42">
        <v>55</v>
      </c>
      <c r="AG51" s="42">
        <v>56</v>
      </c>
    </row>
    <row r="52" spans="2:33" x14ac:dyDescent="0.25">
      <c r="F52" s="44"/>
      <c r="G52" s="38" t="s">
        <v>62</v>
      </c>
      <c r="J52" s="48">
        <f>VLOOKUP(-E51, CHOOSE(F48,$AA$47:$AC$105,AE47:AG105), 2)</f>
        <v>39</v>
      </c>
      <c r="K52" s="49" t="s">
        <v>60</v>
      </c>
      <c r="L52" s="50">
        <f>VLOOKUP(-E51-I48, CHOOSE(F48,$AA$47:$AC$105,AE47:AG105), 2)</f>
        <v>40</v>
      </c>
      <c r="AA52" s="52">
        <v>-14</v>
      </c>
      <c r="AB52" s="52">
        <v>54</v>
      </c>
      <c r="AC52" s="52">
        <f t="shared" si="0"/>
        <v>55</v>
      </c>
      <c r="AE52" s="42">
        <v>-8</v>
      </c>
      <c r="AF52" s="42">
        <v>54</v>
      </c>
      <c r="AG52" s="42">
        <v>55</v>
      </c>
    </row>
    <row r="53" spans="2:33" x14ac:dyDescent="0.25">
      <c r="G53" s="38" t="s">
        <v>61</v>
      </c>
      <c r="J53" s="97">
        <f>Details!T43</f>
        <v>3.4947883011503511</v>
      </c>
      <c r="K53" s="98"/>
      <c r="L53" s="99"/>
      <c r="AA53" s="52">
        <v>-13</v>
      </c>
      <c r="AB53" s="52">
        <v>53</v>
      </c>
      <c r="AC53" s="52">
        <f t="shared" si="0"/>
        <v>54</v>
      </c>
      <c r="AE53" s="42">
        <v>-7.5</v>
      </c>
      <c r="AF53" s="42">
        <v>53</v>
      </c>
      <c r="AG53" s="42">
        <v>54</v>
      </c>
    </row>
    <row r="54" spans="2:33" x14ac:dyDescent="0.25">
      <c r="AA54" s="52">
        <v>-12</v>
      </c>
      <c r="AB54" s="52">
        <v>52</v>
      </c>
      <c r="AC54" s="52">
        <f t="shared" si="0"/>
        <v>53</v>
      </c>
      <c r="AE54" s="42">
        <v>-7</v>
      </c>
      <c r="AF54" s="42">
        <v>52</v>
      </c>
      <c r="AG54" s="42">
        <v>53</v>
      </c>
    </row>
    <row r="55" spans="2:33" x14ac:dyDescent="0.25">
      <c r="AA55" s="52">
        <v>-11</v>
      </c>
      <c r="AB55" s="52">
        <v>51</v>
      </c>
      <c r="AC55" s="52">
        <f t="shared" si="0"/>
        <v>52</v>
      </c>
      <c r="AE55" s="42">
        <v>-6.5</v>
      </c>
      <c r="AF55" s="42">
        <v>51</v>
      </c>
      <c r="AG55" s="42">
        <v>52</v>
      </c>
    </row>
    <row r="56" spans="2:33" x14ac:dyDescent="0.25">
      <c r="AA56" s="52">
        <v>-10</v>
      </c>
      <c r="AB56" s="52">
        <v>50</v>
      </c>
      <c r="AC56" s="52">
        <f t="shared" si="0"/>
        <v>51</v>
      </c>
      <c r="AE56" s="42">
        <v>-6</v>
      </c>
      <c r="AF56" s="42">
        <v>50</v>
      </c>
      <c r="AG56" s="42">
        <v>51</v>
      </c>
    </row>
    <row r="57" spans="2:33" ht="18" x14ac:dyDescent="0.35">
      <c r="C57" s="38" t="s">
        <v>57</v>
      </c>
      <c r="D57" s="45" t="s">
        <v>85</v>
      </c>
      <c r="E57" s="46">
        <f>FLOOR($G$43/$I$48, 1) * $I$48 + I48</f>
        <v>5</v>
      </c>
      <c r="G57" s="38" t="s">
        <v>48</v>
      </c>
      <c r="J57" s="100">
        <f>Details!Z47</f>
        <v>25.16391494481428</v>
      </c>
      <c r="K57" s="101"/>
      <c r="L57" s="102"/>
      <c r="AA57" s="52">
        <v>-9.5</v>
      </c>
      <c r="AB57" s="52">
        <v>49</v>
      </c>
      <c r="AC57" s="52">
        <f t="shared" si="0"/>
        <v>50</v>
      </c>
      <c r="AE57" s="42">
        <v>-5.5</v>
      </c>
      <c r="AF57" s="42">
        <v>49</v>
      </c>
      <c r="AG57" s="42">
        <v>50</v>
      </c>
    </row>
    <row r="58" spans="2:33" x14ac:dyDescent="0.25">
      <c r="G58" s="38" t="s">
        <v>62</v>
      </c>
      <c r="J58" s="48">
        <f>VLOOKUP(-E57, CHOOSE(F48,$AA$47:$AC$105,AE47:AG105), 2)</f>
        <v>40</v>
      </c>
      <c r="K58" s="49" t="s">
        <v>60</v>
      </c>
      <c r="L58" s="50">
        <f>VLOOKUP(-E57-I48, CHOOSE(F48,$AA$47:$AC$105,AE47:AG105), 2)</f>
        <v>41</v>
      </c>
      <c r="AA58" s="52">
        <v>-9</v>
      </c>
      <c r="AB58" s="52">
        <v>48</v>
      </c>
      <c r="AC58" s="52">
        <f t="shared" si="0"/>
        <v>49</v>
      </c>
      <c r="AE58" s="42">
        <v>-5</v>
      </c>
      <c r="AF58" s="42">
        <v>48</v>
      </c>
      <c r="AG58" s="42">
        <v>49</v>
      </c>
    </row>
    <row r="59" spans="2:33" x14ac:dyDescent="0.25">
      <c r="G59" s="38" t="s">
        <v>61</v>
      </c>
      <c r="J59" s="97">
        <f>Details!Z43</f>
        <v>2.731948987418571</v>
      </c>
      <c r="K59" s="98"/>
      <c r="L59" s="99"/>
      <c r="AA59" s="52">
        <v>-8.5</v>
      </c>
      <c r="AB59" s="52">
        <v>47</v>
      </c>
      <c r="AC59" s="52">
        <f t="shared" si="0"/>
        <v>48</v>
      </c>
      <c r="AE59" s="42">
        <v>-4.5</v>
      </c>
      <c r="AF59" s="42">
        <v>47</v>
      </c>
      <c r="AG59" s="42">
        <v>48</v>
      </c>
    </row>
    <row r="60" spans="2:33" x14ac:dyDescent="0.25">
      <c r="AA60" s="52">
        <v>-8</v>
      </c>
      <c r="AB60" s="52">
        <v>46</v>
      </c>
      <c r="AC60" s="52">
        <f t="shared" si="0"/>
        <v>47</v>
      </c>
      <c r="AE60" s="42">
        <v>-4</v>
      </c>
      <c r="AF60" s="42">
        <v>46</v>
      </c>
      <c r="AG60" s="42">
        <v>47</v>
      </c>
    </row>
    <row r="61" spans="2:33" ht="15.75" thickBot="1" x14ac:dyDescent="0.3">
      <c r="AA61" s="52">
        <v>-7.5</v>
      </c>
      <c r="AB61" s="52">
        <v>45</v>
      </c>
      <c r="AC61" s="52">
        <f t="shared" si="0"/>
        <v>46</v>
      </c>
      <c r="AE61" s="42">
        <v>-3.75</v>
      </c>
      <c r="AF61" s="42">
        <v>45</v>
      </c>
      <c r="AG61" s="42">
        <v>46</v>
      </c>
    </row>
    <row r="62" spans="2:33" x14ac:dyDescent="0.25">
      <c r="B62" s="40"/>
      <c r="C62" s="40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AA62" s="52">
        <v>-7</v>
      </c>
      <c r="AB62" s="52">
        <v>44</v>
      </c>
      <c r="AC62" s="52">
        <f t="shared" si="0"/>
        <v>45</v>
      </c>
      <c r="AE62" s="42">
        <v>-3.5</v>
      </c>
      <c r="AF62" s="42">
        <v>44</v>
      </c>
      <c r="AG62" s="42">
        <v>45</v>
      </c>
    </row>
    <row r="63" spans="2:33" x14ac:dyDescent="0.25">
      <c r="AA63" s="52">
        <v>-6.5</v>
      </c>
      <c r="AB63" s="52">
        <v>43</v>
      </c>
      <c r="AC63" s="52">
        <f t="shared" si="0"/>
        <v>44</v>
      </c>
      <c r="AE63" s="42">
        <v>-3.25</v>
      </c>
      <c r="AF63" s="42">
        <v>43</v>
      </c>
      <c r="AG63" s="42">
        <v>44</v>
      </c>
    </row>
    <row r="64" spans="2:33" x14ac:dyDescent="0.25">
      <c r="AA64" s="52">
        <v>-6</v>
      </c>
      <c r="AB64" s="52">
        <v>42</v>
      </c>
      <c r="AC64" s="52">
        <f t="shared" si="0"/>
        <v>43</v>
      </c>
      <c r="AE64" s="42">
        <v>-3</v>
      </c>
      <c r="AF64" s="42">
        <v>42</v>
      </c>
      <c r="AG64" s="42">
        <v>43</v>
      </c>
    </row>
    <row r="65" spans="27:33" x14ac:dyDescent="0.25">
      <c r="AA65" s="52">
        <v>-5.5</v>
      </c>
      <c r="AB65" s="52">
        <v>41</v>
      </c>
      <c r="AC65" s="52">
        <f t="shared" si="0"/>
        <v>42</v>
      </c>
      <c r="AE65" s="42">
        <v>-2.75</v>
      </c>
      <c r="AF65" s="42">
        <v>41</v>
      </c>
      <c r="AG65" s="42">
        <v>42</v>
      </c>
    </row>
    <row r="66" spans="27:33" x14ac:dyDescent="0.25">
      <c r="AA66" s="52">
        <v>-5</v>
      </c>
      <c r="AB66" s="52">
        <v>40</v>
      </c>
      <c r="AC66" s="52">
        <f t="shared" si="0"/>
        <v>41</v>
      </c>
      <c r="AE66" s="42">
        <v>-2.5</v>
      </c>
      <c r="AF66" s="42">
        <v>40</v>
      </c>
      <c r="AG66" s="42">
        <v>41</v>
      </c>
    </row>
    <row r="67" spans="27:33" x14ac:dyDescent="0.25">
      <c r="AA67" s="52">
        <v>-4.5</v>
      </c>
      <c r="AB67" s="52">
        <v>39</v>
      </c>
      <c r="AC67" s="52">
        <f t="shared" si="0"/>
        <v>40</v>
      </c>
      <c r="AE67" s="42">
        <v>-2.25</v>
      </c>
      <c r="AF67" s="42">
        <v>39</v>
      </c>
      <c r="AG67" s="42">
        <v>40</v>
      </c>
    </row>
    <row r="68" spans="27:33" x14ac:dyDescent="0.25">
      <c r="AA68" s="52">
        <v>-4</v>
      </c>
      <c r="AB68" s="52">
        <v>38</v>
      </c>
      <c r="AC68" s="52">
        <f>AB68+1</f>
        <v>39</v>
      </c>
      <c r="AE68" s="42">
        <v>-2</v>
      </c>
      <c r="AF68" s="42">
        <v>38</v>
      </c>
      <c r="AG68" s="42">
        <v>39</v>
      </c>
    </row>
    <row r="69" spans="27:33" x14ac:dyDescent="0.25">
      <c r="AA69" s="52">
        <v>-3.5</v>
      </c>
      <c r="AB69" s="52">
        <v>37</v>
      </c>
      <c r="AC69" s="52">
        <f>AB69+1</f>
        <v>38</v>
      </c>
      <c r="AE69" s="42">
        <v>-1.75</v>
      </c>
      <c r="AF69" s="42">
        <v>37</v>
      </c>
      <c r="AG69" s="42">
        <v>38</v>
      </c>
    </row>
    <row r="70" spans="27:33" x14ac:dyDescent="0.25">
      <c r="AA70" s="52">
        <v>-3</v>
      </c>
      <c r="AB70" s="52">
        <v>36</v>
      </c>
      <c r="AC70" s="52">
        <f t="shared" si="0"/>
        <v>37</v>
      </c>
      <c r="AE70" s="42">
        <v>-1.5</v>
      </c>
      <c r="AF70" s="42">
        <v>36</v>
      </c>
      <c r="AG70" s="42">
        <v>37</v>
      </c>
    </row>
    <row r="71" spans="27:33" x14ac:dyDescent="0.25">
      <c r="AA71" s="52">
        <v>-2.5</v>
      </c>
      <c r="AB71" s="52">
        <v>35</v>
      </c>
      <c r="AC71" s="52">
        <f t="shared" si="0"/>
        <v>36</v>
      </c>
      <c r="AE71" s="42">
        <v>-1.25</v>
      </c>
      <c r="AF71" s="42">
        <v>35</v>
      </c>
      <c r="AG71" s="42">
        <v>36</v>
      </c>
    </row>
    <row r="72" spans="27:33" x14ac:dyDescent="0.25">
      <c r="AA72" s="52">
        <v>-2</v>
      </c>
      <c r="AB72" s="52">
        <v>34</v>
      </c>
      <c r="AC72" s="52">
        <f t="shared" si="0"/>
        <v>35</v>
      </c>
      <c r="AE72" s="42">
        <v>-1</v>
      </c>
      <c r="AF72" s="42">
        <v>34</v>
      </c>
      <c r="AG72" s="42">
        <v>35</v>
      </c>
    </row>
    <row r="73" spans="27:33" x14ac:dyDescent="0.25">
      <c r="AA73" s="52">
        <v>-1.5</v>
      </c>
      <c r="AB73" s="52">
        <v>33</v>
      </c>
      <c r="AC73" s="52">
        <f t="shared" si="0"/>
        <v>34</v>
      </c>
      <c r="AE73" s="42">
        <v>-0.75</v>
      </c>
      <c r="AF73" s="42">
        <v>33</v>
      </c>
      <c r="AG73" s="42">
        <v>34</v>
      </c>
    </row>
    <row r="74" spans="27:33" x14ac:dyDescent="0.25">
      <c r="AA74" s="52">
        <v>-1</v>
      </c>
      <c r="AB74" s="52">
        <v>32</v>
      </c>
      <c r="AC74" s="52">
        <f t="shared" si="0"/>
        <v>33</v>
      </c>
      <c r="AE74" s="42">
        <v>-0.5</v>
      </c>
      <c r="AF74" s="42">
        <v>32</v>
      </c>
      <c r="AG74" s="42">
        <v>33</v>
      </c>
    </row>
    <row r="75" spans="27:33" x14ac:dyDescent="0.25">
      <c r="AA75" s="52">
        <v>-0.5</v>
      </c>
      <c r="AB75" s="52">
        <v>31</v>
      </c>
      <c r="AC75" s="52">
        <f t="shared" si="0"/>
        <v>32</v>
      </c>
      <c r="AE75" s="42">
        <v>-0.25</v>
      </c>
      <c r="AF75" s="42">
        <v>31</v>
      </c>
      <c r="AG75" s="42">
        <v>32</v>
      </c>
    </row>
    <row r="76" spans="27:33" x14ac:dyDescent="0.25">
      <c r="AA76" s="52">
        <v>0</v>
      </c>
      <c r="AB76" s="52">
        <v>30</v>
      </c>
      <c r="AC76" s="52">
        <f t="shared" si="0"/>
        <v>31</v>
      </c>
      <c r="AE76" s="42">
        <v>0</v>
      </c>
      <c r="AF76" s="42">
        <v>30</v>
      </c>
      <c r="AG76" s="42">
        <v>31</v>
      </c>
    </row>
    <row r="77" spans="27:33" x14ac:dyDescent="0.25">
      <c r="AA77" s="52">
        <v>0.5</v>
      </c>
      <c r="AB77" s="52">
        <v>29</v>
      </c>
      <c r="AC77" s="52">
        <f t="shared" si="0"/>
        <v>30</v>
      </c>
      <c r="AE77" s="42">
        <v>0.25</v>
      </c>
      <c r="AF77" s="42">
        <v>29</v>
      </c>
      <c r="AG77" s="42">
        <v>30</v>
      </c>
    </row>
    <row r="78" spans="27:33" x14ac:dyDescent="0.25">
      <c r="AA78" s="52">
        <v>1</v>
      </c>
      <c r="AB78" s="52">
        <v>28</v>
      </c>
      <c r="AC78" s="52">
        <f t="shared" si="0"/>
        <v>29</v>
      </c>
      <c r="AE78" s="42">
        <v>0.5</v>
      </c>
      <c r="AF78" s="42">
        <v>28</v>
      </c>
      <c r="AG78" s="42">
        <v>29</v>
      </c>
    </row>
    <row r="79" spans="27:33" x14ac:dyDescent="0.25">
      <c r="AA79" s="52">
        <v>1.5</v>
      </c>
      <c r="AB79" s="52">
        <v>27</v>
      </c>
      <c r="AC79" s="52">
        <f t="shared" si="0"/>
        <v>28</v>
      </c>
      <c r="AE79" s="42">
        <v>0.75</v>
      </c>
      <c r="AF79" s="42">
        <v>27</v>
      </c>
      <c r="AG79" s="42">
        <v>28</v>
      </c>
    </row>
    <row r="80" spans="27:33" x14ac:dyDescent="0.25">
      <c r="AA80" s="52">
        <v>2</v>
      </c>
      <c r="AB80" s="52">
        <v>26</v>
      </c>
      <c r="AC80" s="52">
        <f t="shared" si="0"/>
        <v>27</v>
      </c>
      <c r="AE80" s="42">
        <v>1</v>
      </c>
      <c r="AF80" s="42">
        <v>26</v>
      </c>
      <c r="AG80" s="42">
        <v>27</v>
      </c>
    </row>
    <row r="81" spans="27:33" x14ac:dyDescent="0.25">
      <c r="AA81" s="52">
        <v>2.5</v>
      </c>
      <c r="AB81" s="52">
        <v>25</v>
      </c>
      <c r="AC81" s="52">
        <f t="shared" si="0"/>
        <v>26</v>
      </c>
      <c r="AE81" s="42">
        <v>1.25</v>
      </c>
      <c r="AF81" s="42">
        <v>25</v>
      </c>
      <c r="AG81" s="42">
        <v>26</v>
      </c>
    </row>
    <row r="82" spans="27:33" x14ac:dyDescent="0.25">
      <c r="AA82" s="52">
        <v>3</v>
      </c>
      <c r="AB82" s="52">
        <v>24</v>
      </c>
      <c r="AC82" s="52">
        <f t="shared" si="0"/>
        <v>25</v>
      </c>
      <c r="AE82" s="42">
        <v>1.5</v>
      </c>
      <c r="AF82" s="42">
        <v>24</v>
      </c>
      <c r="AG82" s="42">
        <v>25</v>
      </c>
    </row>
    <row r="83" spans="27:33" x14ac:dyDescent="0.25">
      <c r="AA83" s="52">
        <v>3.5</v>
      </c>
      <c r="AB83" s="52">
        <v>23</v>
      </c>
      <c r="AC83" s="52">
        <f t="shared" si="0"/>
        <v>24</v>
      </c>
      <c r="AE83" s="42">
        <v>1.75</v>
      </c>
      <c r="AF83" s="42">
        <v>23</v>
      </c>
      <c r="AG83" s="42">
        <v>24</v>
      </c>
    </row>
    <row r="84" spans="27:33" x14ac:dyDescent="0.25">
      <c r="AA84" s="52">
        <v>4</v>
      </c>
      <c r="AB84" s="52">
        <v>22</v>
      </c>
      <c r="AC84" s="52">
        <f t="shared" si="0"/>
        <v>23</v>
      </c>
      <c r="AE84" s="42">
        <v>2</v>
      </c>
      <c r="AF84" s="42">
        <v>22</v>
      </c>
      <c r="AG84" s="42">
        <v>23</v>
      </c>
    </row>
    <row r="85" spans="27:33" x14ac:dyDescent="0.25">
      <c r="AA85" s="52">
        <v>4.5</v>
      </c>
      <c r="AB85" s="52">
        <v>21</v>
      </c>
      <c r="AC85" s="52">
        <f t="shared" si="0"/>
        <v>22</v>
      </c>
      <c r="AE85" s="42">
        <v>2.25</v>
      </c>
      <c r="AF85" s="42">
        <v>21</v>
      </c>
      <c r="AG85" s="42">
        <v>22</v>
      </c>
    </row>
    <row r="86" spans="27:33" x14ac:dyDescent="0.25">
      <c r="AA86" s="52">
        <v>5</v>
      </c>
      <c r="AB86" s="52">
        <v>20</v>
      </c>
      <c r="AC86" s="52">
        <f t="shared" si="0"/>
        <v>21</v>
      </c>
      <c r="AE86" s="42">
        <v>2.5</v>
      </c>
      <c r="AF86" s="42">
        <v>20</v>
      </c>
      <c r="AG86" s="42">
        <v>21</v>
      </c>
    </row>
    <row r="87" spans="27:33" x14ac:dyDescent="0.25">
      <c r="AA87" s="52">
        <v>5.5</v>
      </c>
      <c r="AB87" s="52">
        <v>19</v>
      </c>
      <c r="AC87" s="52">
        <f t="shared" si="0"/>
        <v>20</v>
      </c>
      <c r="AE87" s="42">
        <v>2.75</v>
      </c>
      <c r="AF87" s="42">
        <v>19</v>
      </c>
      <c r="AG87" s="42">
        <v>20</v>
      </c>
    </row>
    <row r="88" spans="27:33" x14ac:dyDescent="0.25">
      <c r="AA88" s="52">
        <v>6</v>
      </c>
      <c r="AB88" s="52">
        <v>18</v>
      </c>
      <c r="AC88" s="52">
        <f t="shared" si="0"/>
        <v>19</v>
      </c>
      <c r="AE88" s="42">
        <v>3</v>
      </c>
      <c r="AF88" s="42">
        <v>18</v>
      </c>
      <c r="AG88" s="42">
        <v>19</v>
      </c>
    </row>
    <row r="89" spans="27:33" x14ac:dyDescent="0.25">
      <c r="AA89" s="52">
        <v>6.5</v>
      </c>
      <c r="AB89" s="52">
        <v>17</v>
      </c>
      <c r="AC89" s="52">
        <f t="shared" si="0"/>
        <v>18</v>
      </c>
      <c r="AE89" s="42">
        <v>3.25</v>
      </c>
      <c r="AF89" s="42">
        <v>17</v>
      </c>
      <c r="AG89" s="42">
        <v>18</v>
      </c>
    </row>
    <row r="90" spans="27:33" x14ac:dyDescent="0.25">
      <c r="AA90" s="52">
        <v>7</v>
      </c>
      <c r="AB90" s="52">
        <v>16</v>
      </c>
      <c r="AC90" s="52">
        <f t="shared" si="0"/>
        <v>17</v>
      </c>
      <c r="AE90" s="42">
        <v>3.5</v>
      </c>
      <c r="AF90" s="42">
        <v>16</v>
      </c>
      <c r="AG90" s="42">
        <v>17</v>
      </c>
    </row>
    <row r="91" spans="27:33" x14ac:dyDescent="0.25">
      <c r="AA91" s="52">
        <v>7.5</v>
      </c>
      <c r="AB91" s="52">
        <v>15</v>
      </c>
      <c r="AC91" s="52">
        <f t="shared" si="0"/>
        <v>16</v>
      </c>
      <c r="AE91" s="42">
        <v>3.75</v>
      </c>
      <c r="AF91" s="42">
        <v>15</v>
      </c>
      <c r="AG91" s="42">
        <v>16</v>
      </c>
    </row>
    <row r="92" spans="27:33" x14ac:dyDescent="0.25">
      <c r="AA92" s="52">
        <v>8</v>
      </c>
      <c r="AB92" s="52">
        <v>14</v>
      </c>
      <c r="AC92" s="52">
        <f t="shared" si="0"/>
        <v>15</v>
      </c>
      <c r="AE92" s="42">
        <v>4</v>
      </c>
      <c r="AF92" s="42">
        <v>14</v>
      </c>
      <c r="AG92" s="42">
        <v>15</v>
      </c>
    </row>
    <row r="93" spans="27:33" x14ac:dyDescent="0.25">
      <c r="AA93" s="52">
        <v>8.5</v>
      </c>
      <c r="AB93" s="52">
        <v>13</v>
      </c>
      <c r="AC93" s="52">
        <f t="shared" si="0"/>
        <v>14</v>
      </c>
      <c r="AE93" s="42">
        <v>4.5</v>
      </c>
      <c r="AF93" s="42">
        <v>13</v>
      </c>
      <c r="AG93" s="42">
        <v>14</v>
      </c>
    </row>
    <row r="94" spans="27:33" x14ac:dyDescent="0.25">
      <c r="AA94" s="52">
        <v>9</v>
      </c>
      <c r="AB94" s="52">
        <v>12</v>
      </c>
      <c r="AC94" s="52">
        <f t="shared" si="0"/>
        <v>13</v>
      </c>
      <c r="AE94" s="42">
        <v>5</v>
      </c>
      <c r="AF94" s="42">
        <v>12</v>
      </c>
      <c r="AG94" s="42">
        <v>13</v>
      </c>
    </row>
    <row r="95" spans="27:33" x14ac:dyDescent="0.25">
      <c r="AA95" s="52">
        <v>9.5</v>
      </c>
      <c r="AB95" s="52">
        <v>11</v>
      </c>
      <c r="AC95" s="52">
        <f t="shared" si="0"/>
        <v>12</v>
      </c>
      <c r="AE95" s="42">
        <v>5.5</v>
      </c>
      <c r="AF95" s="42">
        <v>11</v>
      </c>
      <c r="AG95" s="42">
        <v>12</v>
      </c>
    </row>
    <row r="96" spans="27:33" x14ac:dyDescent="0.25">
      <c r="AA96" s="52">
        <v>10</v>
      </c>
      <c r="AB96" s="52">
        <v>10</v>
      </c>
      <c r="AC96" s="52">
        <f t="shared" si="0"/>
        <v>11</v>
      </c>
      <c r="AE96" s="42">
        <v>6</v>
      </c>
      <c r="AF96" s="42">
        <v>10</v>
      </c>
      <c r="AG96" s="42">
        <v>11</v>
      </c>
    </row>
    <row r="97" spans="27:33" x14ac:dyDescent="0.25">
      <c r="AA97" s="52">
        <v>11</v>
      </c>
      <c r="AB97" s="52">
        <v>9</v>
      </c>
      <c r="AC97" s="52">
        <f t="shared" si="0"/>
        <v>10</v>
      </c>
      <c r="AE97" s="42">
        <v>6.5</v>
      </c>
      <c r="AF97" s="42">
        <v>9</v>
      </c>
      <c r="AG97" s="42">
        <v>10</v>
      </c>
    </row>
    <row r="98" spans="27:33" x14ac:dyDescent="0.25">
      <c r="AA98" s="52">
        <v>12</v>
      </c>
      <c r="AB98" s="52">
        <v>8</v>
      </c>
      <c r="AC98" s="52">
        <f t="shared" si="0"/>
        <v>9</v>
      </c>
      <c r="AE98" s="42">
        <v>7</v>
      </c>
      <c r="AF98" s="42">
        <v>8</v>
      </c>
      <c r="AG98" s="42">
        <v>9</v>
      </c>
    </row>
    <row r="99" spans="27:33" x14ac:dyDescent="0.25">
      <c r="AA99" s="52">
        <v>13</v>
      </c>
      <c r="AB99" s="52">
        <v>7</v>
      </c>
      <c r="AC99" s="52">
        <f t="shared" si="0"/>
        <v>8</v>
      </c>
      <c r="AE99" s="42">
        <v>7.5</v>
      </c>
      <c r="AF99" s="42">
        <v>7</v>
      </c>
      <c r="AG99" s="42">
        <v>8</v>
      </c>
    </row>
    <row r="100" spans="27:33" x14ac:dyDescent="0.25">
      <c r="AA100" s="52">
        <v>14</v>
      </c>
      <c r="AB100" s="52">
        <v>6</v>
      </c>
      <c r="AC100" s="52">
        <f t="shared" si="0"/>
        <v>7</v>
      </c>
      <c r="AE100" s="42">
        <v>8</v>
      </c>
      <c r="AF100" s="42">
        <v>6</v>
      </c>
      <c r="AG100" s="42">
        <v>7</v>
      </c>
    </row>
    <row r="101" spans="27:33" x14ac:dyDescent="0.25">
      <c r="AA101" s="52">
        <v>15</v>
      </c>
      <c r="AB101" s="52">
        <v>5</v>
      </c>
      <c r="AC101" s="52">
        <f t="shared" si="0"/>
        <v>6</v>
      </c>
      <c r="AE101" s="42">
        <v>8.5</v>
      </c>
      <c r="AF101" s="42">
        <v>5</v>
      </c>
      <c r="AG101" s="42">
        <v>6</v>
      </c>
    </row>
    <row r="102" spans="27:33" x14ac:dyDescent="0.25">
      <c r="AA102" s="52">
        <v>16</v>
      </c>
      <c r="AB102" s="52">
        <v>4</v>
      </c>
      <c r="AC102" s="52">
        <f t="shared" si="0"/>
        <v>5</v>
      </c>
      <c r="AE102" s="42">
        <v>9</v>
      </c>
      <c r="AF102" s="42">
        <v>4</v>
      </c>
      <c r="AG102" s="42">
        <v>5</v>
      </c>
    </row>
    <row r="103" spans="27:33" x14ac:dyDescent="0.25">
      <c r="AA103" s="52">
        <v>17</v>
      </c>
      <c r="AB103" s="52">
        <v>3</v>
      </c>
      <c r="AC103" s="52">
        <f t="shared" si="0"/>
        <v>4</v>
      </c>
      <c r="AE103" s="42">
        <v>9.5</v>
      </c>
      <c r="AF103" s="42">
        <v>3</v>
      </c>
      <c r="AG103" s="42">
        <v>4</v>
      </c>
    </row>
    <row r="104" spans="27:33" x14ac:dyDescent="0.25">
      <c r="AA104" s="52">
        <v>18</v>
      </c>
      <c r="AB104" s="52">
        <v>2</v>
      </c>
      <c r="AC104" s="52">
        <f t="shared" si="0"/>
        <v>3</v>
      </c>
      <c r="AE104" s="42">
        <v>10</v>
      </c>
      <c r="AF104" s="42">
        <v>2</v>
      </c>
      <c r="AG104" s="42">
        <v>3</v>
      </c>
    </row>
    <row r="105" spans="27:33" x14ac:dyDescent="0.25">
      <c r="AA105" s="52">
        <v>19</v>
      </c>
      <c r="AB105" s="52">
        <v>1</v>
      </c>
      <c r="AC105" s="52">
        <f t="shared" si="0"/>
        <v>2</v>
      </c>
      <c r="AE105" s="42">
        <v>10.5</v>
      </c>
      <c r="AF105" s="42">
        <v>1</v>
      </c>
      <c r="AG105" s="42">
        <v>2</v>
      </c>
    </row>
  </sheetData>
  <mergeCells count="11">
    <mergeCell ref="F3:N5"/>
    <mergeCell ref="C11:L11"/>
    <mergeCell ref="H20:L21"/>
    <mergeCell ref="J48:N49"/>
    <mergeCell ref="J51:L51"/>
    <mergeCell ref="J53:L53"/>
    <mergeCell ref="J59:L59"/>
    <mergeCell ref="J57:L57"/>
    <mergeCell ref="C33:M34"/>
    <mergeCell ref="D22:F22"/>
    <mergeCell ref="H26:J26"/>
  </mergeCells>
  <dataValidations count="3">
    <dataValidation type="list" allowBlank="1" showInputMessage="1" showErrorMessage="1" sqref="J22:J23" xr:uid="{BAA0756A-0B38-4BAA-8DD5-5131E212CD8F}">
      <formula1>$C$24:$C$28</formula1>
    </dataValidation>
    <dataValidation type="list" allowBlank="1" showInputMessage="1" showErrorMessage="1" sqref="E48" xr:uid="{51D63A7E-C46C-44B5-A25C-21B62FC2AD10}">
      <formula1>$U$46:$U$47</formula1>
    </dataValidation>
    <dataValidation type="list" allowBlank="1" showInputMessage="1" showErrorMessage="1" sqref="K13:K15" xr:uid="{C2674198-F3C0-4F35-BF03-EC50036DC426}">
      <formula1>angle_sign</formula1>
    </dataValidation>
  </dataValidations>
  <hyperlinks>
    <hyperlink ref="F3" r:id="rId1" display="https://doi.org/10.1002/acm2.13816" xr:uid="{FD3F7197-889E-4017-87C1-E17A6D8A25FF}"/>
  </hyperlinks>
  <pageMargins left="0.7" right="0.7" top="0.75" bottom="0.75" header="0.3" footer="0.3"/>
  <pageSetup scale="75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BS47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7" width="6.28515625" customWidth="1"/>
  </cols>
  <sheetData>
    <row r="1" spans="1:71" ht="23.25" x14ac:dyDescent="0.35">
      <c r="A1" s="18" t="s">
        <v>105</v>
      </c>
      <c r="O1" s="42"/>
      <c r="P1" s="42"/>
      <c r="Q1" s="78" t="s">
        <v>104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</row>
    <row r="2" spans="1:71" ht="9" customHeight="1" x14ac:dyDescent="0.3">
      <c r="A2" s="17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</row>
    <row r="3" spans="1:71" ht="15.75" customHeight="1" x14ac:dyDescent="0.3">
      <c r="A3" s="17"/>
      <c r="B3" t="s">
        <v>106</v>
      </c>
      <c r="G3" s="110" t="s">
        <v>107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</row>
    <row r="4" spans="1:71" ht="15.75" customHeight="1" x14ac:dyDescent="0.3">
      <c r="A4" s="17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</row>
    <row r="5" spans="1:71" ht="15.75" customHeight="1" x14ac:dyDescent="0.3">
      <c r="A5" s="17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</row>
    <row r="6" spans="1:71" ht="15.75" customHeight="1" thickBot="1" x14ac:dyDescent="0.35">
      <c r="A6" s="17"/>
      <c r="B6" s="112"/>
      <c r="C6" s="112"/>
      <c r="D6" s="112"/>
      <c r="E6" s="112"/>
      <c r="F6" s="112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</row>
    <row r="7" spans="1:71" ht="15" customHeight="1" x14ac:dyDescent="0.25">
      <c r="B7" s="33" t="s">
        <v>108</v>
      </c>
    </row>
    <row r="9" spans="1:71" s="21" customFormat="1" ht="25.5" customHeight="1" x14ac:dyDescent="0.25">
      <c r="B9" s="34"/>
      <c r="C9" s="114" t="s">
        <v>110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71" ht="18" customHeight="1" x14ac:dyDescent="0.25">
      <c r="C10" s="115"/>
      <c r="D10" s="23"/>
      <c r="E10" s="24" t="s">
        <v>17</v>
      </c>
      <c r="F10" s="29">
        <f>Main!H28</f>
        <v>5.5</v>
      </c>
      <c r="G10" s="23" t="s">
        <v>16</v>
      </c>
      <c r="H10" s="23"/>
      <c r="I10" s="23"/>
      <c r="J10" s="24" t="s">
        <v>18</v>
      </c>
      <c r="K10" s="29">
        <f>Main!I28</f>
        <v>-5</v>
      </c>
      <c r="L10" s="23" t="s">
        <v>16</v>
      </c>
      <c r="M10" s="23"/>
      <c r="N10" s="23"/>
      <c r="O10" s="24" t="s">
        <v>19</v>
      </c>
      <c r="P10" s="29">
        <f>Main!J28</f>
        <v>3</v>
      </c>
      <c r="Q10" s="23" t="s">
        <v>16</v>
      </c>
      <c r="T10" s="22"/>
    </row>
    <row r="11" spans="1:71" ht="18" customHeight="1" x14ac:dyDescent="0.25">
      <c r="B11" s="16"/>
      <c r="C11" s="116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71" s="26" customFormat="1" ht="18" customHeight="1" x14ac:dyDescent="0.25">
      <c r="B12" s="27"/>
      <c r="C12" s="117" t="s">
        <v>111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71" ht="18" customHeight="1" x14ac:dyDescent="0.35">
      <c r="C13" s="115"/>
      <c r="D13" s="23"/>
      <c r="E13" s="30" t="s">
        <v>31</v>
      </c>
      <c r="F13" s="109">
        <f>Main!E36 * sign_couch</f>
        <v>30</v>
      </c>
      <c r="G13" s="109"/>
      <c r="J13" s="30" t="s">
        <v>32</v>
      </c>
      <c r="K13" s="109">
        <f>Main!I36 * sign_gantry</f>
        <v>-30</v>
      </c>
      <c r="L13" s="109"/>
      <c r="O13" s="30" t="s">
        <v>33</v>
      </c>
      <c r="P13" s="109">
        <f>Main!M36 * sign_coll</f>
        <v>-30</v>
      </c>
      <c r="Q13" s="109"/>
    </row>
    <row r="14" spans="1:71" ht="18" customHeight="1" x14ac:dyDescent="0.25">
      <c r="B14" s="16"/>
      <c r="C14" s="116"/>
    </row>
    <row r="15" spans="1:71" s="21" customFormat="1" ht="25.5" customHeight="1" x14ac:dyDescent="0.25">
      <c r="C15" s="114" t="s">
        <v>20</v>
      </c>
      <c r="D15" s="22"/>
    </row>
    <row r="16" spans="1:71" s="21" customFormat="1" ht="19.5" customHeight="1" x14ac:dyDescent="0.25">
      <c r="C16" s="118"/>
      <c r="D16" s="22" t="s">
        <v>13</v>
      </c>
      <c r="P16" s="24" t="s">
        <v>44</v>
      </c>
      <c r="Q16" s="94">
        <f>$F$10 * COS(RADIANS($F$13)) - $P$10 * SIN(RADIANS($F$13))</f>
        <v>3.2631397208144133</v>
      </c>
      <c r="S16"/>
    </row>
    <row r="17" spans="3:17" s="21" customFormat="1" ht="19.5" customHeight="1" x14ac:dyDescent="0.25">
      <c r="C17" s="118"/>
      <c r="D17" s="22" t="s">
        <v>14</v>
      </c>
      <c r="P17" s="24" t="s">
        <v>43</v>
      </c>
      <c r="Q17" s="94">
        <f>$K$10</f>
        <v>-5</v>
      </c>
    </row>
    <row r="18" spans="3:17" s="21" customFormat="1" ht="19.5" customHeight="1" x14ac:dyDescent="0.25">
      <c r="C18" s="118"/>
      <c r="D18" s="22" t="s">
        <v>15</v>
      </c>
      <c r="P18" s="24" t="s">
        <v>42</v>
      </c>
      <c r="Q18" s="94">
        <f>$F$10 * SIN(RADIANS($F$13)) + $P$10 * COS(RADIANS($F$13))</f>
        <v>5.348076211353316</v>
      </c>
    </row>
    <row r="19" spans="3:17" ht="19.5" customHeight="1" x14ac:dyDescent="0.25">
      <c r="C19" s="116"/>
      <c r="D19" s="23"/>
      <c r="P19" s="25"/>
      <c r="Q19" s="95"/>
    </row>
    <row r="20" spans="3:17" s="21" customFormat="1" ht="19.5" customHeight="1" x14ac:dyDescent="0.25">
      <c r="C20" s="114" t="s">
        <v>21</v>
      </c>
      <c r="D20" s="22"/>
      <c r="P20" s="31"/>
      <c r="Q20" s="32"/>
    </row>
    <row r="21" spans="3:17" ht="19.5" customHeight="1" x14ac:dyDescent="0.25">
      <c r="C21" s="118"/>
      <c r="D21" s="22" t="s">
        <v>22</v>
      </c>
      <c r="E21" s="21"/>
      <c r="G21" s="21"/>
      <c r="H21" s="21"/>
      <c r="I21" s="21"/>
      <c r="J21" s="21"/>
      <c r="K21" s="21"/>
      <c r="N21" s="21"/>
      <c r="P21" s="24" t="s">
        <v>41</v>
      </c>
      <c r="Q21" s="94">
        <f>$Q$16 * COS(RADIANS($K$13)) - $Q$17 * SIN(RADIANS($K$13))</f>
        <v>0.32596189432334333</v>
      </c>
    </row>
    <row r="22" spans="3:17" ht="19.5" customHeight="1" x14ac:dyDescent="0.25">
      <c r="C22" s="118"/>
      <c r="D22" s="22" t="s">
        <v>23</v>
      </c>
      <c r="E22" s="21"/>
      <c r="G22" s="21"/>
      <c r="H22" s="21"/>
      <c r="I22" s="21"/>
      <c r="J22" s="21"/>
      <c r="K22" s="21"/>
      <c r="M22" s="21"/>
      <c r="N22" s="21"/>
      <c r="P22" s="24" t="s">
        <v>40</v>
      </c>
      <c r="Q22" s="94">
        <f>$Q$16 * SIN(RADIANS($K$13)) + $Q$17 * COS(RADIANS($K$13))</f>
        <v>-5.9616968793294003</v>
      </c>
    </row>
    <row r="23" spans="3:17" ht="19.5" customHeight="1" x14ac:dyDescent="0.25">
      <c r="C23" s="118"/>
      <c r="D23" s="22" t="s">
        <v>24</v>
      </c>
      <c r="E23" s="21"/>
      <c r="G23" s="21"/>
      <c r="H23" s="21"/>
      <c r="I23" s="21"/>
      <c r="J23" s="21"/>
      <c r="L23" s="21"/>
      <c r="M23" s="21"/>
      <c r="N23" s="21"/>
      <c r="P23" s="24" t="s">
        <v>39</v>
      </c>
      <c r="Q23" s="94">
        <f>$Q$18</f>
        <v>5.348076211353316</v>
      </c>
    </row>
    <row r="24" spans="3:17" ht="19.5" customHeight="1" x14ac:dyDescent="0.25">
      <c r="C24" s="116"/>
      <c r="D24" s="23"/>
      <c r="P24" s="25"/>
      <c r="Q24" s="95"/>
    </row>
    <row r="25" spans="3:17" s="21" customFormat="1" ht="19.5" customHeight="1" x14ac:dyDescent="0.25">
      <c r="C25" s="114" t="s">
        <v>25</v>
      </c>
      <c r="D25" s="22"/>
      <c r="P25" s="31"/>
      <c r="Q25" s="32"/>
    </row>
    <row r="26" spans="3:17" ht="19.5" customHeight="1" x14ac:dyDescent="0.25">
      <c r="C26" s="22"/>
      <c r="D26" s="22" t="s">
        <v>26</v>
      </c>
      <c r="E26" s="21"/>
      <c r="G26" s="21"/>
      <c r="H26" s="21"/>
      <c r="I26" s="21"/>
      <c r="J26" s="21"/>
      <c r="K26" s="21"/>
      <c r="L26" s="21"/>
      <c r="M26" s="21"/>
      <c r="N26" s="21"/>
      <c r="P26" s="24" t="s">
        <v>38</v>
      </c>
      <c r="Q26" s="94">
        <f>$Q$21 * COS(RADIANS($P$13)) - $Q$23 * SIN(RADIANS($P$13))</f>
        <v>2.9563293868263716</v>
      </c>
    </row>
    <row r="27" spans="3:17" ht="19.5" customHeight="1" x14ac:dyDescent="0.25">
      <c r="C27" s="22"/>
      <c r="D27" s="22" t="s">
        <v>27</v>
      </c>
      <c r="E27" s="21"/>
      <c r="G27" s="21"/>
      <c r="H27" s="21"/>
      <c r="I27" s="21"/>
      <c r="J27" s="21"/>
      <c r="K27" s="21"/>
      <c r="L27" s="21"/>
      <c r="M27" s="21"/>
      <c r="N27" s="21"/>
      <c r="P27" s="24" t="s">
        <v>37</v>
      </c>
      <c r="Q27" s="94">
        <f>$Q$22</f>
        <v>-5.9616968793294003</v>
      </c>
    </row>
    <row r="28" spans="3:17" ht="19.5" customHeight="1" x14ac:dyDescent="0.25">
      <c r="C28" s="22"/>
      <c r="D28" s="22" t="s">
        <v>28</v>
      </c>
      <c r="E28" s="21"/>
      <c r="G28" s="21"/>
      <c r="H28" s="21"/>
      <c r="I28" s="21"/>
      <c r="J28" s="21"/>
      <c r="K28" s="21"/>
      <c r="L28" s="21"/>
      <c r="M28" s="21"/>
      <c r="N28" s="21"/>
      <c r="P28" s="24" t="s">
        <v>36</v>
      </c>
      <c r="Q28" s="94">
        <f>$Q$21 * SIN(RADIANS($P$13)) + $Q$23 * COS(RADIANS($P$13))</f>
        <v>4.4685889132455348</v>
      </c>
    </row>
    <row r="29" spans="3:17" ht="19.5" customHeight="1" x14ac:dyDescent="0.25"/>
    <row r="30" spans="3:17" ht="19.5" customHeight="1" x14ac:dyDescent="0.25"/>
    <row r="31" spans="3:17" ht="19.5" customHeight="1" x14ac:dyDescent="0.25"/>
    <row r="32" spans="3:17" ht="19.5" customHeight="1" x14ac:dyDescent="0.25">
      <c r="D32" s="22" t="s">
        <v>29</v>
      </c>
      <c r="P32" s="31" t="s">
        <v>34</v>
      </c>
      <c r="Q32" s="32">
        <f>$Q$26 * (100 / (100+$Q$27))</f>
        <v>3.1437502472080867</v>
      </c>
    </row>
    <row r="33" spans="2:27" ht="19.5" customHeight="1" x14ac:dyDescent="0.25">
      <c r="D33" s="22" t="s">
        <v>30</v>
      </c>
      <c r="P33" s="31" t="s">
        <v>35</v>
      </c>
      <c r="Q33" s="32">
        <f>$Q$28 * (100 / (100+$Q$27))</f>
        <v>4.7518816960270014</v>
      </c>
    </row>
    <row r="36" spans="2:27" ht="18" customHeight="1" x14ac:dyDescent="0.25">
      <c r="B36" s="33" t="s">
        <v>109</v>
      </c>
    </row>
    <row r="37" spans="2:27" ht="18" customHeight="1" x14ac:dyDescent="0.35">
      <c r="B37" t="s">
        <v>49</v>
      </c>
      <c r="S37" s="70" t="s">
        <v>86</v>
      </c>
      <c r="T37" s="71">
        <f>Main!E51</f>
        <v>4.5</v>
      </c>
      <c r="U37" s="69"/>
      <c r="V37" s="69"/>
      <c r="W37" s="69"/>
      <c r="Y37" s="70" t="s">
        <v>86</v>
      </c>
      <c r="Z37" s="71">
        <f>Main!E57</f>
        <v>5</v>
      </c>
      <c r="AA37" s="69"/>
    </row>
    <row r="38" spans="2:27" ht="18" customHeight="1" x14ac:dyDescent="0.25">
      <c r="S38" s="25"/>
      <c r="T38" s="36"/>
      <c r="Y38" s="25"/>
      <c r="Z38" s="36"/>
    </row>
    <row r="39" spans="2:27" ht="18" customHeight="1" x14ac:dyDescent="0.25">
      <c r="S39" s="25" t="s">
        <v>54</v>
      </c>
      <c r="T39" s="36">
        <f>SQRT(Q32^2 + Q33^2)</f>
        <v>5.6976789370635261</v>
      </c>
      <c r="Y39" s="25" t="s">
        <v>54</v>
      </c>
      <c r="Z39" s="36">
        <f>SQRT(Q32^2 + Q33^2)</f>
        <v>5.6976789370635261</v>
      </c>
    </row>
    <row r="41" spans="2:27" ht="18" customHeight="1" x14ac:dyDescent="0.35">
      <c r="D41" s="96" t="s">
        <v>51</v>
      </c>
      <c r="S41" s="25" t="s">
        <v>88</v>
      </c>
      <c r="T41" s="36">
        <f>T37</f>
        <v>4.5</v>
      </c>
      <c r="Y41" s="25" t="s">
        <v>88</v>
      </c>
      <c r="Z41" s="36">
        <f>Z37</f>
        <v>5</v>
      </c>
    </row>
    <row r="42" spans="2:27" ht="18" customHeight="1" x14ac:dyDescent="0.25">
      <c r="D42" s="96"/>
    </row>
    <row r="43" spans="2:27" ht="18" customHeight="1" x14ac:dyDescent="0.35">
      <c r="D43" s="96" t="s">
        <v>50</v>
      </c>
      <c r="S43" s="25" t="s">
        <v>87</v>
      </c>
      <c r="T43" s="36">
        <f>SIGN(Q32) * SQRT(T39^2 - T41^2)</f>
        <v>3.4947883011503511</v>
      </c>
      <c r="Y43" s="25" t="s">
        <v>87</v>
      </c>
      <c r="Z43" s="36">
        <f>SIGN(Q32) * SQRT(Z39^2 - Z41^2)</f>
        <v>2.731948987418571</v>
      </c>
    </row>
    <row r="44" spans="2:27" ht="18" customHeight="1" x14ac:dyDescent="0.25">
      <c r="D44" s="96"/>
    </row>
    <row r="45" spans="2:27" ht="18" customHeight="1" x14ac:dyDescent="0.35">
      <c r="D45" s="96" t="s">
        <v>52</v>
      </c>
      <c r="S45" s="37" t="s">
        <v>89</v>
      </c>
      <c r="T45" s="36">
        <f>DEGREES( ATAN(T41/T43) ) - DEGREES( ATAN(Q33/Q32) )</f>
        <v>-4.3457874252663444</v>
      </c>
      <c r="Y45" s="37" t="s">
        <v>89</v>
      </c>
      <c r="Z45" s="36">
        <f>DEGREES( ATAN(Z41/Z43) ) - DEGREES( ATAN(Q33/Q32) )</f>
        <v>4.8360850551857197</v>
      </c>
    </row>
    <row r="46" spans="2:27" ht="18" customHeight="1" x14ac:dyDescent="0.25">
      <c r="D46" s="96"/>
      <c r="T46" s="39"/>
      <c r="Z46" s="39"/>
    </row>
    <row r="47" spans="2:27" ht="18" customHeight="1" x14ac:dyDescent="0.35">
      <c r="D47" s="96" t="s">
        <v>53</v>
      </c>
      <c r="S47" s="37" t="s">
        <v>90</v>
      </c>
      <c r="T47" s="1">
        <f>IF(Main!M36 - T45&lt;0, Main!M36 - T45 + 360, Main!M36 - T45)</f>
        <v>34.345787425266344</v>
      </c>
      <c r="U47" t="s">
        <v>55</v>
      </c>
      <c r="Y47" s="37" t="s">
        <v>90</v>
      </c>
      <c r="Z47" s="1">
        <f>IF(Main!M36 - Z45&lt;0, Main!M36 - Z45 + 360, Main!M36 - Z45)</f>
        <v>25.16391494481428</v>
      </c>
      <c r="AA47" t="s">
        <v>55</v>
      </c>
    </row>
  </sheetData>
  <mergeCells count="4">
    <mergeCell ref="P13:Q13"/>
    <mergeCell ref="K13:L13"/>
    <mergeCell ref="F13:G13"/>
    <mergeCell ref="G3:Q5"/>
  </mergeCells>
  <hyperlinks>
    <hyperlink ref="G3" r:id="rId1" display="https://doi.org/10.1002/acm2.13816" xr:uid="{0ADEB2E4-54DD-4137-A31A-5B0ECD522CFC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9D75-73E6-4094-BF41-FD56F0EF9614}">
  <dimension ref="B2:K25"/>
  <sheetViews>
    <sheetView workbookViewId="0">
      <selection activeCell="C12" sqref="C12"/>
    </sheetView>
  </sheetViews>
  <sheetFormatPr defaultRowHeight="15" x14ac:dyDescent="0.25"/>
  <cols>
    <col min="1" max="2" width="4.7109375" customWidth="1"/>
  </cols>
  <sheetData>
    <row r="2" spans="2:11" ht="18.75" x14ac:dyDescent="0.3">
      <c r="B2" s="87" t="s">
        <v>93</v>
      </c>
    </row>
    <row r="3" spans="2:11" ht="7.5" customHeight="1" x14ac:dyDescent="0.25"/>
    <row r="4" spans="2:11" ht="15" customHeight="1" x14ac:dyDescent="0.25">
      <c r="C4" s="88" t="s">
        <v>100</v>
      </c>
    </row>
    <row r="5" spans="2:11" ht="15" customHeight="1" x14ac:dyDescent="0.25"/>
    <row r="6" spans="2:11" ht="15" customHeight="1" x14ac:dyDescent="0.25"/>
    <row r="7" spans="2:11" s="21" customFormat="1" ht="21" customHeight="1" x14ac:dyDescent="0.25">
      <c r="C7" s="93" t="s">
        <v>94</v>
      </c>
      <c r="D7" s="86" t="s">
        <v>95</v>
      </c>
      <c r="E7" s="81"/>
      <c r="F7" s="81"/>
      <c r="G7" s="81"/>
      <c r="H7" s="81"/>
      <c r="I7" s="81"/>
      <c r="J7" s="81"/>
      <c r="K7" s="82"/>
    </row>
    <row r="8" spans="2:11" x14ac:dyDescent="0.25">
      <c r="C8" s="91" t="s">
        <v>98</v>
      </c>
      <c r="D8" s="89" t="s">
        <v>96</v>
      </c>
      <c r="E8" s="69"/>
      <c r="F8" s="69"/>
      <c r="G8" s="69"/>
      <c r="H8" s="69"/>
      <c r="I8" s="69"/>
      <c r="J8" s="69"/>
      <c r="K8" s="83"/>
    </row>
    <row r="9" spans="2:11" x14ac:dyDescent="0.25">
      <c r="C9" s="91">
        <v>1.1000000000000001</v>
      </c>
      <c r="D9" s="89" t="s">
        <v>97</v>
      </c>
      <c r="E9" s="69"/>
      <c r="F9" s="69"/>
      <c r="G9" s="69"/>
      <c r="H9" s="69"/>
      <c r="I9" s="69"/>
      <c r="J9" s="69"/>
      <c r="K9" s="83"/>
    </row>
    <row r="10" spans="2:11" x14ac:dyDescent="0.25">
      <c r="C10" s="91">
        <v>1.2</v>
      </c>
      <c r="D10" s="89" t="s">
        <v>99</v>
      </c>
      <c r="E10" s="69"/>
      <c r="F10" s="69"/>
      <c r="G10" s="69"/>
      <c r="H10" s="69"/>
      <c r="I10" s="69"/>
      <c r="J10" s="69"/>
      <c r="K10" s="83"/>
    </row>
    <row r="11" spans="2:11" x14ac:dyDescent="0.25">
      <c r="C11" s="91" t="s">
        <v>102</v>
      </c>
      <c r="D11" s="89" t="s">
        <v>103</v>
      </c>
      <c r="E11" s="69"/>
      <c r="F11" s="69"/>
      <c r="G11" s="69"/>
      <c r="H11" s="69"/>
      <c r="I11" s="69"/>
      <c r="J11" s="69"/>
      <c r="K11" s="83"/>
    </row>
    <row r="12" spans="2:11" x14ac:dyDescent="0.25">
      <c r="C12" s="91"/>
      <c r="D12" s="89"/>
      <c r="E12" s="69"/>
      <c r="F12" s="69"/>
      <c r="G12" s="69"/>
      <c r="H12" s="69"/>
      <c r="I12" s="69"/>
      <c r="J12" s="69"/>
      <c r="K12" s="83"/>
    </row>
    <row r="13" spans="2:11" x14ac:dyDescent="0.25">
      <c r="C13" s="91"/>
      <c r="D13" s="89"/>
      <c r="E13" s="69"/>
      <c r="F13" s="69"/>
      <c r="G13" s="69"/>
      <c r="H13" s="69"/>
      <c r="I13" s="69"/>
      <c r="J13" s="69"/>
      <c r="K13" s="83"/>
    </row>
    <row r="14" spans="2:11" x14ac:dyDescent="0.25">
      <c r="C14" s="91"/>
      <c r="D14" s="89"/>
      <c r="E14" s="69"/>
      <c r="F14" s="69"/>
      <c r="G14" s="69"/>
      <c r="H14" s="69"/>
      <c r="I14" s="69"/>
      <c r="J14" s="69"/>
      <c r="K14" s="83"/>
    </row>
    <row r="15" spans="2:11" x14ac:dyDescent="0.25">
      <c r="C15" s="91"/>
      <c r="D15" s="89"/>
      <c r="E15" s="69"/>
      <c r="F15" s="69"/>
      <c r="G15" s="69"/>
      <c r="H15" s="69"/>
      <c r="I15" s="69"/>
      <c r="J15" s="69"/>
      <c r="K15" s="83"/>
    </row>
    <row r="16" spans="2:11" x14ac:dyDescent="0.25">
      <c r="C16" s="92"/>
      <c r="D16" s="90"/>
      <c r="E16" s="84"/>
      <c r="F16" s="84"/>
      <c r="G16" s="84"/>
      <c r="H16" s="84"/>
      <c r="I16" s="84"/>
      <c r="J16" s="84"/>
      <c r="K16" s="85"/>
    </row>
    <row r="17" spans="3:3" x14ac:dyDescent="0.25">
      <c r="C17" s="79"/>
    </row>
    <row r="18" spans="3:3" x14ac:dyDescent="0.25">
      <c r="C18" s="79"/>
    </row>
    <row r="19" spans="3:3" x14ac:dyDescent="0.25">
      <c r="C19" s="79"/>
    </row>
    <row r="20" spans="3:3" x14ac:dyDescent="0.25">
      <c r="C20" s="80"/>
    </row>
    <row r="21" spans="3:3" x14ac:dyDescent="0.25">
      <c r="C21" s="80"/>
    </row>
    <row r="22" spans="3:3" x14ac:dyDescent="0.25">
      <c r="C22" s="80"/>
    </row>
    <row r="23" spans="3:3" x14ac:dyDescent="0.25">
      <c r="C23" s="80"/>
    </row>
    <row r="24" spans="3:3" x14ac:dyDescent="0.25">
      <c r="C24" s="80"/>
    </row>
    <row r="25" spans="3:3" x14ac:dyDescent="0.25">
      <c r="C25" s="80"/>
    </row>
  </sheetData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Main</vt:lpstr>
      <vt:lpstr>Details</vt:lpstr>
      <vt:lpstr>Version History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2023-01-04T18:17:23Z</dcterms:modified>
</cp:coreProperties>
</file>