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B3046F2B-CF71-4CA9-BE9D-AB5ECFBBA0C3}" xr6:coauthVersionLast="47" xr6:coauthVersionMax="47" xr10:uidLastSave="{00000000-0000-0000-0000-000000000000}"/>
  <bookViews>
    <workbookView xWindow="4230" yWindow="240" windowWidth="24345" windowHeight="16635" tabRatio="619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/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O29" i="2" s="1"/>
  <c r="AG17" i="1"/>
  <c r="F14" i="2" s="1"/>
  <c r="AI17" i="1"/>
  <c r="P14" i="2" s="1"/>
  <c r="AD13" i="4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O30" i="2" l="1"/>
  <c r="O35" i="2" s="1"/>
  <c r="O28" i="2"/>
  <c r="J18" i="1"/>
  <c r="P11" i="2" s="1"/>
  <c r="I18" i="1"/>
  <c r="K11" i="2" s="1"/>
  <c r="H18" i="1"/>
  <c r="F11" i="2" s="1"/>
  <c r="O34" i="2" l="1"/>
  <c r="O39" i="2" s="1"/>
  <c r="O33" i="2"/>
  <c r="K18" i="1"/>
  <c r="O38" i="2" l="1"/>
  <c r="O42" i="2" s="1"/>
  <c r="O40" i="2"/>
  <c r="O43" i="2" s="1"/>
  <c r="G33" i="1" s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P51" i="1" s="1"/>
  <c r="T54" i="2" l="1"/>
  <c r="J45" i="1" s="1"/>
  <c r="P45" i="1" s="1"/>
  <c r="J49" i="1"/>
  <c r="P49" i="1" s="1"/>
  <c r="T56" i="2" l="1"/>
  <c r="T58" i="2" l="1"/>
  <c r="J43" i="1" s="1"/>
  <c r="P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<sst xmlns="http://schemas.openxmlformats.org/spreadsheetml/2006/main" count="205" uniqueCount="158">
  <si>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</si>
  <si>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</si>
  <si>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</si>
  <si>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</si>
  <si>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</si>
  <si>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</si>
  <si>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</si>
  <si>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</si>
  <si>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</si>
  <si>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</si>
  <si>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</si>
  <si>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</si>
  <si>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</si>
  <si>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</si>
  <si>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</si>
  <si>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</si>
  <si>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</si>
  <si>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</si>
  <si>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</si>
  <si>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</si>
  <si>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</si>
  <si>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</si>
  <si>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</si>
  <si>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</si>
  <si>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</si>
  <si>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</si>
  <si>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</si>
  <si>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</si>
  <si>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</si>
  <si>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</si>
  <si>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</si>
  <si>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</si>
  <si>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</si>
  <si>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</si>
  <si>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</si>
  <si>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</si>
  <si>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</si>
  <si>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</si>
  <si>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</si>
  <si>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</si>
  <si>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</si>
  <si>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</si>
  <si>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</si>
  <si>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</si>
  <si>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</si>
  <si>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</si>
  <si>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</si>
  <si>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</si>
  <si>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</si>
  <si>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</si>
  <si>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</si>
  <si>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</si>
  <si>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</si>
  <si>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</si>
  <si>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</si>
  <si>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</si>
  <si>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</si>
  <si>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</si>
  <si>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</si>
  <si>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</si>
  <si>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</si>
  <si>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</si>
  <si>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</si>
  <si>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</si>
  <si>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</si>
  <si>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</si>
  <si>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</si>
  <si>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</si>
  <si>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</si>
  <si>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</si>
  <si>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</si>
  <si>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</si>
  <si>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</si>
  <si>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</si>
  <si>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</si>
  <si>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</si>
  <si>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</si>
  <si>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</si>
  <si>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</si>
  <si>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</si>
  <si>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</si>
  <si>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</si>
  <si>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</si>
  <si>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</si>
  <si>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</si>
  <si>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</si>
  <si>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</si>
  <si>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</si>
  <si>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</si>
  <si>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</si>
  <si>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</si>
  <si>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</si>
  <si>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</si>
  <si>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</si>
  <si>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</si>
  <si>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</si>
  <si>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</si>
  <si>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</si>
  <si>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</si>
  <si>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</si>
  <si>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</si>
  <si>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</si>
  <si>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</si>
  <si>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</si>
  <si>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</si>
  <si>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t>Apply sign change to account for object not moving with rotation</t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</si>
  <si>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</si>
  <si>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</si>
  <si>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</si>
  <si>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</si>
  <si>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</si>
  <si>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</si>
  <si>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</si>
  <si>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</si>
  <si>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</si>
  <si>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</si>
  <si>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</si>
  <si>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</si>
  <si>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</si>
  <si>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</si>
  <si>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</si>
  <si>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</si>
  <si>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</si>
  <si>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</si>
  <si>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</si>
  <si>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</si>
  <si>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</si>
  <si>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</si>
  <si>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</si>
  <si>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</si>
  <si>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</si>
  <si>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t>1.5</t>
  </si>
  <si>
    <t>Renamed B axis to C, and C axis to B.</t>
  </si>
  <si>
    <t>Coordinate Transformation from Table angle.  (Rotation around B axis)</t>
  </si>
  <si>
    <t>Coordinate Transformation from Collimator angle.  (Rotation around B axis)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</si>
  <si>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</si>
  <si>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</si>
  <si>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</si>
  <si>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</si>
  <si>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</si>
  <si>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</si>
  <si>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</si>
  <si>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</si>
  <si>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</si>
  <si>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1.6</t>
  </si>
  <si>
    <t>Reoriented axes to conform to DICOM orientation, where DICOM X is A, DICOM Y is B, and DICOM Z is C.</t>
  </si>
  <si>
    <t>OAWL Calculator created by Anton Eagle, MS. DABR., Advent Health.  2022.</t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</si>
  <si>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</si>
  <si>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</si>
  <si>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1.7</t>
  </si>
  <si>
    <t>Fixed a couple of bugs introduced at v1.6</t>
  </si>
  <si>
    <t>Version 1.8</t>
  </si>
  <si>
    <t>1.8</t>
  </si>
  <si>
    <t>Added Risidual Error calculations.</t>
  </si>
  <si>
    <t>Allowed Digits</t>
  </si>
  <si>
    <r>
      <t>Residual Error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*</t>
    </r>
  </si>
  <si>
    <t>* Residual Error shows the error remaining from limitations imposed by the number of digits available in the TPS.  In Eclipse, this limitation is 1 digit for angular values, and 3 digits for MLC Positions.  Practically, one should tweak beam angles to minimize the Collimator Angle Residual Error, as the MLC precision is inherently much better.</t>
  </si>
  <si>
    <t>HDMLC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</si>
</sst>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8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4" xfId="0" applyFont="1" applyBorder="1" applyAlignment="1">
      <alignment horizontal="left" vertical="top" indent="1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7</xdr:row>
      <xdr:rowOff>104775</xdr:rowOff>
    </xdr:from>
    <xdr:to>
      <xdr:col>14</xdr:col>
      <xdr:colOff>4475</xdr:colOff>
      <xdr:row>19</xdr:row>
      <xdr:rowOff>75899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2D57D-E9D5-4F85-8AAD-0C991769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0675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123</v>
      </c>
      <c r="N1" s="102" t="s">
        <v>151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122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114</v>
      </c>
      <c r="F4" s="120" t="s">
        <v>125</v>
      </c>
      <c r="G4" s="120"/>
      <c r="H4" s="120"/>
      <c r="I4" s="120"/>
      <c r="J4" s="120"/>
      <c r="K4" s="120"/>
      <c r="L4" s="120"/>
      <c r="M4" s="120"/>
      <c r="N4" s="120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20"/>
      <c r="G5" s="120"/>
      <c r="H5" s="120"/>
      <c r="I5" s="120"/>
      <c r="J5" s="120"/>
      <c r="K5" s="120"/>
      <c r="L5" s="120"/>
      <c r="M5" s="120"/>
      <c r="N5" s="120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20"/>
      <c r="G6" s="120"/>
      <c r="H6" s="120"/>
      <c r="I6" s="120"/>
      <c r="J6" s="120"/>
      <c r="K6" s="120"/>
      <c r="L6" s="120"/>
      <c r="M6" s="120"/>
      <c r="N6" s="120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7" t="s">
        <v>82</v>
      </c>
      <c r="D10" s="117"/>
      <c r="E10" s="117"/>
      <c r="F10" s="117"/>
      <c r="G10" s="117"/>
      <c r="H10" s="117"/>
      <c r="I10" s="117"/>
      <c r="J10" s="117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7"/>
      <c r="D11" s="117"/>
      <c r="E11" s="117"/>
      <c r="F11" s="117"/>
      <c r="G11" s="117"/>
      <c r="H11" s="117"/>
      <c r="I11" s="117"/>
      <c r="J11" s="117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72</v>
      </c>
      <c r="D13" s="54" t="s">
        <v>75</v>
      </c>
      <c r="P13" s="92"/>
      <c r="V13" s="93"/>
      <c r="W13" s="93"/>
      <c r="X13" s="93"/>
      <c r="Y13" s="93"/>
      <c r="Z13" s="93"/>
      <c r="AA13" s="96" t="s">
        <v>75</v>
      </c>
      <c r="AB13" s="94" t="str">
        <f>RIGHT(D13,1)</f>
        <v>X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73</v>
      </c>
      <c r="D14" s="55" t="s">
        <v>77</v>
      </c>
      <c r="P14" s="92"/>
      <c r="V14" s="93"/>
      <c r="W14" s="93"/>
      <c r="X14" s="93"/>
      <c r="Y14" s="93"/>
      <c r="Z14" s="93"/>
      <c r="AA14" s="96" t="s">
        <v>76</v>
      </c>
      <c r="AB14" s="94" t="str">
        <f>RIGHT(D14,1)</f>
        <v>Y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74</v>
      </c>
      <c r="D15" s="55" t="s">
        <v>79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77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78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8" t="s">
        <v>81</v>
      </c>
      <c r="D17" s="118"/>
      <c r="E17" s="118"/>
      <c r="F17" s="118"/>
      <c r="G17" s="118"/>
      <c r="O17" s="92"/>
      <c r="P17" s="92"/>
      <c r="V17" s="93"/>
      <c r="W17" s="93"/>
      <c r="X17" s="93"/>
      <c r="Y17" s="93"/>
      <c r="Z17" s="92"/>
      <c r="AA17" s="96" t="s">
        <v>79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8"/>
      <c r="D18" s="118"/>
      <c r="E18" s="118"/>
      <c r="F18" s="118"/>
      <c r="G18" s="118"/>
      <c r="O18" s="92"/>
      <c r="P18" s="92"/>
      <c r="V18" s="93"/>
      <c r="W18" s="93"/>
      <c r="X18" s="93"/>
      <c r="Y18" s="93"/>
      <c r="Z18" s="92"/>
      <c r="AA18" s="96" t="s">
        <v>80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70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128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9" t="s">
        <v>127</v>
      </c>
      <c r="D25" s="119"/>
      <c r="E25" s="119"/>
      <c r="F25" s="119"/>
      <c r="G25" s="119"/>
      <c r="H25" s="119"/>
      <c r="I25" s="119"/>
      <c r="J25" s="119"/>
      <c r="K25" s="119"/>
      <c r="L25" s="119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45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1</v>
      </c>
      <c r="AB28" s="92">
        <f>IF(K28="Negative", -1, 1)</f>
        <v>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113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8"/>
  <sheetViews>
    <sheetView showGridLines="0" zoomScale="70" zoomScaleNormal="70" workbookViewId="0"/>
  </sheetViews>
  <sheetFormatPr defaultRowHeight="15" x14ac:dyDescent="0.25"/>
  <cols>
    <col min="1" max="2" width="4.7109375" customWidth="1"/>
    <col min="3" max="14" width="9.7109375" customWidth="1"/>
    <col min="15" max="35" width="9.140625" style="50"/>
    <col min="36" max="69" width="9.140625" style="41"/>
  </cols>
  <sheetData>
    <row r="1" spans="1:35" ht="23.25" x14ac:dyDescent="0.35">
      <c r="A1" s="17" t="s">
        <v>123</v>
      </c>
      <c r="N1" s="102" t="str">
        <f>'Coord System'!N1</f>
        <v>Version 1.8</v>
      </c>
    </row>
    <row r="2" spans="1:35" ht="18.75" x14ac:dyDescent="0.3">
      <c r="A2" s="16" t="s">
        <v>122</v>
      </c>
    </row>
    <row r="4" spans="1:35" ht="15" customHeight="1" x14ac:dyDescent="0.25">
      <c r="B4" t="s">
        <v>114</v>
      </c>
      <c r="F4" s="120" t="s">
        <v>125</v>
      </c>
      <c r="G4" s="120"/>
      <c r="H4" s="120"/>
      <c r="I4" s="120"/>
      <c r="J4" s="120"/>
      <c r="K4" s="120"/>
      <c r="L4" s="120"/>
      <c r="M4" s="120"/>
      <c r="N4" s="120"/>
    </row>
    <row r="5" spans="1:35" x14ac:dyDescent="0.25">
      <c r="F5" s="120"/>
      <c r="G5" s="120"/>
      <c r="H5" s="120"/>
      <c r="I5" s="120"/>
      <c r="J5" s="120"/>
      <c r="K5" s="120"/>
      <c r="L5" s="120"/>
      <c r="M5" s="120"/>
      <c r="N5" s="120"/>
    </row>
    <row r="6" spans="1:35" x14ac:dyDescent="0.25">
      <c r="F6" s="120"/>
      <c r="G6" s="120"/>
      <c r="H6" s="120"/>
      <c r="I6" s="120"/>
      <c r="J6" s="120"/>
      <c r="K6" s="120"/>
      <c r="L6" s="120"/>
      <c r="M6" s="120"/>
      <c r="N6" s="120"/>
    </row>
    <row r="7" spans="1:35" ht="15" customHeight="1" thickBot="1" x14ac:dyDescent="0.3"/>
    <row r="8" spans="1:35" x14ac:dyDescent="0.25">
      <c r="B8" s="39" t="s">
        <v>107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7" t="s">
        <v>9</v>
      </c>
      <c r="I10" s="117"/>
      <c r="J10" s="117"/>
      <c r="K10" s="117"/>
      <c r="L10" s="117"/>
    </row>
    <row r="11" spans="1:35" ht="18" customHeight="1" x14ac:dyDescent="0.25">
      <c r="D11" s="38"/>
      <c r="E11" s="38"/>
      <c r="F11" s="38"/>
      <c r="H11" s="117"/>
      <c r="I11" s="117"/>
      <c r="J11" s="117"/>
      <c r="K11" s="117"/>
      <c r="L11" s="117"/>
    </row>
    <row r="12" spans="1:35" x14ac:dyDescent="0.25">
      <c r="C12" s="2"/>
      <c r="D12" s="128" t="s">
        <v>4</v>
      </c>
      <c r="E12" s="128"/>
      <c r="F12" s="129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83</v>
      </c>
      <c r="E13" s="4" t="s">
        <v>84</v>
      </c>
      <c r="F13" s="5" t="s">
        <v>85</v>
      </c>
      <c r="H13" s="12" t="s">
        <v>7</v>
      </c>
      <c r="I13" s="10"/>
      <c r="J13" s="9">
        <v>5</v>
      </c>
      <c r="AA13" s="94"/>
      <c r="AB13" s="94" t="s">
        <v>86</v>
      </c>
      <c r="AC13" s="94" t="s">
        <v>87</v>
      </c>
      <c r="AD13" s="94" t="s">
        <v>88</v>
      </c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-2.5</v>
      </c>
      <c r="AC14" s="94">
        <f>INDEX($D14:$F14,0,MATCH('Coord System'!$AB$14,$D$13:$F$13,0)) * 'Coord System'!$AE$14</f>
        <v>3</v>
      </c>
      <c r="AD14" s="94">
        <f>INDEX($D14:$F14,0,MATCH('Coord System'!$AB$15,$D$13:$F$13,0)) * 'Coord System'!$AE$15</f>
        <v>-1</v>
      </c>
      <c r="AG14" s="94" t="s">
        <v>86</v>
      </c>
      <c r="AH14" s="94" t="s">
        <v>87</v>
      </c>
      <c r="AI14" s="94" t="s">
        <v>88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1.5</v>
      </c>
      <c r="AD15" s="94">
        <f>INDEX($D15:$F15,0,MATCH('Coord System'!$AB$15,$D$13:$F$13,0)) * 'Coord System'!$AE$15</f>
        <v>1</v>
      </c>
      <c r="AF15" s="50" t="s">
        <v>89</v>
      </c>
      <c r="AG15" s="94">
        <f>VLOOKUP($J$12, $AA$14:$AD$18, 2)</f>
        <v>-2.5</v>
      </c>
      <c r="AH15" s="94">
        <f>VLOOKUP($J$12, $AA$14:$AD$18, 3)</f>
        <v>3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30" t="s">
        <v>8</v>
      </c>
      <c r="I16" s="128"/>
      <c r="J16" s="129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F16" s="50" t="s">
        <v>0</v>
      </c>
      <c r="AG16" s="94">
        <f>VLOOKUP($J$13, $AA$14:$AD$18, 2)</f>
        <v>3</v>
      </c>
      <c r="AH16" s="94">
        <f>VLOOKUP($J$13, $AA$14:$AD$18, 3)</f>
        <v>-2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2</v>
      </c>
      <c r="AC17" s="94">
        <f>INDEX($D17:$F17,0,MATCH('Coord System'!$AB$14,$D$13:$F$13,0)) * 'Coord System'!$AE$14</f>
        <v>-1</v>
      </c>
      <c r="AD17" s="94">
        <f>INDEX($D17:$F17,0,MATCH('Coord System'!$AB$15,$D$13:$F$13,0)) * 'Coord System'!$AE$15</f>
        <v>-2</v>
      </c>
      <c r="AF17" s="50" t="s">
        <v>90</v>
      </c>
      <c r="AG17" s="94">
        <f>AG16-AG15</f>
        <v>5.5</v>
      </c>
      <c r="AH17" s="94">
        <f t="shared" ref="AH17:AI17" si="0">AH16-AH15</f>
        <v>-5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3</v>
      </c>
      <c r="AC18" s="94">
        <f>INDEX($D18:$F18,0,MATCH('Coord System'!$AB$14,$D$13:$F$13,0)) * 'Coord System'!$AE$14</f>
        <v>-2</v>
      </c>
      <c r="AD18" s="94">
        <f>INDEX($D18:$F18,0,MATCH('Coord System'!$AB$15,$D$13:$F$13,0)) * 'Coord System'!$AE$15</f>
        <v>2</v>
      </c>
    </row>
    <row r="20" spans="2:35" ht="15.75" thickBot="1" x14ac:dyDescent="0.3">
      <c r="F20" s="11"/>
    </row>
    <row r="21" spans="2:35" x14ac:dyDescent="0.25">
      <c r="B21" s="39" t="s">
        <v>108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9" t="s">
        <v>111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</row>
    <row r="24" spans="2:35" ht="15" customHeight="1" x14ac:dyDescent="0.25"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</row>
    <row r="25" spans="2:35" ht="6" customHeight="1" x14ac:dyDescent="0.25"/>
    <row r="26" spans="2:35" x14ac:dyDescent="0.25">
      <c r="C26" s="12" t="s">
        <v>10</v>
      </c>
      <c r="D26" s="18"/>
      <c r="E26" s="19">
        <v>0</v>
      </c>
      <c r="G26" s="12" t="s">
        <v>11</v>
      </c>
      <c r="H26" s="18"/>
      <c r="I26" s="19">
        <v>0</v>
      </c>
      <c r="K26" s="12" t="s">
        <v>12</v>
      </c>
      <c r="L26" s="18"/>
      <c r="M26" s="19">
        <v>0</v>
      </c>
    </row>
    <row r="28" spans="2:35" ht="15.75" thickBot="1" x14ac:dyDescent="0.3"/>
    <row r="29" spans="2:35" x14ac:dyDescent="0.25">
      <c r="B29" s="39" t="s">
        <v>109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112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5.7894736842105257</v>
      </c>
      <c r="F33" s="30" t="s">
        <v>21</v>
      </c>
      <c r="G33" s="45">
        <f>Details!O43</f>
        <v>3.1578947368421053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3.25</v>
      </c>
      <c r="AD34" s="50">
        <v>0.5</v>
      </c>
    </row>
    <row r="35" spans="2:33" ht="15.75" thickBot="1" x14ac:dyDescent="0.3"/>
    <row r="36" spans="2:33" x14ac:dyDescent="0.25">
      <c r="B36" s="39" t="s">
        <v>110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23</v>
      </c>
      <c r="AE36" s="50" t="s">
        <v>157</v>
      </c>
    </row>
    <row r="37" spans="2:33" ht="6" customHeight="1" x14ac:dyDescent="0.25"/>
    <row r="38" spans="2:33" ht="18" x14ac:dyDescent="0.35">
      <c r="C38" s="34" t="s">
        <v>115</v>
      </c>
      <c r="AA38" s="50" t="s">
        <v>35</v>
      </c>
      <c r="AB38" s="98" t="s">
        <v>36</v>
      </c>
      <c r="AC38" s="94"/>
      <c r="AE38" s="50" t="s">
        <v>35</v>
      </c>
      <c r="AF38" s="50" t="s">
        <v>36</v>
      </c>
    </row>
    <row r="39" spans="2:33" ht="6" customHeight="1" x14ac:dyDescent="0.25"/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67</v>
      </c>
      <c r="H40" s="18"/>
      <c r="I40" s="46" cm="1">
        <f t="array" ref="I40">IF(OR(G33&lt;-INDEX(AC33:AC34,F40), G33&gt;INDEX(AC33:AC34,F40)), INDEX(AD33:AD34,F40), INDEX($AB$33:$AB$34,F40))</f>
        <v>0.25</v>
      </c>
      <c r="J40" s="131" t="str" cm="1">
        <f t="array" ref="J40">IF(OR(G33&lt;-INDEX(AC33:AC34,F40), G33&gt;INDEX(AC33:AC34,F40)), "Note: The calculated field falls beyond small MLC leaves, so larger leaf size is used.", "")</f>
        <v/>
      </c>
      <c r="K40" s="131"/>
      <c r="L40" s="131"/>
      <c r="M40" s="131"/>
      <c r="N40" s="131"/>
      <c r="AA40" s="94">
        <v>-19</v>
      </c>
      <c r="AB40" s="94">
        <v>59</v>
      </c>
      <c r="AC40" s="94">
        <f>AB40+1</f>
        <v>60</v>
      </c>
      <c r="AE40" s="50">
        <v>-10.5</v>
      </c>
      <c r="AF40" s="50">
        <v>59</v>
      </c>
      <c r="AG40" s="50">
        <v>60</v>
      </c>
    </row>
    <row r="41" spans="2:33" x14ac:dyDescent="0.25">
      <c r="J41" s="131"/>
      <c r="K41" s="131"/>
      <c r="L41" s="131"/>
      <c r="M41" s="131"/>
      <c r="N41" s="131"/>
      <c r="AA41" s="94">
        <v>-18</v>
      </c>
      <c r="AB41" s="94">
        <v>58</v>
      </c>
      <c r="AC41" s="94">
        <f t="shared" ref="AC41:AC98" si="1">AB41+1</f>
        <v>59</v>
      </c>
      <c r="AE41" s="50">
        <v>-10</v>
      </c>
      <c r="AF41" s="50">
        <v>58</v>
      </c>
      <c r="AG41" s="50">
        <v>59</v>
      </c>
    </row>
    <row r="42" spans="2:33" ht="15.75" x14ac:dyDescent="0.25">
      <c r="N42" s="114" t="s">
        <v>154</v>
      </c>
      <c r="P42" s="115" t="s">
        <v>155</v>
      </c>
      <c r="AA42" s="94">
        <v>-17</v>
      </c>
      <c r="AB42" s="94">
        <v>57</v>
      </c>
      <c r="AC42" s="94">
        <f t="shared" si="1"/>
        <v>58</v>
      </c>
      <c r="AE42" s="50">
        <v>-9.5</v>
      </c>
      <c r="AF42" s="50">
        <v>57</v>
      </c>
      <c r="AG42" s="50">
        <v>58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3</v>
      </c>
      <c r="F43" s="42"/>
      <c r="G43" s="37" t="s">
        <v>25</v>
      </c>
      <c r="J43" s="125">
        <f>Details!T58</f>
        <v>1.5513466609989948</v>
      </c>
      <c r="K43" s="126"/>
      <c r="L43" s="127"/>
      <c r="N43" s="38">
        <v>1</v>
      </c>
      <c r="P43" s="116">
        <f>J43 - ROUND(J43,N43)</f>
        <v>-4.8653339001005325E-2</v>
      </c>
      <c r="AA43" s="94">
        <v>-16</v>
      </c>
      <c r="AB43" s="94">
        <v>56</v>
      </c>
      <c r="AC43" s="94">
        <f t="shared" si="1"/>
        <v>57</v>
      </c>
      <c r="AE43" s="50">
        <v>-9</v>
      </c>
      <c r="AF43" s="50">
        <v>56</v>
      </c>
      <c r="AG43" s="50">
        <v>57</v>
      </c>
    </row>
    <row r="44" spans="2:33" x14ac:dyDescent="0.25">
      <c r="F44" s="43"/>
      <c r="G44" s="37" t="s">
        <v>39</v>
      </c>
      <c r="J44" s="47">
        <f>VLOOKUP(-E43, CHOOSE(F40,$AA$40:$AC$98,AE40:AG98), 2)</f>
        <v>42</v>
      </c>
      <c r="K44" s="48" t="s">
        <v>37</v>
      </c>
      <c r="L44" s="49">
        <f>VLOOKUP(-E43-I40, CHOOSE(F40,$AA$40:$AC$98,AE40:AG98), 2)</f>
        <v>43</v>
      </c>
      <c r="N44" s="38"/>
      <c r="P44" s="116"/>
      <c r="AA44" s="94">
        <v>-15</v>
      </c>
      <c r="AB44" s="94">
        <v>55</v>
      </c>
      <c r="AC44" s="94">
        <f t="shared" si="1"/>
        <v>56</v>
      </c>
      <c r="AE44" s="50">
        <v>-8.5</v>
      </c>
      <c r="AF44" s="50">
        <v>55</v>
      </c>
      <c r="AG44" s="50">
        <v>56</v>
      </c>
    </row>
    <row r="45" spans="2:33" x14ac:dyDescent="0.25">
      <c r="G45" s="37" t="s">
        <v>38</v>
      </c>
      <c r="J45" s="122">
        <f>Details!T54</f>
        <v>5.8728446862777899</v>
      </c>
      <c r="K45" s="123"/>
      <c r="L45" s="124"/>
      <c r="N45" s="38">
        <v>3</v>
      </c>
      <c r="P45" s="116">
        <f>J45 - ROUND(J45,N45)</f>
        <v>-1.5531372221033735E-4</v>
      </c>
      <c r="AA45" s="94">
        <v>-14</v>
      </c>
      <c r="AB45" s="94">
        <v>54</v>
      </c>
      <c r="AC45" s="94">
        <f t="shared" si="1"/>
        <v>55</v>
      </c>
      <c r="AE45" s="50">
        <v>-8</v>
      </c>
      <c r="AF45" s="50">
        <v>54</v>
      </c>
      <c r="AG45" s="50">
        <v>55</v>
      </c>
    </row>
    <row r="46" spans="2:33" x14ac:dyDescent="0.25">
      <c r="N46" s="38"/>
      <c r="P46" s="116"/>
      <c r="AA46" s="94">
        <v>-13</v>
      </c>
      <c r="AB46" s="94">
        <v>53</v>
      </c>
      <c r="AC46" s="94">
        <f t="shared" si="1"/>
        <v>54</v>
      </c>
      <c r="AE46" s="50">
        <v>-7.5</v>
      </c>
      <c r="AF46" s="50">
        <v>53</v>
      </c>
      <c r="AG46" s="50">
        <v>54</v>
      </c>
    </row>
    <row r="47" spans="2:33" x14ac:dyDescent="0.25">
      <c r="N47" s="38"/>
      <c r="P47" s="116"/>
      <c r="AA47" s="94">
        <v>-12</v>
      </c>
      <c r="AB47" s="94">
        <v>52</v>
      </c>
      <c r="AC47" s="94">
        <f t="shared" si="1"/>
        <v>53</v>
      </c>
      <c r="AE47" s="50">
        <v>-7</v>
      </c>
      <c r="AF47" s="50">
        <v>52</v>
      </c>
      <c r="AG47" s="50">
        <v>53</v>
      </c>
    </row>
    <row r="48" spans="2:33" x14ac:dyDescent="0.25">
      <c r="N48" s="38"/>
      <c r="P48" s="116"/>
      <c r="AA48" s="94">
        <v>-11</v>
      </c>
      <c r="AB48" s="94">
        <v>51</v>
      </c>
      <c r="AC48" s="94">
        <f t="shared" si="1"/>
        <v>52</v>
      </c>
      <c r="AE48" s="50">
        <v>-6.5</v>
      </c>
      <c r="AF48" s="50">
        <v>51</v>
      </c>
      <c r="AG48" s="50">
        <v>52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3.25</v>
      </c>
      <c r="G49" s="37" t="s">
        <v>25</v>
      </c>
      <c r="J49" s="125">
        <f>Details!X58</f>
        <v>359.08444736026468</v>
      </c>
      <c r="K49" s="126"/>
      <c r="L49" s="127"/>
      <c r="N49" s="38">
        <v>1</v>
      </c>
      <c r="P49" s="116">
        <f>J49 - ROUND(J49,N49)</f>
        <v>-1.5552639735346929E-2</v>
      </c>
      <c r="AA49" s="94">
        <v>-10</v>
      </c>
      <c r="AB49" s="94">
        <v>50</v>
      </c>
      <c r="AC49" s="94">
        <f t="shared" si="1"/>
        <v>51</v>
      </c>
      <c r="AE49" s="50">
        <v>-6</v>
      </c>
      <c r="AF49" s="50">
        <v>50</v>
      </c>
      <c r="AG49" s="50">
        <v>51</v>
      </c>
    </row>
    <row r="50" spans="2:33" x14ac:dyDescent="0.25">
      <c r="G50" s="37" t="s">
        <v>39</v>
      </c>
      <c r="J50" s="47">
        <f>VLOOKUP(-E49, CHOOSE(F40,$AA$40:$AC$98,AE40:AG98), 2)</f>
        <v>43</v>
      </c>
      <c r="K50" s="48" t="s">
        <v>37</v>
      </c>
      <c r="L50" s="49">
        <f>VLOOKUP(-E49-I40, CHOOSE(F40,$AA$40:$AC$98,AE40:AG98), 2)</f>
        <v>44</v>
      </c>
      <c r="N50" s="38"/>
      <c r="P50" s="116"/>
      <c r="AA50" s="94">
        <v>-9.5</v>
      </c>
      <c r="AB50" s="94">
        <v>49</v>
      </c>
      <c r="AC50" s="94">
        <f t="shared" si="1"/>
        <v>50</v>
      </c>
      <c r="AE50" s="50">
        <v>-5.5</v>
      </c>
      <c r="AF50" s="50">
        <v>49</v>
      </c>
      <c r="AG50" s="50">
        <v>50</v>
      </c>
    </row>
    <row r="51" spans="2:33" x14ac:dyDescent="0.25">
      <c r="G51" s="37" t="s">
        <v>38</v>
      </c>
      <c r="J51" s="122">
        <f>Details!X54</f>
        <v>5.738275412451137</v>
      </c>
      <c r="K51" s="123"/>
      <c r="L51" s="124"/>
      <c r="N51" s="38">
        <v>3</v>
      </c>
      <c r="P51" s="116">
        <f>J51 - ROUND(J51,N51)</f>
        <v>2.7541245113660295E-4</v>
      </c>
      <c r="AA51" s="94">
        <v>-9</v>
      </c>
      <c r="AB51" s="94">
        <v>48</v>
      </c>
      <c r="AC51" s="94">
        <f t="shared" si="1"/>
        <v>49</v>
      </c>
      <c r="AE51" s="50">
        <v>-5</v>
      </c>
      <c r="AF51" s="50">
        <v>48</v>
      </c>
      <c r="AG51" s="50">
        <v>49</v>
      </c>
    </row>
    <row r="52" spans="2:33" x14ac:dyDescent="0.25">
      <c r="AA52" s="94">
        <v>-8.5</v>
      </c>
      <c r="AB52" s="94">
        <v>47</v>
      </c>
      <c r="AC52" s="94">
        <f t="shared" si="1"/>
        <v>48</v>
      </c>
      <c r="AE52" s="50">
        <v>-4.5</v>
      </c>
      <c r="AF52" s="50">
        <v>47</v>
      </c>
      <c r="AG52" s="50">
        <v>48</v>
      </c>
    </row>
    <row r="53" spans="2:33" ht="15.75" thickBot="1" x14ac:dyDescent="0.3">
      <c r="AA53" s="94">
        <v>-8</v>
      </c>
      <c r="AB53" s="94">
        <v>46</v>
      </c>
      <c r="AC53" s="94">
        <f t="shared" si="1"/>
        <v>47</v>
      </c>
      <c r="AE53" s="50">
        <v>-4</v>
      </c>
      <c r="AF53" s="50">
        <v>46</v>
      </c>
      <c r="AG53" s="50">
        <v>47</v>
      </c>
    </row>
    <row r="54" spans="2:33" x14ac:dyDescent="0.25">
      <c r="B54" s="39"/>
      <c r="C54" s="121" t="s">
        <v>156</v>
      </c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40"/>
      <c r="AA54" s="94">
        <v>-7.5</v>
      </c>
      <c r="AB54" s="94">
        <v>45</v>
      </c>
      <c r="AC54" s="94">
        <f t="shared" si="1"/>
        <v>46</v>
      </c>
      <c r="AE54" s="50">
        <v>-3.75</v>
      </c>
      <c r="AF54" s="50">
        <v>45</v>
      </c>
      <c r="AG54" s="50">
        <v>46</v>
      </c>
    </row>
    <row r="55" spans="2:33" x14ac:dyDescent="0.25"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AA55" s="94">
        <v>-7</v>
      </c>
      <c r="AB55" s="94">
        <v>44</v>
      </c>
      <c r="AC55" s="94">
        <f t="shared" si="1"/>
        <v>45</v>
      </c>
      <c r="AE55" s="50">
        <v>-3.5</v>
      </c>
      <c r="AF55" s="50">
        <v>44</v>
      </c>
      <c r="AG55" s="50">
        <v>45</v>
      </c>
    </row>
    <row r="56" spans="2:33" x14ac:dyDescent="0.25"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AA56" s="94">
        <v>-6.5</v>
      </c>
      <c r="AB56" s="94">
        <v>43</v>
      </c>
      <c r="AC56" s="94">
        <f t="shared" si="1"/>
        <v>44</v>
      </c>
      <c r="AE56" s="50">
        <v>-3.25</v>
      </c>
      <c r="AF56" s="50">
        <v>43</v>
      </c>
      <c r="AG56" s="50">
        <v>44</v>
      </c>
    </row>
    <row r="57" spans="2:33" x14ac:dyDescent="0.25">
      <c r="AA57" s="94">
        <v>-6</v>
      </c>
      <c r="AB57" s="94">
        <v>42</v>
      </c>
      <c r="AC57" s="94">
        <f t="shared" si="1"/>
        <v>43</v>
      </c>
      <c r="AE57" s="50">
        <v>-3</v>
      </c>
      <c r="AF57" s="50">
        <v>42</v>
      </c>
      <c r="AG57" s="50">
        <v>43</v>
      </c>
    </row>
    <row r="58" spans="2:33" x14ac:dyDescent="0.25">
      <c r="AA58" s="94">
        <v>-5.5</v>
      </c>
      <c r="AB58" s="94">
        <v>41</v>
      </c>
      <c r="AC58" s="94">
        <f t="shared" si="1"/>
        <v>42</v>
      </c>
      <c r="AE58" s="50">
        <v>-2.75</v>
      </c>
      <c r="AF58" s="50">
        <v>41</v>
      </c>
      <c r="AG58" s="50">
        <v>42</v>
      </c>
    </row>
    <row r="59" spans="2:33" x14ac:dyDescent="0.25">
      <c r="AA59" s="94">
        <v>-5</v>
      </c>
      <c r="AB59" s="94">
        <v>40</v>
      </c>
      <c r="AC59" s="94">
        <f t="shared" si="1"/>
        <v>41</v>
      </c>
      <c r="AE59" s="50">
        <v>-2.5</v>
      </c>
      <c r="AF59" s="50">
        <v>40</v>
      </c>
      <c r="AG59" s="50">
        <v>41</v>
      </c>
    </row>
    <row r="60" spans="2:33" x14ac:dyDescent="0.25">
      <c r="AA60" s="94">
        <v>-4.5</v>
      </c>
      <c r="AB60" s="94">
        <v>39</v>
      </c>
      <c r="AC60" s="94">
        <f t="shared" si="1"/>
        <v>40</v>
      </c>
      <c r="AE60" s="50">
        <v>-2.25</v>
      </c>
      <c r="AF60" s="50">
        <v>39</v>
      </c>
      <c r="AG60" s="50">
        <v>40</v>
      </c>
    </row>
    <row r="61" spans="2:33" x14ac:dyDescent="0.25">
      <c r="AA61" s="94">
        <v>-4</v>
      </c>
      <c r="AB61" s="94">
        <v>38</v>
      </c>
      <c r="AC61" s="94">
        <f>AB61+1</f>
        <v>39</v>
      </c>
      <c r="AE61" s="50">
        <v>-2</v>
      </c>
      <c r="AF61" s="50">
        <v>38</v>
      </c>
      <c r="AG61" s="50">
        <v>39</v>
      </c>
    </row>
    <row r="62" spans="2:33" x14ac:dyDescent="0.25">
      <c r="AA62" s="94">
        <v>-3.5</v>
      </c>
      <c r="AB62" s="94">
        <v>37</v>
      </c>
      <c r="AC62" s="94">
        <f>AB62+1</f>
        <v>38</v>
      </c>
      <c r="AE62" s="50">
        <v>-1.75</v>
      </c>
      <c r="AF62" s="50">
        <v>37</v>
      </c>
      <c r="AG62" s="50">
        <v>38</v>
      </c>
    </row>
    <row r="63" spans="2:33" x14ac:dyDescent="0.25">
      <c r="AA63" s="94">
        <v>-3</v>
      </c>
      <c r="AB63" s="94">
        <v>36</v>
      </c>
      <c r="AC63" s="94">
        <f t="shared" si="1"/>
        <v>37</v>
      </c>
      <c r="AE63" s="50">
        <v>-1.5</v>
      </c>
      <c r="AF63" s="50">
        <v>36</v>
      </c>
      <c r="AG63" s="50">
        <v>37</v>
      </c>
    </row>
    <row r="64" spans="2:33" x14ac:dyDescent="0.25">
      <c r="AA64" s="94">
        <v>-2.5</v>
      </c>
      <c r="AB64" s="94">
        <v>35</v>
      </c>
      <c r="AC64" s="94">
        <f t="shared" si="1"/>
        <v>36</v>
      </c>
      <c r="AE64" s="50">
        <v>-1.25</v>
      </c>
      <c r="AF64" s="50">
        <v>35</v>
      </c>
      <c r="AG64" s="50">
        <v>36</v>
      </c>
    </row>
    <row r="65" spans="27:33" x14ac:dyDescent="0.25">
      <c r="AA65" s="94">
        <v>-2</v>
      </c>
      <c r="AB65" s="94">
        <v>34</v>
      </c>
      <c r="AC65" s="94">
        <f t="shared" si="1"/>
        <v>35</v>
      </c>
      <c r="AE65" s="50">
        <v>-1</v>
      </c>
      <c r="AF65" s="50">
        <v>34</v>
      </c>
      <c r="AG65" s="50">
        <v>35</v>
      </c>
    </row>
    <row r="66" spans="27:33" x14ac:dyDescent="0.25">
      <c r="AA66" s="94">
        <v>-1.5</v>
      </c>
      <c r="AB66" s="94">
        <v>33</v>
      </c>
      <c r="AC66" s="94">
        <f t="shared" si="1"/>
        <v>34</v>
      </c>
      <c r="AE66" s="50">
        <v>-0.75</v>
      </c>
      <c r="AF66" s="50">
        <v>33</v>
      </c>
      <c r="AG66" s="50">
        <v>34</v>
      </c>
    </row>
    <row r="67" spans="27:33" x14ac:dyDescent="0.25">
      <c r="AA67" s="94">
        <v>-1</v>
      </c>
      <c r="AB67" s="94">
        <v>32</v>
      </c>
      <c r="AC67" s="94">
        <f t="shared" si="1"/>
        <v>33</v>
      </c>
      <c r="AE67" s="50">
        <v>-0.5</v>
      </c>
      <c r="AF67" s="50">
        <v>32</v>
      </c>
      <c r="AG67" s="50">
        <v>33</v>
      </c>
    </row>
    <row r="68" spans="27:33" x14ac:dyDescent="0.25">
      <c r="AA68" s="94">
        <v>-0.5</v>
      </c>
      <c r="AB68" s="94">
        <v>31</v>
      </c>
      <c r="AC68" s="94">
        <f t="shared" si="1"/>
        <v>32</v>
      </c>
      <c r="AE68" s="50">
        <v>-0.25</v>
      </c>
      <c r="AF68" s="50">
        <v>31</v>
      </c>
      <c r="AG68" s="50">
        <v>32</v>
      </c>
    </row>
    <row r="69" spans="27:33" x14ac:dyDescent="0.25">
      <c r="AA69" s="94">
        <v>0</v>
      </c>
      <c r="AB69" s="94">
        <v>30</v>
      </c>
      <c r="AC69" s="94">
        <f t="shared" si="1"/>
        <v>31</v>
      </c>
      <c r="AE69" s="50">
        <v>0</v>
      </c>
      <c r="AF69" s="50">
        <v>30</v>
      </c>
      <c r="AG69" s="50">
        <v>31</v>
      </c>
    </row>
    <row r="70" spans="27:33" x14ac:dyDescent="0.25">
      <c r="AA70" s="94">
        <v>0.5</v>
      </c>
      <c r="AB70" s="94">
        <v>29</v>
      </c>
      <c r="AC70" s="94">
        <f t="shared" si="1"/>
        <v>30</v>
      </c>
      <c r="AE70" s="50">
        <v>0.25</v>
      </c>
      <c r="AF70" s="50">
        <v>29</v>
      </c>
      <c r="AG70" s="50">
        <v>30</v>
      </c>
    </row>
    <row r="71" spans="27:33" x14ac:dyDescent="0.25">
      <c r="AA71" s="94">
        <v>1</v>
      </c>
      <c r="AB71" s="94">
        <v>28</v>
      </c>
      <c r="AC71" s="94">
        <f t="shared" si="1"/>
        <v>29</v>
      </c>
      <c r="AE71" s="50">
        <v>0.5</v>
      </c>
      <c r="AF71" s="50">
        <v>28</v>
      </c>
      <c r="AG71" s="50">
        <v>29</v>
      </c>
    </row>
    <row r="72" spans="27:33" x14ac:dyDescent="0.25">
      <c r="AA72" s="94">
        <v>1.5</v>
      </c>
      <c r="AB72" s="94">
        <v>27</v>
      </c>
      <c r="AC72" s="94">
        <f t="shared" si="1"/>
        <v>28</v>
      </c>
      <c r="AE72" s="50">
        <v>0.75</v>
      </c>
      <c r="AF72" s="50">
        <v>27</v>
      </c>
      <c r="AG72" s="50">
        <v>28</v>
      </c>
    </row>
    <row r="73" spans="27:33" x14ac:dyDescent="0.25">
      <c r="AA73" s="94">
        <v>2</v>
      </c>
      <c r="AB73" s="94">
        <v>26</v>
      </c>
      <c r="AC73" s="94">
        <f t="shared" si="1"/>
        <v>27</v>
      </c>
      <c r="AE73" s="50">
        <v>1</v>
      </c>
      <c r="AF73" s="50">
        <v>26</v>
      </c>
      <c r="AG73" s="50">
        <v>27</v>
      </c>
    </row>
    <row r="74" spans="27:33" x14ac:dyDescent="0.25">
      <c r="AA74" s="94">
        <v>2.5</v>
      </c>
      <c r="AB74" s="94">
        <v>25</v>
      </c>
      <c r="AC74" s="94">
        <f t="shared" si="1"/>
        <v>26</v>
      </c>
      <c r="AE74" s="50">
        <v>1.25</v>
      </c>
      <c r="AF74" s="50">
        <v>25</v>
      </c>
      <c r="AG74" s="50">
        <v>26</v>
      </c>
    </row>
    <row r="75" spans="27:33" x14ac:dyDescent="0.25">
      <c r="AA75" s="94">
        <v>3</v>
      </c>
      <c r="AB75" s="94">
        <v>24</v>
      </c>
      <c r="AC75" s="94">
        <f t="shared" si="1"/>
        <v>25</v>
      </c>
      <c r="AE75" s="50">
        <v>1.5</v>
      </c>
      <c r="AF75" s="50">
        <v>24</v>
      </c>
      <c r="AG75" s="50">
        <v>25</v>
      </c>
    </row>
    <row r="76" spans="27:33" x14ac:dyDescent="0.25">
      <c r="AA76" s="94">
        <v>3.5</v>
      </c>
      <c r="AB76" s="94">
        <v>23</v>
      </c>
      <c r="AC76" s="94">
        <f t="shared" si="1"/>
        <v>24</v>
      </c>
      <c r="AE76" s="50">
        <v>1.75</v>
      </c>
      <c r="AF76" s="50">
        <v>23</v>
      </c>
      <c r="AG76" s="50">
        <v>24</v>
      </c>
    </row>
    <row r="77" spans="27:33" x14ac:dyDescent="0.25">
      <c r="AA77" s="94">
        <v>4</v>
      </c>
      <c r="AB77" s="94">
        <v>22</v>
      </c>
      <c r="AC77" s="94">
        <f t="shared" si="1"/>
        <v>23</v>
      </c>
      <c r="AE77" s="50">
        <v>2</v>
      </c>
      <c r="AF77" s="50">
        <v>22</v>
      </c>
      <c r="AG77" s="50">
        <v>23</v>
      </c>
    </row>
    <row r="78" spans="27:33" x14ac:dyDescent="0.25">
      <c r="AA78" s="94">
        <v>4.5</v>
      </c>
      <c r="AB78" s="94">
        <v>21</v>
      </c>
      <c r="AC78" s="94">
        <f t="shared" si="1"/>
        <v>22</v>
      </c>
      <c r="AE78" s="50">
        <v>2.25</v>
      </c>
      <c r="AF78" s="50">
        <v>21</v>
      </c>
      <c r="AG78" s="50">
        <v>22</v>
      </c>
    </row>
    <row r="79" spans="27:33" x14ac:dyDescent="0.25">
      <c r="AA79" s="94">
        <v>5</v>
      </c>
      <c r="AB79" s="94">
        <v>20</v>
      </c>
      <c r="AC79" s="94">
        <f t="shared" si="1"/>
        <v>21</v>
      </c>
      <c r="AE79" s="50">
        <v>2.5</v>
      </c>
      <c r="AF79" s="50">
        <v>20</v>
      </c>
      <c r="AG79" s="50">
        <v>21</v>
      </c>
    </row>
    <row r="80" spans="27:33" x14ac:dyDescent="0.25">
      <c r="AA80" s="94">
        <v>5.5</v>
      </c>
      <c r="AB80" s="94">
        <v>19</v>
      </c>
      <c r="AC80" s="94">
        <f t="shared" si="1"/>
        <v>20</v>
      </c>
      <c r="AE80" s="50">
        <v>2.75</v>
      </c>
      <c r="AF80" s="50">
        <v>19</v>
      </c>
      <c r="AG80" s="50">
        <v>20</v>
      </c>
    </row>
    <row r="81" spans="27:33" x14ac:dyDescent="0.25">
      <c r="AA81" s="94">
        <v>6</v>
      </c>
      <c r="AB81" s="94">
        <v>18</v>
      </c>
      <c r="AC81" s="94">
        <f t="shared" si="1"/>
        <v>19</v>
      </c>
      <c r="AE81" s="50">
        <v>3</v>
      </c>
      <c r="AF81" s="50">
        <v>18</v>
      </c>
      <c r="AG81" s="50">
        <v>19</v>
      </c>
    </row>
    <row r="82" spans="27:33" x14ac:dyDescent="0.25">
      <c r="AA82" s="94">
        <v>6.5</v>
      </c>
      <c r="AB82" s="94">
        <v>17</v>
      </c>
      <c r="AC82" s="94">
        <f t="shared" si="1"/>
        <v>18</v>
      </c>
      <c r="AE82" s="50">
        <v>3.25</v>
      </c>
      <c r="AF82" s="50">
        <v>17</v>
      </c>
      <c r="AG82" s="50">
        <v>18</v>
      </c>
    </row>
    <row r="83" spans="27:33" x14ac:dyDescent="0.25">
      <c r="AA83" s="94">
        <v>7</v>
      </c>
      <c r="AB83" s="94">
        <v>16</v>
      </c>
      <c r="AC83" s="94">
        <f t="shared" si="1"/>
        <v>17</v>
      </c>
      <c r="AE83" s="50">
        <v>3.5</v>
      </c>
      <c r="AF83" s="50">
        <v>16</v>
      </c>
      <c r="AG83" s="50">
        <v>17</v>
      </c>
    </row>
    <row r="84" spans="27:33" x14ac:dyDescent="0.25">
      <c r="AA84" s="94">
        <v>7.5</v>
      </c>
      <c r="AB84" s="94">
        <v>15</v>
      </c>
      <c r="AC84" s="94">
        <f t="shared" si="1"/>
        <v>16</v>
      </c>
      <c r="AE84" s="50">
        <v>3.75</v>
      </c>
      <c r="AF84" s="50">
        <v>15</v>
      </c>
      <c r="AG84" s="50">
        <v>16</v>
      </c>
    </row>
    <row r="85" spans="27:33" x14ac:dyDescent="0.25">
      <c r="AA85" s="94">
        <v>8</v>
      </c>
      <c r="AB85" s="94">
        <v>14</v>
      </c>
      <c r="AC85" s="94">
        <f t="shared" si="1"/>
        <v>15</v>
      </c>
      <c r="AE85" s="50">
        <v>4</v>
      </c>
      <c r="AF85" s="50">
        <v>14</v>
      </c>
      <c r="AG85" s="50">
        <v>15</v>
      </c>
    </row>
    <row r="86" spans="27:33" x14ac:dyDescent="0.25">
      <c r="AA86" s="94">
        <v>8.5</v>
      </c>
      <c r="AB86" s="94">
        <v>13</v>
      </c>
      <c r="AC86" s="94">
        <f t="shared" si="1"/>
        <v>14</v>
      </c>
      <c r="AE86" s="50">
        <v>4.5</v>
      </c>
      <c r="AF86" s="50">
        <v>13</v>
      </c>
      <c r="AG86" s="50">
        <v>14</v>
      </c>
    </row>
    <row r="87" spans="27:33" x14ac:dyDescent="0.25">
      <c r="AA87" s="94">
        <v>9</v>
      </c>
      <c r="AB87" s="94">
        <v>12</v>
      </c>
      <c r="AC87" s="94">
        <f t="shared" si="1"/>
        <v>13</v>
      </c>
      <c r="AE87" s="50">
        <v>5</v>
      </c>
      <c r="AF87" s="50">
        <v>12</v>
      </c>
      <c r="AG87" s="50">
        <v>13</v>
      </c>
    </row>
    <row r="88" spans="27:33" x14ac:dyDescent="0.25">
      <c r="AA88" s="94">
        <v>9.5</v>
      </c>
      <c r="AB88" s="94">
        <v>11</v>
      </c>
      <c r="AC88" s="94">
        <f t="shared" si="1"/>
        <v>12</v>
      </c>
      <c r="AE88" s="50">
        <v>5.5</v>
      </c>
      <c r="AF88" s="50">
        <v>11</v>
      </c>
      <c r="AG88" s="50">
        <v>12</v>
      </c>
    </row>
    <row r="89" spans="27:33" x14ac:dyDescent="0.25">
      <c r="AA89" s="94">
        <v>10</v>
      </c>
      <c r="AB89" s="94">
        <v>10</v>
      </c>
      <c r="AC89" s="94">
        <f t="shared" si="1"/>
        <v>11</v>
      </c>
      <c r="AE89" s="50">
        <v>6</v>
      </c>
      <c r="AF89" s="50">
        <v>10</v>
      </c>
      <c r="AG89" s="50">
        <v>11</v>
      </c>
    </row>
    <row r="90" spans="27:33" x14ac:dyDescent="0.25">
      <c r="AA90" s="94">
        <v>11</v>
      </c>
      <c r="AB90" s="94">
        <v>9</v>
      </c>
      <c r="AC90" s="94">
        <f t="shared" si="1"/>
        <v>10</v>
      </c>
      <c r="AE90" s="50">
        <v>6.5</v>
      </c>
      <c r="AF90" s="50">
        <v>9</v>
      </c>
      <c r="AG90" s="50">
        <v>10</v>
      </c>
    </row>
    <row r="91" spans="27:33" x14ac:dyDescent="0.25">
      <c r="AA91" s="94">
        <v>12</v>
      </c>
      <c r="AB91" s="94">
        <v>8</v>
      </c>
      <c r="AC91" s="94">
        <f t="shared" si="1"/>
        <v>9</v>
      </c>
      <c r="AE91" s="50">
        <v>7</v>
      </c>
      <c r="AF91" s="50">
        <v>8</v>
      </c>
      <c r="AG91" s="50">
        <v>9</v>
      </c>
    </row>
    <row r="92" spans="27:33" x14ac:dyDescent="0.25">
      <c r="AA92" s="94">
        <v>13</v>
      </c>
      <c r="AB92" s="94">
        <v>7</v>
      </c>
      <c r="AC92" s="94">
        <f t="shared" si="1"/>
        <v>8</v>
      </c>
      <c r="AE92" s="50">
        <v>7.5</v>
      </c>
      <c r="AF92" s="50">
        <v>7</v>
      </c>
      <c r="AG92" s="50">
        <v>8</v>
      </c>
    </row>
    <row r="93" spans="27:33" x14ac:dyDescent="0.25">
      <c r="AA93" s="94">
        <v>14</v>
      </c>
      <c r="AB93" s="94">
        <v>6</v>
      </c>
      <c r="AC93" s="94">
        <f t="shared" si="1"/>
        <v>7</v>
      </c>
      <c r="AE93" s="50">
        <v>8</v>
      </c>
      <c r="AF93" s="50">
        <v>6</v>
      </c>
      <c r="AG93" s="50">
        <v>7</v>
      </c>
    </row>
    <row r="94" spans="27:33" x14ac:dyDescent="0.25">
      <c r="AA94" s="94">
        <v>15</v>
      </c>
      <c r="AB94" s="94">
        <v>5</v>
      </c>
      <c r="AC94" s="94">
        <f t="shared" si="1"/>
        <v>6</v>
      </c>
      <c r="AE94" s="50">
        <v>8.5</v>
      </c>
      <c r="AF94" s="50">
        <v>5</v>
      </c>
      <c r="AG94" s="50">
        <v>6</v>
      </c>
    </row>
    <row r="95" spans="27:33" x14ac:dyDescent="0.25">
      <c r="AA95" s="94">
        <v>16</v>
      </c>
      <c r="AB95" s="94">
        <v>4</v>
      </c>
      <c r="AC95" s="94">
        <f t="shared" si="1"/>
        <v>5</v>
      </c>
      <c r="AE95" s="50">
        <v>9</v>
      </c>
      <c r="AF95" s="50">
        <v>4</v>
      </c>
      <c r="AG95" s="50">
        <v>5</v>
      </c>
    </row>
    <row r="96" spans="27:33" x14ac:dyDescent="0.25">
      <c r="AA96" s="94">
        <v>17</v>
      </c>
      <c r="AB96" s="94">
        <v>3</v>
      </c>
      <c r="AC96" s="94">
        <f t="shared" si="1"/>
        <v>4</v>
      </c>
      <c r="AE96" s="50">
        <v>9.5</v>
      </c>
      <c r="AF96" s="50">
        <v>3</v>
      </c>
      <c r="AG96" s="50">
        <v>4</v>
      </c>
    </row>
    <row r="97" spans="27:33" x14ac:dyDescent="0.25">
      <c r="AA97" s="94">
        <v>18</v>
      </c>
      <c r="AB97" s="94">
        <v>2</v>
      </c>
      <c r="AC97" s="94">
        <f t="shared" si="1"/>
        <v>3</v>
      </c>
      <c r="AE97" s="50">
        <v>10</v>
      </c>
      <c r="AF97" s="50">
        <v>2</v>
      </c>
      <c r="AG97" s="50">
        <v>3</v>
      </c>
    </row>
    <row r="98" spans="27:33" x14ac:dyDescent="0.25">
      <c r="AA98" s="94">
        <v>19</v>
      </c>
      <c r="AB98" s="94">
        <v>1</v>
      </c>
      <c r="AC98" s="94">
        <f t="shared" si="1"/>
        <v>2</v>
      </c>
      <c r="AE98" s="50">
        <v>10.5</v>
      </c>
      <c r="AF98" s="50">
        <v>1</v>
      </c>
      <c r="AG98" s="50">
        <v>2</v>
      </c>
    </row>
  </sheetData>
  <mergeCells count="11">
    <mergeCell ref="H10:L11"/>
    <mergeCell ref="J40:N41"/>
    <mergeCell ref="J43:L43"/>
    <mergeCell ref="J45:L45"/>
    <mergeCell ref="F4:N6"/>
    <mergeCell ref="C54:M56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123</v>
      </c>
      <c r="O1" s="41"/>
      <c r="P1" s="50"/>
      <c r="Q1" s="102" t="str">
        <f>'Coord System'!N1</f>
        <v>Version 1.8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122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114</v>
      </c>
      <c r="G4" s="132" t="s">
        <v>126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119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92</v>
      </c>
      <c r="F14" s="28">
        <f>Calcs!AG17</f>
        <v>5.5</v>
      </c>
      <c r="G14" s="22" t="s">
        <v>13</v>
      </c>
      <c r="H14" s="22"/>
      <c r="I14" s="22"/>
      <c r="J14" s="29" t="s">
        <v>93</v>
      </c>
      <c r="K14" s="28">
        <f>Calcs!AH17</f>
        <v>-5</v>
      </c>
      <c r="L14" s="22" t="s">
        <v>13</v>
      </c>
      <c r="M14" s="22"/>
      <c r="N14" s="22"/>
      <c r="O14" s="29" t="s">
        <v>94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121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34">
        <f>Calcs!E26</f>
        <v>0</v>
      </c>
      <c r="G17" s="134"/>
      <c r="J17" s="29" t="s">
        <v>18</v>
      </c>
      <c r="K17" s="134">
        <f>Calcs!I26</f>
        <v>0</v>
      </c>
      <c r="L17" s="134"/>
      <c r="O17" s="29" t="s">
        <v>19</v>
      </c>
      <c r="P17" s="134">
        <f>Calcs!M26</f>
        <v>0</v>
      </c>
      <c r="Q17" s="134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95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34">
        <f>F17 * rot_sign_couch</f>
        <v>0</v>
      </c>
      <c r="G20" s="134"/>
      <c r="J20" s="29" t="s">
        <v>18</v>
      </c>
      <c r="K20" s="134">
        <f>K17* rot_sign_gantry</f>
        <v>0</v>
      </c>
      <c r="L20" s="134"/>
      <c r="O20" s="29" t="s">
        <v>19</v>
      </c>
      <c r="P20" s="134">
        <f>P17* rot_sign_coll</f>
        <v>0</v>
      </c>
      <c r="Q20" s="134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105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34">
        <f>F20</f>
        <v>0</v>
      </c>
      <c r="G23" s="134"/>
      <c r="J23" s="29" t="s">
        <v>18</v>
      </c>
      <c r="K23" s="134">
        <f>-K20</f>
        <v>0</v>
      </c>
      <c r="L23" s="134"/>
      <c r="O23" s="29" t="s">
        <v>19</v>
      </c>
      <c r="P23" s="134">
        <f>-P20</f>
        <v>0</v>
      </c>
      <c r="Q23" s="134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117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133</v>
      </c>
      <c r="D27" s="21"/>
    </row>
    <row r="28" spans="2:24" s="20" customFormat="1" ht="19.5" customHeight="1" x14ac:dyDescent="0.25">
      <c r="D28" s="20" t="s">
        <v>136</v>
      </c>
      <c r="N28" s="23" t="s">
        <v>96</v>
      </c>
      <c r="O28" s="31">
        <f>$F$14 * COS(RADIANS($F$23)) - $P$14 * SIN(RADIANS($F$23))</f>
        <v>5.5</v>
      </c>
    </row>
    <row r="29" spans="2:24" s="20" customFormat="1" ht="19.5" customHeight="1" x14ac:dyDescent="0.25">
      <c r="C29" s="109"/>
      <c r="D29" s="20" t="s">
        <v>137</v>
      </c>
      <c r="N29" s="23" t="s">
        <v>97</v>
      </c>
      <c r="O29" s="31">
        <f>Bt</f>
        <v>-5</v>
      </c>
      <c r="X29" s="100"/>
    </row>
    <row r="30" spans="2:24" s="20" customFormat="1" ht="19.5" customHeight="1" x14ac:dyDescent="0.25">
      <c r="C30" s="109"/>
      <c r="D30" s="20" t="s">
        <v>135</v>
      </c>
      <c r="N30" s="23" t="s">
        <v>98</v>
      </c>
      <c r="O30" s="31">
        <f xml:space="preserve"> $P$14 * COS(RADIANS($F$23)) + $F$14 * SIN(RADIANS($F$23))</f>
        <v>3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129</v>
      </c>
      <c r="N32" s="30"/>
    </row>
    <row r="33" spans="2:24" ht="19.5" customHeight="1" x14ac:dyDescent="0.25">
      <c r="C33" s="109"/>
      <c r="D33" s="20" t="s">
        <v>147</v>
      </c>
      <c r="H33" s="20"/>
      <c r="I33" s="20"/>
      <c r="J33" s="20"/>
      <c r="K33" s="20"/>
      <c r="M33" s="20"/>
      <c r="N33" s="23" t="s">
        <v>99</v>
      </c>
      <c r="O33" s="91">
        <f>$O$29 * -SIN(RADIANS($K$23)) + $O$28 * COS(RADIANS($K$23))</f>
        <v>5.5</v>
      </c>
    </row>
    <row r="34" spans="2:24" ht="19.5" customHeight="1" x14ac:dyDescent="0.25">
      <c r="C34" s="109"/>
      <c r="D34" s="20" t="s">
        <v>148</v>
      </c>
      <c r="H34" s="20"/>
      <c r="I34" s="20"/>
      <c r="J34" s="20"/>
      <c r="L34" s="20"/>
      <c r="M34" s="20"/>
      <c r="N34" s="23" t="s">
        <v>100</v>
      </c>
      <c r="O34" s="91">
        <f>$O$29 * COS(RADIANS($K$23)) + $O$28 * SIN(RADIANS($K$23))</f>
        <v>-5</v>
      </c>
    </row>
    <row r="35" spans="2:24" ht="19.5" customHeight="1" x14ac:dyDescent="0.25">
      <c r="D35" s="20" t="s">
        <v>130</v>
      </c>
      <c r="H35" s="20"/>
      <c r="I35" s="20"/>
      <c r="J35" s="20"/>
      <c r="K35" s="20"/>
      <c r="N35" s="23" t="s">
        <v>101</v>
      </c>
      <c r="O35" s="91">
        <f>$O$30</f>
        <v>3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134</v>
      </c>
      <c r="N37" s="30"/>
    </row>
    <row r="38" spans="2:24" ht="19.5" customHeight="1" x14ac:dyDescent="0.25">
      <c r="D38" s="20" t="s">
        <v>139</v>
      </c>
      <c r="H38" s="20"/>
      <c r="I38" s="20"/>
      <c r="J38" s="20"/>
      <c r="K38" s="20"/>
      <c r="L38" s="20"/>
      <c r="M38" s="20"/>
      <c r="N38" s="23" t="s">
        <v>102</v>
      </c>
      <c r="O38" s="90">
        <f>$O$33 * COS(RADIANS($P$23)) - $O$35 * SIN(RADIANS($P$23))</f>
        <v>5.5</v>
      </c>
    </row>
    <row r="39" spans="2:24" ht="19.5" customHeight="1" x14ac:dyDescent="0.25">
      <c r="C39" s="21"/>
      <c r="D39" s="20" t="s">
        <v>140</v>
      </c>
      <c r="H39" s="20"/>
      <c r="I39" s="20"/>
      <c r="J39" s="20"/>
      <c r="K39" s="20"/>
      <c r="L39" s="20"/>
      <c r="M39" s="20"/>
      <c r="N39" s="23" t="s">
        <v>103</v>
      </c>
      <c r="O39" s="90">
        <f>O34</f>
        <v>-5</v>
      </c>
    </row>
    <row r="40" spans="2:24" ht="19.5" customHeight="1" x14ac:dyDescent="0.25">
      <c r="C40" s="21"/>
      <c r="D40" s="20" t="s">
        <v>138</v>
      </c>
      <c r="H40" s="20"/>
      <c r="I40" s="20"/>
      <c r="J40" s="20"/>
      <c r="K40" s="20"/>
      <c r="L40" s="20"/>
      <c r="M40" s="20"/>
      <c r="N40" s="23" t="s">
        <v>104</v>
      </c>
      <c r="O40" s="90">
        <f>$O$33 * SIN(RADIANS($P$23)) + $O$35 * COS(RADIANS($P$23))</f>
        <v>3</v>
      </c>
    </row>
    <row r="41" spans="2:24" ht="19.5" customHeight="1" x14ac:dyDescent="0.25"/>
    <row r="42" spans="2:24" ht="19.5" customHeight="1" x14ac:dyDescent="0.25">
      <c r="D42" s="20" t="s">
        <v>141</v>
      </c>
      <c r="N42" s="30" t="s">
        <v>143</v>
      </c>
      <c r="O42" s="31">
        <f>$O$38 * (100 / (100 + $O$39))</f>
        <v>5.7894736842105257</v>
      </c>
    </row>
    <row r="43" spans="2:24" ht="19.5" customHeight="1" x14ac:dyDescent="0.25">
      <c r="D43" s="20" t="s">
        <v>142</v>
      </c>
      <c r="N43" s="30" t="s">
        <v>106</v>
      </c>
      <c r="O43" s="31">
        <f>$O$40 * (100 / (100 + $O$39))</f>
        <v>3.1578947368421053</v>
      </c>
    </row>
    <row r="47" spans="2:24" ht="18" customHeight="1" x14ac:dyDescent="0.3">
      <c r="B47" s="104" t="s">
        <v>118</v>
      </c>
    </row>
    <row r="48" spans="2:24" ht="18" customHeight="1" x14ac:dyDescent="0.35">
      <c r="B48" t="s">
        <v>26</v>
      </c>
      <c r="S48" s="66" t="s">
        <v>55</v>
      </c>
      <c r="T48" s="67">
        <f>Calcs!E43</f>
        <v>3</v>
      </c>
      <c r="W48" s="66" t="s">
        <v>55</v>
      </c>
      <c r="X48" s="67">
        <f>Calcs!E49</f>
        <v>3.25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6.5947179400745615</v>
      </c>
      <c r="W50" s="24" t="s">
        <v>31</v>
      </c>
      <c r="X50" s="35">
        <f>SQRT(O42^2 + O43^2)</f>
        <v>6.5947179400745615</v>
      </c>
    </row>
    <row r="52" spans="4:25" ht="18" customHeight="1" x14ac:dyDescent="0.35">
      <c r="D52" t="s">
        <v>28</v>
      </c>
      <c r="S52" s="24" t="s">
        <v>57</v>
      </c>
      <c r="T52" s="35">
        <f>T48</f>
        <v>3</v>
      </c>
      <c r="W52" s="24" t="s">
        <v>57</v>
      </c>
      <c r="X52" s="35">
        <f>X48</f>
        <v>3.25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5.8728446862777899</v>
      </c>
      <c r="W54" s="24" t="s">
        <v>56</v>
      </c>
      <c r="X54" s="35">
        <f>SIGN(O42) * SQRT(X50^2 - X52^2)</f>
        <v>5.738275412451137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-1.5513466609989948</v>
      </c>
      <c r="W56" s="36" t="s">
        <v>58</v>
      </c>
      <c r="X56" s="35">
        <f>DEGREES( ATAN(X52/X54) ) - DEGREES( ATAN(O43/O42) )</f>
        <v>0.91555263973529932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1.5513466609989948</v>
      </c>
      <c r="U58" t="s">
        <v>32</v>
      </c>
      <c r="W58" s="36" t="s">
        <v>59</v>
      </c>
      <c r="X58" s="1">
        <f>IF(Calcs!M26 - X56&lt;0, Calcs!M26 - X56 + 360, Calcs!M26 - X56)</f>
        <v>359.08444736026468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4"/>
  <sheetViews>
    <sheetView workbookViewId="0">
      <selection activeCell="E5" sqref="E5"/>
    </sheetView>
  </sheetViews>
  <sheetFormatPr defaultRowHeight="15" x14ac:dyDescent="0.25"/>
  <cols>
    <col min="1" max="2" width="4.7109375" customWidth="1"/>
  </cols>
  <sheetData>
    <row r="2" spans="2:14" ht="18.75" x14ac:dyDescent="0.3">
      <c r="B2" s="83" t="s">
        <v>60</v>
      </c>
    </row>
    <row r="3" spans="2:14" ht="7.5" customHeight="1" x14ac:dyDescent="0.25"/>
    <row r="4" spans="2:14" ht="15" customHeight="1" x14ac:dyDescent="0.25">
      <c r="C4" s="84" t="s">
        <v>146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7"/>
      <c r="L7" s="77"/>
      <c r="M7" s="77"/>
      <c r="N7" s="78"/>
    </row>
    <row r="8" spans="2:14" x14ac:dyDescent="0.25">
      <c r="C8" s="87" t="s">
        <v>65</v>
      </c>
      <c r="D8" s="85" t="s">
        <v>63</v>
      </c>
      <c r="N8" s="79"/>
    </row>
    <row r="9" spans="2:14" x14ac:dyDescent="0.25">
      <c r="C9" s="87">
        <v>1.1000000000000001</v>
      </c>
      <c r="D9" s="85" t="s">
        <v>64</v>
      </c>
      <c r="N9" s="79"/>
    </row>
    <row r="10" spans="2:14" x14ac:dyDescent="0.25">
      <c r="C10" s="87">
        <v>1.2</v>
      </c>
      <c r="D10" s="85" t="s">
        <v>66</v>
      </c>
      <c r="N10" s="79"/>
    </row>
    <row r="11" spans="2:14" x14ac:dyDescent="0.25">
      <c r="C11" s="87" t="s">
        <v>68</v>
      </c>
      <c r="D11" s="85" t="s">
        <v>69</v>
      </c>
      <c r="N11" s="79"/>
    </row>
    <row r="12" spans="2:14" ht="45" customHeight="1" x14ac:dyDescent="0.25">
      <c r="C12" s="110" t="s">
        <v>116</v>
      </c>
      <c r="D12" s="135" t="s">
        <v>124</v>
      </c>
      <c r="E12" s="136"/>
      <c r="F12" s="136"/>
      <c r="G12" s="136"/>
      <c r="H12" s="136"/>
      <c r="I12" s="136"/>
      <c r="J12" s="136"/>
      <c r="K12" s="136"/>
      <c r="L12" s="136"/>
      <c r="M12" s="136"/>
      <c r="N12" s="137"/>
    </row>
    <row r="13" spans="2:14" ht="15" customHeight="1" x14ac:dyDescent="0.25">
      <c r="C13" s="87" t="s">
        <v>131</v>
      </c>
      <c r="D13" s="113" t="s">
        <v>132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2"/>
    </row>
    <row r="14" spans="2:14" x14ac:dyDescent="0.25">
      <c r="C14" s="87" t="s">
        <v>144</v>
      </c>
      <c r="D14" s="85" t="s">
        <v>145</v>
      </c>
      <c r="N14" s="79"/>
    </row>
    <row r="15" spans="2:14" x14ac:dyDescent="0.25">
      <c r="C15" s="87" t="s">
        <v>149</v>
      </c>
      <c r="D15" s="85" t="s">
        <v>150</v>
      </c>
      <c r="N15" s="79"/>
    </row>
    <row r="16" spans="2:14" x14ac:dyDescent="0.25">
      <c r="C16" s="88" t="s">
        <v>152</v>
      </c>
      <c r="D16" s="86" t="s">
        <v>153</v>
      </c>
      <c r="E16" s="80"/>
      <c r="F16" s="80"/>
      <c r="G16" s="80"/>
      <c r="H16" s="80"/>
      <c r="I16" s="80"/>
      <c r="J16" s="80"/>
      <c r="K16" s="80"/>
      <c r="L16" s="80"/>
      <c r="M16" s="80"/>
      <c r="N16" s="81"/>
    </row>
    <row r="17" spans="3:3" x14ac:dyDescent="0.25">
      <c r="C17" s="75"/>
    </row>
    <row r="18" spans="3:3" x14ac:dyDescent="0.25">
      <c r="C18" s="75"/>
    </row>
    <row r="19" spans="3:3" x14ac:dyDescent="0.25">
      <c r="C19" s="76"/>
    </row>
    <row r="20" spans="3:3" x14ac:dyDescent="0.25">
      <c r="C20" s="76"/>
    </row>
    <row r="21" spans="3:3" x14ac:dyDescent="0.25">
      <c r="C21" s="76"/>
    </row>
    <row r="22" spans="3:3" x14ac:dyDescent="0.25">
      <c r="C22" s="76"/>
    </row>
    <row r="23" spans="3:3" x14ac:dyDescent="0.25">
      <c r="C23" s="76"/>
    </row>
    <row r="24" spans="3:3" x14ac:dyDescent="0.25">
      <c r="C24" s="76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2023-10-17T20:02:18Z</dcterms:modified>
</cp:coreProperties>
</file>