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8DEBA401-E921-4463-B0D8-A1D8F3C133E8}" xr6:coauthVersionLast="47" xr6:coauthVersionMax="47" xr10:uidLastSave="{00000000-0000-0000-0000-000000000000}"/>
  <bookViews>
    <workbookView xWindow="3765" yWindow="1140" windowWidth="23715" windowHeight="15750" tabRatio="517" xr2:uid="{5D793858-2E08-460B-A8FF-38326940BF89}"/>
  </bookViews>
  <sheets>
    <sheet name="Main" sheetId="1" r:id="rId1"/>
    <sheet name="Details" sheetId="2" r:id="rId2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40" i="2" s="1"/>
  <c r="X37" i="2" s="1"/>
  <c r="J49" i="1" l="1"/>
  <c r="T34" i="2"/>
  <c r="T40" i="2" s="1"/>
  <c r="X42" i="2"/>
  <c r="X44" i="2" s="1"/>
  <c r="J56" i="1"/>
  <c r="T37" i="2" l="1"/>
  <c r="J50" i="1" s="1"/>
  <c r="J54" i="1"/>
  <c r="T42" i="2" l="1"/>
  <c r="T44" i="2" s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<sst xmlns="http://schemas.openxmlformats.org/spreadsheetml/2006/main" count="130" uniqueCount="101">
  <si>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</si>
  <si>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</si>
  <si>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</si>
  <si>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</si>
  <si>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</si>
  <si>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</si>
  <si>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</si>
  <si>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</si>
  <si>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</si>
  <si>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</si>
  <si>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Field calculator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</si>
  <si>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</si>
  <si>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</si>
  <si>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</si>
  <si>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</si>
  <si>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</si>
  <si>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</si>
  <si>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</si>
  <si>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</si>
  <si>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</si>
  <si>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</si>
  <si>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</si>
  <si>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</si>
  <si>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</si>
  <si>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</si>
  <si>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</si>
  <si>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</si>
  <si>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</si>
  <si>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</si>
  <si>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</si>
  <si>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</si>
  <si>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</si>
  <si>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</si>
  <si>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</si>
  <si>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</si>
  <si>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</si>
  <si>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</si>
  <si>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</si>
  <si>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</si>
  <si>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</si>
  <si>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</si>
  <si>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</si>
  <si>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</si>
  <si>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</si>
  <si>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</si>
  <si>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</si>
  <si>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</si>
  <si>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</si>
  <si>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</si>
  <si>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</si>
  <si>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</si>
  <si>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</si>
  <si>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t>Gap Size (cm)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</si>
  <si>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</si>
  <si>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</si>
  <si>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</si>
  <si>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</si>
  <si>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</si>
  <si>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</si>
  <si>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</si>
  <si>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</si>
  <si>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</si>
  <si>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</si>
  <si>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</si>
  <si>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</si>
  <si>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</si>
  <si>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</si>
  <si>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</si>
  <si>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</si>
  <si>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</si>
  <si>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Note that the Collimator angle will ultimately be slightly different than desired, as we use a collimator angle correction to align MLC leaf gaps.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</si>
  <si>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</si>
  <si>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</si>
  <si>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</si>
  <si>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</si>
  <si>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</si>
  <si>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</si>
  <si>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</si>
  <si>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</si>
  <si>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</si>
  <si>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</si>
  <si>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</si>
  <si>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</si>
  <si>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Step 1.  Specify sign of rotations.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</si>
  <si>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</si>
  <si>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</si>
  <si>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>( Coord. System = TPS )</t>
  </si>
  <si>
    <t>( Coord. System = BEV )</t>
  </si>
  <si>
    <t>Field Parameters calculator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</si>
  <si>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</si>
  <si>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</si>
  <si>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</si>
  <si>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</si>
  <si>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</si>
  <si>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t>Step 5.  Determine closest leaf gaps, and calculate needed collimator angle correction to align that leaf gap with target.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</si>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</sst>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/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0" fillId="2" borderId="1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323850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285750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314325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10</xdr:col>
      <xdr:colOff>285750</xdr:colOff>
      <xdr:row>17</xdr:row>
      <xdr:rowOff>209550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B7005-940A-4B16-BFBD-E833B2146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3952875"/>
          <a:ext cx="21907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10</xdr:col>
      <xdr:colOff>266700</xdr:colOff>
      <xdr:row>18</xdr:row>
      <xdr:rowOff>209550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C65FEF-6B94-4B97-8275-37D257AF8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181475"/>
          <a:ext cx="2171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380999</xdr:colOff>
      <xdr:row>19</xdr:row>
      <xdr:rowOff>0</xdr:rowOff>
    </xdr:from>
    <xdr:to>
      <xdr:col>6</xdr:col>
      <xdr:colOff>180974</xdr:colOff>
      <xdr:row>20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2D5403-244C-498F-A238-545930A48D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-13461" b="-28571"/>
        <a:stretch/>
      </xdr:blipFill>
      <xdr:spPr bwMode="auto">
        <a:xfrm>
          <a:off x="1771649" y="4410075"/>
          <a:ext cx="5619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10</xdr:col>
      <xdr:colOff>371475</xdr:colOff>
      <xdr:row>22</xdr:row>
      <xdr:rowOff>200025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095875"/>
          <a:ext cx="22764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123825</xdr:colOff>
      <xdr:row>23</xdr:row>
      <xdr:rowOff>200025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324475"/>
          <a:ext cx="5048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19050</xdr:colOff>
      <xdr:row>24</xdr:row>
      <xdr:rowOff>200025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5553075"/>
          <a:ext cx="23050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11</xdr:col>
      <xdr:colOff>66675</xdr:colOff>
      <xdr:row>28</xdr:row>
      <xdr:rowOff>200025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467475"/>
          <a:ext cx="23526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11</xdr:col>
      <xdr:colOff>28575</xdr:colOff>
      <xdr:row>29</xdr:row>
      <xdr:rowOff>200025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924675"/>
          <a:ext cx="2314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161925</xdr:colOff>
      <xdr:row>36</xdr:row>
      <xdr:rowOff>0</xdr:rowOff>
    </xdr:from>
    <xdr:to>
      <xdr:col>10</xdr:col>
      <xdr:colOff>0</xdr:colOff>
      <xdr:row>37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4450EC3-200B-457A-BBB0-978ADC273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8782050"/>
          <a:ext cx="17430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7</xdr:col>
      <xdr:colOff>304800</xdr:colOff>
      <xdr:row>39</xdr:row>
      <xdr:rowOff>200025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79A89C0-5C06-4D4D-A9EA-8F70FDF5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467850"/>
          <a:ext cx="10668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16</xdr:col>
      <xdr:colOff>295275</xdr:colOff>
      <xdr:row>42</xdr:row>
      <xdr:rowOff>85725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F902265-A12C-4B05-A84C-40F0C3F8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9925050"/>
          <a:ext cx="448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8</xdr:col>
      <xdr:colOff>295275</xdr:colOff>
      <xdr:row>43</xdr:row>
      <xdr:rowOff>200025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5331C0-31DD-4F3C-89B1-1C3116CCF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382250"/>
          <a:ext cx="14382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15" width="9.140625" style="60"/>
    <col min="16" max="69" width="9.140625" style="51"/>
  </cols>
  <sheetData>
    <row r="1" spans="1:69" ht="23.25" x14ac:dyDescent="0.35">
      <c r="A1" s="22" t="s">
        <v>0</v>
      </c>
    </row>
    <row r="2" spans="1:69" ht="18.75" x14ac:dyDescent="0.3">
      <c r="A2" s="21" t="s">
        <v>88</v>
      </c>
    </row>
    <row r="3" spans="1:69" ht="15.75" thickBot="1" x14ac:dyDescent="0.3"/>
    <row r="4" spans="1:69" x14ac:dyDescent="0.25">
      <c r="B4" s="49" t="s">
        <v>83</v>
      </c>
      <c r="C4" s="49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69" ht="6" customHeight="1" x14ac:dyDescent="0.25"/>
    <row r="6" spans="1:69" x14ac:dyDescent="0.25">
      <c r="C6" t="s">
        <v>89</v>
      </c>
      <c r="L6" t="s">
        <v>84</v>
      </c>
    </row>
    <row r="7" spans="1:69" x14ac:dyDescent="0.25">
      <c r="C7" t="s">
        <v>90</v>
      </c>
    </row>
    <row r="8" spans="1:69" s="70" customFormat="1" ht="45" customHeight="1" x14ac:dyDescent="0.25">
      <c r="C8" s="78" t="s">
        <v>85</v>
      </c>
      <c r="D8" s="78"/>
      <c r="E8" s="78"/>
      <c r="F8" s="78"/>
      <c r="G8" s="78"/>
      <c r="H8" s="78"/>
      <c r="I8" s="78"/>
      <c r="J8" s="78"/>
      <c r="K8" s="78"/>
      <c r="L8" s="78"/>
      <c r="M8" s="72"/>
      <c r="O8" s="71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</row>
    <row r="9" spans="1:69" ht="6" customHeight="1" x14ac:dyDescent="0.25"/>
    <row r="10" spans="1:69" s="25" customFormat="1" ht="18" customHeight="1" x14ac:dyDescent="0.25">
      <c r="C10" s="63" t="s">
        <v>76</v>
      </c>
      <c r="D10" s="64"/>
      <c r="E10" s="90" t="s">
        <v>87</v>
      </c>
      <c r="F10" s="73"/>
      <c r="G10" s="67" t="s">
        <v>74</v>
      </c>
      <c r="H10" s="68"/>
      <c r="I10" s="68"/>
      <c r="J10" s="74"/>
      <c r="K10" s="65" t="s">
        <v>79</v>
      </c>
      <c r="L10" s="69" t="s">
        <v>81</v>
      </c>
      <c r="P10" s="76" cm="1">
        <f t="array" ref="P10">INDEX($V$11:$V$12, MATCH(K10,$U$11:$U$12,0), 0)</f>
        <v>1</v>
      </c>
      <c r="Q10" s="77"/>
      <c r="R10" s="77"/>
      <c r="S10" s="77"/>
      <c r="T10" s="77"/>
      <c r="U10" s="77" t="s">
        <v>78</v>
      </c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</row>
    <row r="11" spans="1:69" s="25" customFormat="1" ht="18" customHeight="1" x14ac:dyDescent="0.25">
      <c r="C11" s="63" t="s">
        <v>75</v>
      </c>
      <c r="D11" s="64"/>
      <c r="E11" s="90" t="s">
        <v>86</v>
      </c>
      <c r="F11" s="73"/>
      <c r="G11" s="67" t="s">
        <v>91</v>
      </c>
      <c r="H11" s="68"/>
      <c r="I11" s="68"/>
      <c r="J11" s="74"/>
      <c r="K11" s="66" t="s">
        <v>80</v>
      </c>
      <c r="L11" s="69" t="s">
        <v>81</v>
      </c>
      <c r="P11" s="76" cm="1">
        <f t="array" ref="P11">INDEX($V$11:$V$12, MATCH(K11,$U$11:$U$12,0), 0)</f>
        <v>-1</v>
      </c>
      <c r="Q11" s="77"/>
      <c r="R11" s="77"/>
      <c r="S11" s="77"/>
      <c r="T11" s="77"/>
      <c r="U11" s="77" t="s">
        <v>79</v>
      </c>
      <c r="V11" s="77">
        <v>1</v>
      </c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</row>
    <row r="12" spans="1:69" s="25" customFormat="1" ht="18" customHeight="1" x14ac:dyDescent="0.25">
      <c r="C12" s="63" t="s">
        <v>77</v>
      </c>
      <c r="D12" s="64"/>
      <c r="E12" s="90" t="s">
        <v>87</v>
      </c>
      <c r="F12" s="73"/>
      <c r="G12" s="67" t="s">
        <v>82</v>
      </c>
      <c r="H12" s="68"/>
      <c r="I12" s="68"/>
      <c r="J12" s="74"/>
      <c r="K12" s="66" t="s">
        <v>80</v>
      </c>
      <c r="L12" s="69" t="s">
        <v>81</v>
      </c>
      <c r="P12" s="76" cm="1">
        <f t="array" ref="P12">INDEX($V$11:$V$12, MATCH(K12,$U$11:$U$12,0), 0)</f>
        <v>-1</v>
      </c>
      <c r="Q12" s="77"/>
      <c r="R12" s="77"/>
      <c r="S12" s="77"/>
      <c r="T12" s="77"/>
      <c r="U12" s="77" t="s">
        <v>80</v>
      </c>
      <c r="V12" s="77">
        <v>-1</v>
      </c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</row>
    <row r="14" spans="1:69" ht="15.75" thickBot="1" x14ac:dyDescent="0.3"/>
    <row r="15" spans="1:69" x14ac:dyDescent="0.25">
      <c r="B15" s="49" t="s">
        <v>71</v>
      </c>
      <c r="C15" s="49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</row>
    <row r="16" spans="1:69" ht="6" customHeight="1" x14ac:dyDescent="0.25"/>
    <row r="17" spans="2:14" ht="18" customHeight="1" x14ac:dyDescent="0.25">
      <c r="C17" t="s">
        <v>92</v>
      </c>
      <c r="H17" s="79" t="s">
        <v>11</v>
      </c>
      <c r="I17" s="79"/>
      <c r="J17" s="79"/>
      <c r="K17" s="79"/>
      <c r="L17" s="79"/>
    </row>
    <row r="18" spans="2:14" ht="18" customHeight="1" x14ac:dyDescent="0.25">
      <c r="H18" s="79"/>
      <c r="I18" s="79"/>
      <c r="J18" s="79"/>
      <c r="K18" s="79"/>
      <c r="L18" s="79"/>
    </row>
    <row r="19" spans="2:14" x14ac:dyDescent="0.25">
      <c r="C19" s="2"/>
      <c r="D19" s="87" t="s">
        <v>5</v>
      </c>
      <c r="E19" s="87"/>
      <c r="F19" s="88"/>
      <c r="H19" s="17" t="s">
        <v>7</v>
      </c>
      <c r="I19" s="15"/>
      <c r="J19" s="14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7" t="s">
        <v>8</v>
      </c>
      <c r="I20" s="15"/>
      <c r="J20" s="14">
        <v>5</v>
      </c>
    </row>
    <row r="21" spans="2:14" x14ac:dyDescent="0.25">
      <c r="C21" s="6">
        <v>1</v>
      </c>
      <c r="D21" s="1">
        <v>-2.5</v>
      </c>
      <c r="E21" s="1">
        <v>3</v>
      </c>
      <c r="F21" s="7">
        <v>-1</v>
      </c>
    </row>
    <row r="22" spans="2:14" x14ac:dyDescent="0.25">
      <c r="C22" s="6">
        <v>2</v>
      </c>
      <c r="D22" s="1">
        <v>-1.5</v>
      </c>
      <c r="E22" s="1">
        <v>1.5</v>
      </c>
      <c r="F22" s="7">
        <v>1</v>
      </c>
    </row>
    <row r="23" spans="2:14" x14ac:dyDescent="0.25">
      <c r="C23" s="6">
        <v>3</v>
      </c>
      <c r="D23" s="1">
        <v>0</v>
      </c>
      <c r="E23" s="1">
        <v>0</v>
      </c>
      <c r="F23" s="7">
        <v>0</v>
      </c>
      <c r="H23" s="89" t="s">
        <v>9</v>
      </c>
      <c r="I23" s="87"/>
      <c r="J23" s="88"/>
      <c r="K23" s="18"/>
    </row>
    <row r="24" spans="2:14" x14ac:dyDescent="0.25">
      <c r="C24" s="6">
        <v>4</v>
      </c>
      <c r="D24" s="1">
        <v>2</v>
      </c>
      <c r="E24" s="1">
        <v>-1</v>
      </c>
      <c r="F24" s="7">
        <v>-2</v>
      </c>
      <c r="H24" s="3" t="s">
        <v>2</v>
      </c>
      <c r="I24" s="13" t="s">
        <v>3</v>
      </c>
      <c r="J24" s="5" t="s">
        <v>4</v>
      </c>
      <c r="K24" s="19" t="s">
        <v>6</v>
      </c>
    </row>
    <row r="25" spans="2:14" x14ac:dyDescent="0.25">
      <c r="C25" s="8">
        <v>5</v>
      </c>
      <c r="D25" s="9">
        <v>3</v>
      </c>
      <c r="E25" s="9">
        <v>-2</v>
      </c>
      <c r="F25" s="10">
        <v>2</v>
      </c>
      <c r="H25" s="11">
        <f>VLOOKUP($J$20,$C$21:$F$25,2) - VLOOKUP($J$19,$C$21:$F$25,2)</f>
        <v>5.5</v>
      </c>
      <c r="I25" s="9">
        <f>VLOOKUP($J$20,$C$21:$F$25,3) - VLOOKUP($J$19,$C$21:$F$25,3)</f>
        <v>-5</v>
      </c>
      <c r="J25" s="9">
        <f>VLOOKUP($J$20,$C$21:$F$25,4) - VLOOKUP($J$19,$C$21:$F$25,4)</f>
        <v>3</v>
      </c>
      <c r="K25" s="12">
        <f>SQRT(H25^2 + I25^2 + J25^2)</f>
        <v>8.0156097709406993</v>
      </c>
    </row>
    <row r="27" spans="2:14" ht="15.75" thickBot="1" x14ac:dyDescent="0.3">
      <c r="F27" s="16"/>
    </row>
    <row r="28" spans="2:14" x14ac:dyDescent="0.25">
      <c r="B28" s="49" t="s">
        <v>72</v>
      </c>
      <c r="C28" s="49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2:14" ht="6" customHeight="1" x14ac:dyDescent="0.25">
      <c r="B29" s="20"/>
      <c r="C29" s="20"/>
    </row>
    <row r="30" spans="2:14" ht="15" customHeight="1" x14ac:dyDescent="0.25">
      <c r="C30" s="78" t="s">
        <v>70</v>
      </c>
      <c r="D30" s="78"/>
      <c r="E30" s="78"/>
      <c r="F30" s="78"/>
      <c r="G30" s="78"/>
      <c r="H30" s="78"/>
      <c r="I30" s="78"/>
      <c r="J30" s="78"/>
      <c r="K30" s="78"/>
      <c r="L30" s="78"/>
      <c r="M30" s="78"/>
    </row>
    <row r="31" spans="2:14" ht="15" customHeight="1" x14ac:dyDescent="0.25"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4" ht="6" customHeight="1" x14ac:dyDescent="0.25"/>
    <row r="33" spans="2:33" x14ac:dyDescent="0.25">
      <c r="C33" s="17" t="s">
        <v>12</v>
      </c>
      <c r="D33" s="23"/>
      <c r="E33" s="24">
        <v>0</v>
      </c>
      <c r="G33" s="17" t="s">
        <v>13</v>
      </c>
      <c r="H33" s="23"/>
      <c r="I33" s="24">
        <v>0</v>
      </c>
      <c r="K33" s="17" t="s">
        <v>14</v>
      </c>
      <c r="L33" s="23"/>
      <c r="M33" s="24">
        <v>0</v>
      </c>
    </row>
    <row r="35" spans="2:33" ht="15.75" thickBot="1" x14ac:dyDescent="0.3"/>
    <row r="36" spans="2:33" x14ac:dyDescent="0.25">
      <c r="B36" s="49" t="s">
        <v>73</v>
      </c>
      <c r="C36" s="49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spans="2:33" ht="6" customHeight="1" x14ac:dyDescent="0.25"/>
    <row r="38" spans="2:33" x14ac:dyDescent="0.25">
      <c r="C38" s="44" t="s">
        <v>93</v>
      </c>
    </row>
    <row r="39" spans="2:33" ht="6" customHeight="1" x14ac:dyDescent="0.25"/>
    <row r="40" spans="2:33" ht="18" x14ac:dyDescent="0.25">
      <c r="C40" s="37" t="s">
        <v>38</v>
      </c>
      <c r="D40" s="55">
        <f>Details!Q29</f>
        <v>5.7894736842105257</v>
      </c>
      <c r="F40" s="37" t="s">
        <v>39</v>
      </c>
      <c r="G40" s="55">
        <f>Details!Q30</f>
        <v>3.1578947368421053</v>
      </c>
      <c r="N40" s="60"/>
    </row>
    <row r="42" spans="2:33" ht="15.75" thickBot="1" x14ac:dyDescent="0.3"/>
    <row r="43" spans="2:33" x14ac:dyDescent="0.25">
      <c r="B43" s="49" t="s">
        <v>94</v>
      </c>
      <c r="C43" s="49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U43" s="51" t="s">
        <v>50</v>
      </c>
      <c r="V43" s="51">
        <v>0.5</v>
      </c>
      <c r="W43" s="51">
        <v>8.5</v>
      </c>
      <c r="X43" s="51">
        <v>1</v>
      </c>
      <c r="AA43" s="51" t="s">
        <v>65</v>
      </c>
      <c r="AB43" s="62" t="s">
        <v>66</v>
      </c>
      <c r="AC43" s="61"/>
      <c r="AE43" s="51" t="s">
        <v>65</v>
      </c>
      <c r="AF43" s="51" t="s">
        <v>66</v>
      </c>
    </row>
    <row r="44" spans="2:33" x14ac:dyDescent="0.25">
      <c r="U44" s="51" t="s">
        <v>51</v>
      </c>
      <c r="V44" s="51">
        <v>0.25</v>
      </c>
      <c r="W44" s="51">
        <v>3</v>
      </c>
      <c r="X44" s="51">
        <v>0.5</v>
      </c>
      <c r="AA44" s="61">
        <v>-19</v>
      </c>
      <c r="AB44" s="61">
        <v>59</v>
      </c>
      <c r="AC44" s="61">
        <f>AB44+1</f>
        <v>60</v>
      </c>
      <c r="AE44" s="51">
        <v>-10.5</v>
      </c>
      <c r="AF44" s="51">
        <v>59</v>
      </c>
      <c r="AG44" s="51">
        <v>60</v>
      </c>
    </row>
    <row r="45" spans="2:33" x14ac:dyDescent="0.25">
      <c r="C45" s="17" t="s">
        <v>49</v>
      </c>
      <c r="D45" s="23"/>
      <c r="E45" s="24" t="s">
        <v>50</v>
      </c>
      <c r="F45" s="61">
        <f>MATCH(E45,$U$43:$U$44,0)</f>
        <v>1</v>
      </c>
      <c r="G45" s="17" t="s">
        <v>52</v>
      </c>
      <c r="H45" s="23"/>
      <c r="I45" s="56" cm="1">
        <f t="array" ref="I45">IF(OR(G40&lt;-INDEX(W43:W44,F45), G40&gt;INDEX(W43:W44,F45)), INDEX(X43:X44,F45), INDEX($V$43:$V$44,F45))</f>
        <v>0.5</v>
      </c>
      <c r="J45" s="80" t="str" cm="1">
        <f t="array" ref="J45">IF(OR(G40&lt;-INDEX(W43:W44,F45), G40&gt;INDEX(W43:W44,F45)), "Note: The calculated field falls beyond small MLC leaves, so larger leaf gap size is used.", "")</f>
        <v/>
      </c>
      <c r="K45" s="80"/>
      <c r="L45" s="80"/>
      <c r="M45" s="80"/>
      <c r="N45" s="80"/>
      <c r="AA45" s="61">
        <v>-18</v>
      </c>
      <c r="AB45" s="61">
        <v>58</v>
      </c>
      <c r="AC45" s="61">
        <f t="shared" ref="AC45:AC102" si="0">AB45+1</f>
        <v>59</v>
      </c>
      <c r="AE45" s="51">
        <v>-10</v>
      </c>
      <c r="AF45" s="51">
        <v>58</v>
      </c>
      <c r="AG45" s="51">
        <v>59</v>
      </c>
    </row>
    <row r="46" spans="2:33" x14ac:dyDescent="0.25">
      <c r="J46" s="80"/>
      <c r="K46" s="80"/>
      <c r="L46" s="80"/>
      <c r="M46" s="80"/>
      <c r="N46" s="80"/>
      <c r="AA46" s="61">
        <v>-17</v>
      </c>
      <c r="AB46" s="61">
        <v>57</v>
      </c>
      <c r="AC46" s="61">
        <f t="shared" si="0"/>
        <v>58</v>
      </c>
      <c r="AE46" s="51">
        <v>-9.5</v>
      </c>
      <c r="AF46" s="51">
        <v>57</v>
      </c>
      <c r="AG46" s="51">
        <v>58</v>
      </c>
    </row>
    <row r="47" spans="2:33" x14ac:dyDescent="0.25">
      <c r="AA47" s="61">
        <v>-16</v>
      </c>
      <c r="AB47" s="61">
        <v>56</v>
      </c>
      <c r="AC47" s="61">
        <f t="shared" si="0"/>
        <v>57</v>
      </c>
      <c r="AE47" s="51">
        <v>-9</v>
      </c>
      <c r="AF47" s="51">
        <v>56</v>
      </c>
      <c r="AG47" s="51">
        <v>57</v>
      </c>
    </row>
    <row r="48" spans="2:33" ht="18" x14ac:dyDescent="0.35">
      <c r="C48" s="47" t="s">
        <v>63</v>
      </c>
      <c r="D48" s="54" t="s">
        <v>95</v>
      </c>
      <c r="E48" s="55">
        <f>FLOOR($G$40/$I$45, 1) * $I$45</f>
        <v>3</v>
      </c>
      <c r="F48" s="52"/>
      <c r="G48" s="47" t="s">
        <v>53</v>
      </c>
      <c r="J48" s="81">
        <f>Details!T44</f>
        <v>1.5513466609989948</v>
      </c>
      <c r="K48" s="82"/>
      <c r="L48" s="83"/>
      <c r="AA48" s="61">
        <v>-15</v>
      </c>
      <c r="AB48" s="61">
        <v>55</v>
      </c>
      <c r="AC48" s="61">
        <f t="shared" si="0"/>
        <v>56</v>
      </c>
      <c r="AE48" s="51">
        <v>-8.5</v>
      </c>
      <c r="AF48" s="51">
        <v>55</v>
      </c>
      <c r="AG48" s="51">
        <v>56</v>
      </c>
    </row>
    <row r="49" spans="3:33" x14ac:dyDescent="0.25">
      <c r="F49" s="53"/>
      <c r="G49" s="47" t="s">
        <v>69</v>
      </c>
      <c r="J49" s="57">
        <f>VLOOKUP(-E48, CHOOSE(F45,$AA$44:$AC$102,AE44:AG102), 2)</f>
        <v>36</v>
      </c>
      <c r="K49" s="58" t="s">
        <v>67</v>
      </c>
      <c r="L49" s="59">
        <f>VLOOKUP(-E48-I45, CHOOSE(F45,$AA$44:$AC$102,AE44:AG102), 2)</f>
        <v>37</v>
      </c>
      <c r="AA49" s="61">
        <v>-14</v>
      </c>
      <c r="AB49" s="61">
        <v>54</v>
      </c>
      <c r="AC49" s="61">
        <f t="shared" si="0"/>
        <v>55</v>
      </c>
      <c r="AE49" s="51">
        <v>-8</v>
      </c>
      <c r="AF49" s="51">
        <v>54</v>
      </c>
      <c r="AG49" s="51">
        <v>55</v>
      </c>
    </row>
    <row r="50" spans="3:33" x14ac:dyDescent="0.25">
      <c r="G50" s="47" t="s">
        <v>68</v>
      </c>
      <c r="J50" s="84">
        <f>Details!T37</f>
        <v>5.8728446862777899</v>
      </c>
      <c r="K50" s="85"/>
      <c r="L50" s="86"/>
      <c r="AA50" s="61">
        <v>-13</v>
      </c>
      <c r="AB50" s="61">
        <v>53</v>
      </c>
      <c r="AC50" s="61">
        <f t="shared" si="0"/>
        <v>54</v>
      </c>
      <c r="AE50" s="51">
        <v>-7.5</v>
      </c>
      <c r="AF50" s="51">
        <v>53</v>
      </c>
      <c r="AG50" s="51">
        <v>54</v>
      </c>
    </row>
    <row r="51" spans="3:33" x14ac:dyDescent="0.25">
      <c r="AA51" s="61">
        <v>-12</v>
      </c>
      <c r="AB51" s="61">
        <v>52</v>
      </c>
      <c r="AC51" s="61">
        <f t="shared" si="0"/>
        <v>53</v>
      </c>
      <c r="AE51" s="51">
        <v>-7</v>
      </c>
      <c r="AF51" s="51">
        <v>52</v>
      </c>
      <c r="AG51" s="51">
        <v>53</v>
      </c>
    </row>
    <row r="52" spans="3:33" x14ac:dyDescent="0.25">
      <c r="AA52" s="61">
        <v>-11</v>
      </c>
      <c r="AB52" s="61">
        <v>51</v>
      </c>
      <c r="AC52" s="61">
        <f t="shared" si="0"/>
        <v>52</v>
      </c>
      <c r="AE52" s="51">
        <v>-6.5</v>
      </c>
      <c r="AF52" s="51">
        <v>51</v>
      </c>
      <c r="AG52" s="51">
        <v>52</v>
      </c>
    </row>
    <row r="53" spans="3:33" x14ac:dyDescent="0.25">
      <c r="AA53" s="61">
        <v>-10</v>
      </c>
      <c r="AB53" s="61">
        <v>50</v>
      </c>
      <c r="AC53" s="61">
        <f t="shared" si="0"/>
        <v>51</v>
      </c>
      <c r="AE53" s="51">
        <v>-6</v>
      </c>
      <c r="AF53" s="51">
        <v>50</v>
      </c>
      <c r="AG53" s="51">
        <v>51</v>
      </c>
    </row>
    <row r="54" spans="3:33" ht="18" x14ac:dyDescent="0.35">
      <c r="C54" s="47" t="s">
        <v>64</v>
      </c>
      <c r="D54" s="54" t="s">
        <v>95</v>
      </c>
      <c r="E54" s="55">
        <f>FLOOR($G$40/$I$45, 1) * $I$45 + I45</f>
        <v>3.5</v>
      </c>
      <c r="G54" s="47" t="s">
        <v>53</v>
      </c>
      <c r="J54" s="81">
        <f>Details!X44</f>
        <v>356.55581860206962</v>
      </c>
      <c r="K54" s="82"/>
      <c r="L54" s="83"/>
      <c r="AA54" s="61">
        <v>-9.5</v>
      </c>
      <c r="AB54" s="61">
        <v>49</v>
      </c>
      <c r="AC54" s="61">
        <f t="shared" si="0"/>
        <v>50</v>
      </c>
      <c r="AE54" s="51">
        <v>-5.5</v>
      </c>
      <c r="AF54" s="51">
        <v>49</v>
      </c>
      <c r="AG54" s="51">
        <v>50</v>
      </c>
    </row>
    <row r="55" spans="3:33" x14ac:dyDescent="0.25">
      <c r="G55" s="47" t="s">
        <v>69</v>
      </c>
      <c r="J55" s="57">
        <f>VLOOKUP(-E54, CHOOSE(F45,$AA$44:$AC$102,AE44:AG102), 2)</f>
        <v>37</v>
      </c>
      <c r="K55" s="58" t="s">
        <v>67</v>
      </c>
      <c r="L55" s="59">
        <f>VLOOKUP(-E54-I45, CHOOSE(F45,$AA$44:$AC$102,AE44:AG102), 2)</f>
        <v>38</v>
      </c>
      <c r="AA55" s="61">
        <v>-9</v>
      </c>
      <c r="AB55" s="61">
        <v>48</v>
      </c>
      <c r="AC55" s="61">
        <f t="shared" si="0"/>
        <v>49</v>
      </c>
      <c r="AE55" s="51">
        <v>-5</v>
      </c>
      <c r="AF55" s="51">
        <v>48</v>
      </c>
      <c r="AG55" s="51">
        <v>49</v>
      </c>
    </row>
    <row r="56" spans="3:33" x14ac:dyDescent="0.25">
      <c r="G56" s="47" t="s">
        <v>68</v>
      </c>
      <c r="J56" s="84">
        <f>Details!X37</f>
        <v>5.5893027033021987</v>
      </c>
      <c r="K56" s="85"/>
      <c r="L56" s="86"/>
      <c r="AA56" s="61">
        <v>-8.5</v>
      </c>
      <c r="AB56" s="61">
        <v>47</v>
      </c>
      <c r="AC56" s="61">
        <f t="shared" si="0"/>
        <v>48</v>
      </c>
      <c r="AE56" s="51">
        <v>-4.5</v>
      </c>
      <c r="AF56" s="51">
        <v>47</v>
      </c>
      <c r="AG56" s="51">
        <v>48</v>
      </c>
    </row>
    <row r="57" spans="3:33" x14ac:dyDescent="0.25">
      <c r="AA57" s="61">
        <v>-8</v>
      </c>
      <c r="AB57" s="61">
        <v>46</v>
      </c>
      <c r="AC57" s="61">
        <f t="shared" si="0"/>
        <v>47</v>
      </c>
      <c r="AE57" s="51">
        <v>-4</v>
      </c>
      <c r="AF57" s="51">
        <v>46</v>
      </c>
      <c r="AG57" s="51">
        <v>47</v>
      </c>
    </row>
    <row r="58" spans="3:33" x14ac:dyDescent="0.25">
      <c r="AA58" s="61">
        <v>-7.5</v>
      </c>
      <c r="AB58" s="61">
        <v>45</v>
      </c>
      <c r="AC58" s="61">
        <f t="shared" si="0"/>
        <v>46</v>
      </c>
      <c r="AE58" s="51">
        <v>-3.75</v>
      </c>
      <c r="AF58" s="51">
        <v>45</v>
      </c>
      <c r="AG58" s="51">
        <v>46</v>
      </c>
    </row>
    <row r="59" spans="3:33" x14ac:dyDescent="0.25">
      <c r="AA59" s="61">
        <v>-7</v>
      </c>
      <c r="AB59" s="61">
        <v>44</v>
      </c>
      <c r="AC59" s="61">
        <f t="shared" si="0"/>
        <v>45</v>
      </c>
      <c r="AE59" s="51">
        <v>-3.5</v>
      </c>
      <c r="AF59" s="51">
        <v>44</v>
      </c>
      <c r="AG59" s="51">
        <v>45</v>
      </c>
    </row>
    <row r="60" spans="3:33" x14ac:dyDescent="0.25">
      <c r="AA60" s="61">
        <v>-6.5</v>
      </c>
      <c r="AB60" s="61">
        <v>43</v>
      </c>
      <c r="AC60" s="61">
        <f t="shared" si="0"/>
        <v>44</v>
      </c>
      <c r="AE60" s="51">
        <v>-3.25</v>
      </c>
      <c r="AF60" s="51">
        <v>43</v>
      </c>
      <c r="AG60" s="51">
        <v>44</v>
      </c>
    </row>
    <row r="61" spans="3:33" x14ac:dyDescent="0.25">
      <c r="AA61" s="61">
        <v>-6</v>
      </c>
      <c r="AB61" s="61">
        <v>42</v>
      </c>
      <c r="AC61" s="61">
        <f t="shared" si="0"/>
        <v>43</v>
      </c>
      <c r="AE61" s="51">
        <v>-3</v>
      </c>
      <c r="AF61" s="51">
        <v>42</v>
      </c>
      <c r="AG61" s="51">
        <v>43</v>
      </c>
    </row>
    <row r="62" spans="3:33" x14ac:dyDescent="0.25">
      <c r="AA62" s="61">
        <v>-5.5</v>
      </c>
      <c r="AB62" s="61">
        <v>41</v>
      </c>
      <c r="AC62" s="61">
        <f t="shared" si="0"/>
        <v>42</v>
      </c>
      <c r="AE62" s="51">
        <v>-2.75</v>
      </c>
      <c r="AF62" s="51">
        <v>41</v>
      </c>
      <c r="AG62" s="51">
        <v>42</v>
      </c>
    </row>
    <row r="63" spans="3:33" x14ac:dyDescent="0.25">
      <c r="AA63" s="61">
        <v>-5</v>
      </c>
      <c r="AB63" s="61">
        <v>40</v>
      </c>
      <c r="AC63" s="61">
        <f t="shared" si="0"/>
        <v>41</v>
      </c>
      <c r="AE63" s="51">
        <v>-2.5</v>
      </c>
      <c r="AF63" s="51">
        <v>40</v>
      </c>
      <c r="AG63" s="51">
        <v>41</v>
      </c>
    </row>
    <row r="64" spans="3:33" x14ac:dyDescent="0.25">
      <c r="AA64" s="61">
        <v>-4.5</v>
      </c>
      <c r="AB64" s="61">
        <v>39</v>
      </c>
      <c r="AC64" s="61">
        <f t="shared" si="0"/>
        <v>40</v>
      </c>
      <c r="AE64" s="51">
        <v>-2.25</v>
      </c>
      <c r="AF64" s="51">
        <v>39</v>
      </c>
      <c r="AG64" s="51">
        <v>40</v>
      </c>
    </row>
    <row r="65" spans="27:33" x14ac:dyDescent="0.25">
      <c r="AA65" s="61">
        <v>-4</v>
      </c>
      <c r="AB65" s="61">
        <v>38</v>
      </c>
      <c r="AC65" s="61">
        <f>AB65+1</f>
        <v>39</v>
      </c>
      <c r="AE65" s="51">
        <v>-2</v>
      </c>
      <c r="AF65" s="51">
        <v>38</v>
      </c>
      <c r="AG65" s="51">
        <v>39</v>
      </c>
    </row>
    <row r="66" spans="27:33" x14ac:dyDescent="0.25">
      <c r="AA66" s="61">
        <v>-3.5</v>
      </c>
      <c r="AB66" s="61">
        <v>37</v>
      </c>
      <c r="AC66" s="61">
        <f>AB66+1</f>
        <v>38</v>
      </c>
      <c r="AE66" s="51">
        <v>-1.75</v>
      </c>
      <c r="AF66" s="51">
        <v>37</v>
      </c>
      <c r="AG66" s="51">
        <v>38</v>
      </c>
    </row>
    <row r="67" spans="27:33" x14ac:dyDescent="0.25">
      <c r="AA67" s="61">
        <v>-3</v>
      </c>
      <c r="AB67" s="61">
        <v>36</v>
      </c>
      <c r="AC67" s="61">
        <f t="shared" si="0"/>
        <v>37</v>
      </c>
      <c r="AE67" s="51">
        <v>-1.5</v>
      </c>
      <c r="AF67" s="51">
        <v>36</v>
      </c>
      <c r="AG67" s="51">
        <v>37</v>
      </c>
    </row>
    <row r="68" spans="27:33" x14ac:dyDescent="0.25">
      <c r="AA68" s="61">
        <v>-2.5</v>
      </c>
      <c r="AB68" s="61">
        <v>35</v>
      </c>
      <c r="AC68" s="61">
        <f t="shared" si="0"/>
        <v>36</v>
      </c>
      <c r="AE68" s="51">
        <v>-1.25</v>
      </c>
      <c r="AF68" s="51">
        <v>35</v>
      </c>
      <c r="AG68" s="51">
        <v>36</v>
      </c>
    </row>
    <row r="69" spans="27:33" x14ac:dyDescent="0.25">
      <c r="AA69" s="61">
        <v>-2</v>
      </c>
      <c r="AB69" s="61">
        <v>34</v>
      </c>
      <c r="AC69" s="61">
        <f t="shared" si="0"/>
        <v>35</v>
      </c>
      <c r="AE69" s="51">
        <v>-1</v>
      </c>
      <c r="AF69" s="51">
        <v>34</v>
      </c>
      <c r="AG69" s="51">
        <v>35</v>
      </c>
    </row>
    <row r="70" spans="27:33" x14ac:dyDescent="0.25">
      <c r="AA70" s="61">
        <v>-1.5</v>
      </c>
      <c r="AB70" s="61">
        <v>33</v>
      </c>
      <c r="AC70" s="61">
        <f t="shared" si="0"/>
        <v>34</v>
      </c>
      <c r="AE70" s="51">
        <v>-0.75</v>
      </c>
      <c r="AF70" s="51">
        <v>33</v>
      </c>
      <c r="AG70" s="51">
        <v>34</v>
      </c>
    </row>
    <row r="71" spans="27:33" x14ac:dyDescent="0.25">
      <c r="AA71" s="61">
        <v>-1</v>
      </c>
      <c r="AB71" s="61">
        <v>32</v>
      </c>
      <c r="AC71" s="61">
        <f t="shared" si="0"/>
        <v>33</v>
      </c>
      <c r="AE71" s="51">
        <v>-0.5</v>
      </c>
      <c r="AF71" s="51">
        <v>32</v>
      </c>
      <c r="AG71" s="51">
        <v>33</v>
      </c>
    </row>
    <row r="72" spans="27:33" x14ac:dyDescent="0.25">
      <c r="AA72" s="61">
        <v>-0.5</v>
      </c>
      <c r="AB72" s="61">
        <v>31</v>
      </c>
      <c r="AC72" s="61">
        <f t="shared" si="0"/>
        <v>32</v>
      </c>
      <c r="AE72" s="51">
        <v>-0.25</v>
      </c>
      <c r="AF72" s="51">
        <v>31</v>
      </c>
      <c r="AG72" s="51">
        <v>32</v>
      </c>
    </row>
    <row r="73" spans="27:33" x14ac:dyDescent="0.25">
      <c r="AA73" s="61">
        <v>0</v>
      </c>
      <c r="AB73" s="61">
        <v>30</v>
      </c>
      <c r="AC73" s="61">
        <f t="shared" si="0"/>
        <v>31</v>
      </c>
      <c r="AE73" s="51">
        <v>0</v>
      </c>
      <c r="AF73" s="51">
        <v>30</v>
      </c>
      <c r="AG73" s="51">
        <v>31</v>
      </c>
    </row>
    <row r="74" spans="27:33" x14ac:dyDescent="0.25">
      <c r="AA74" s="61">
        <v>0.5</v>
      </c>
      <c r="AB74" s="61">
        <v>29</v>
      </c>
      <c r="AC74" s="61">
        <f t="shared" si="0"/>
        <v>30</v>
      </c>
      <c r="AE74" s="51">
        <v>0.25</v>
      </c>
      <c r="AF74" s="51">
        <v>29</v>
      </c>
      <c r="AG74" s="51">
        <v>30</v>
      </c>
    </row>
    <row r="75" spans="27:33" x14ac:dyDescent="0.25">
      <c r="AA75" s="61">
        <v>1</v>
      </c>
      <c r="AB75" s="61">
        <v>28</v>
      </c>
      <c r="AC75" s="61">
        <f t="shared" si="0"/>
        <v>29</v>
      </c>
      <c r="AE75" s="51">
        <v>0.5</v>
      </c>
      <c r="AF75" s="51">
        <v>28</v>
      </c>
      <c r="AG75" s="51">
        <v>29</v>
      </c>
    </row>
    <row r="76" spans="27:33" x14ac:dyDescent="0.25">
      <c r="AA76" s="61">
        <v>1.5</v>
      </c>
      <c r="AB76" s="61">
        <v>27</v>
      </c>
      <c r="AC76" s="61">
        <f t="shared" si="0"/>
        <v>28</v>
      </c>
      <c r="AE76" s="51">
        <v>0.75</v>
      </c>
      <c r="AF76" s="51">
        <v>27</v>
      </c>
      <c r="AG76" s="51">
        <v>28</v>
      </c>
    </row>
    <row r="77" spans="27:33" x14ac:dyDescent="0.25">
      <c r="AA77" s="61">
        <v>2</v>
      </c>
      <c r="AB77" s="61">
        <v>26</v>
      </c>
      <c r="AC77" s="61">
        <f t="shared" si="0"/>
        <v>27</v>
      </c>
      <c r="AE77" s="51">
        <v>1</v>
      </c>
      <c r="AF77" s="51">
        <v>26</v>
      </c>
      <c r="AG77" s="51">
        <v>27</v>
      </c>
    </row>
    <row r="78" spans="27:33" x14ac:dyDescent="0.25">
      <c r="AA78" s="61">
        <v>2.5</v>
      </c>
      <c r="AB78" s="61">
        <v>25</v>
      </c>
      <c r="AC78" s="61">
        <f t="shared" si="0"/>
        <v>26</v>
      </c>
      <c r="AE78" s="51">
        <v>1.25</v>
      </c>
      <c r="AF78" s="51">
        <v>25</v>
      </c>
      <c r="AG78" s="51">
        <v>26</v>
      </c>
    </row>
    <row r="79" spans="27:33" x14ac:dyDescent="0.25">
      <c r="AA79" s="61">
        <v>3</v>
      </c>
      <c r="AB79" s="61">
        <v>24</v>
      </c>
      <c r="AC79" s="61">
        <f t="shared" si="0"/>
        <v>25</v>
      </c>
      <c r="AE79" s="51">
        <v>1.5</v>
      </c>
      <c r="AF79" s="51">
        <v>24</v>
      </c>
      <c r="AG79" s="51">
        <v>25</v>
      </c>
    </row>
    <row r="80" spans="27:33" x14ac:dyDescent="0.25">
      <c r="AA80" s="61">
        <v>3.5</v>
      </c>
      <c r="AB80" s="61">
        <v>23</v>
      </c>
      <c r="AC80" s="61">
        <f t="shared" si="0"/>
        <v>24</v>
      </c>
      <c r="AE80" s="51">
        <v>1.75</v>
      </c>
      <c r="AF80" s="51">
        <v>23</v>
      </c>
      <c r="AG80" s="51">
        <v>24</v>
      </c>
    </row>
    <row r="81" spans="27:33" x14ac:dyDescent="0.25">
      <c r="AA81" s="61">
        <v>4</v>
      </c>
      <c r="AB81" s="61">
        <v>22</v>
      </c>
      <c r="AC81" s="61">
        <f t="shared" si="0"/>
        <v>23</v>
      </c>
      <c r="AE81" s="51">
        <v>2</v>
      </c>
      <c r="AF81" s="51">
        <v>22</v>
      </c>
      <c r="AG81" s="51">
        <v>23</v>
      </c>
    </row>
    <row r="82" spans="27:33" x14ac:dyDescent="0.25">
      <c r="AA82" s="61">
        <v>4.5</v>
      </c>
      <c r="AB82" s="61">
        <v>21</v>
      </c>
      <c r="AC82" s="61">
        <f t="shared" si="0"/>
        <v>22</v>
      </c>
      <c r="AE82" s="51">
        <v>2.25</v>
      </c>
      <c r="AF82" s="51">
        <v>21</v>
      </c>
      <c r="AG82" s="51">
        <v>22</v>
      </c>
    </row>
    <row r="83" spans="27:33" x14ac:dyDescent="0.25">
      <c r="AA83" s="61">
        <v>5</v>
      </c>
      <c r="AB83" s="61">
        <v>20</v>
      </c>
      <c r="AC83" s="61">
        <f t="shared" si="0"/>
        <v>21</v>
      </c>
      <c r="AE83" s="51">
        <v>2.5</v>
      </c>
      <c r="AF83" s="51">
        <v>20</v>
      </c>
      <c r="AG83" s="51">
        <v>21</v>
      </c>
    </row>
    <row r="84" spans="27:33" x14ac:dyDescent="0.25">
      <c r="AA84" s="61">
        <v>5.5</v>
      </c>
      <c r="AB84" s="61">
        <v>19</v>
      </c>
      <c r="AC84" s="61">
        <f t="shared" si="0"/>
        <v>20</v>
      </c>
      <c r="AE84" s="51">
        <v>2.75</v>
      </c>
      <c r="AF84" s="51">
        <v>19</v>
      </c>
      <c r="AG84" s="51">
        <v>20</v>
      </c>
    </row>
    <row r="85" spans="27:33" x14ac:dyDescent="0.25">
      <c r="AA85" s="61">
        <v>6</v>
      </c>
      <c r="AB85" s="61">
        <v>18</v>
      </c>
      <c r="AC85" s="61">
        <f t="shared" si="0"/>
        <v>19</v>
      </c>
      <c r="AE85" s="51">
        <v>3</v>
      </c>
      <c r="AF85" s="51">
        <v>18</v>
      </c>
      <c r="AG85" s="51">
        <v>19</v>
      </c>
    </row>
    <row r="86" spans="27:33" x14ac:dyDescent="0.25">
      <c r="AA86" s="61">
        <v>6.5</v>
      </c>
      <c r="AB86" s="61">
        <v>17</v>
      </c>
      <c r="AC86" s="61">
        <f t="shared" si="0"/>
        <v>18</v>
      </c>
      <c r="AE86" s="51">
        <v>3.25</v>
      </c>
      <c r="AF86" s="51">
        <v>17</v>
      </c>
      <c r="AG86" s="51">
        <v>18</v>
      </c>
    </row>
    <row r="87" spans="27:33" x14ac:dyDescent="0.25">
      <c r="AA87" s="61">
        <v>7</v>
      </c>
      <c r="AB87" s="61">
        <v>16</v>
      </c>
      <c r="AC87" s="61">
        <f t="shared" si="0"/>
        <v>17</v>
      </c>
      <c r="AE87" s="51">
        <v>3.5</v>
      </c>
      <c r="AF87" s="51">
        <v>16</v>
      </c>
      <c r="AG87" s="51">
        <v>17</v>
      </c>
    </row>
    <row r="88" spans="27:33" x14ac:dyDescent="0.25">
      <c r="AA88" s="61">
        <v>7.5</v>
      </c>
      <c r="AB88" s="61">
        <v>15</v>
      </c>
      <c r="AC88" s="61">
        <f t="shared" si="0"/>
        <v>16</v>
      </c>
      <c r="AE88" s="51">
        <v>3.75</v>
      </c>
      <c r="AF88" s="51">
        <v>15</v>
      </c>
      <c r="AG88" s="51">
        <v>16</v>
      </c>
    </row>
    <row r="89" spans="27:33" x14ac:dyDescent="0.25">
      <c r="AA89" s="61">
        <v>8</v>
      </c>
      <c r="AB89" s="61">
        <v>14</v>
      </c>
      <c r="AC89" s="61">
        <f t="shared" si="0"/>
        <v>15</v>
      </c>
      <c r="AE89" s="51">
        <v>4</v>
      </c>
      <c r="AF89" s="51">
        <v>14</v>
      </c>
      <c r="AG89" s="51">
        <v>15</v>
      </c>
    </row>
    <row r="90" spans="27:33" x14ac:dyDescent="0.25">
      <c r="AA90" s="61">
        <v>8.5</v>
      </c>
      <c r="AB90" s="61">
        <v>13</v>
      </c>
      <c r="AC90" s="61">
        <f t="shared" si="0"/>
        <v>14</v>
      </c>
      <c r="AE90" s="51">
        <v>4.5</v>
      </c>
      <c r="AF90" s="51">
        <v>13</v>
      </c>
      <c r="AG90" s="51">
        <v>14</v>
      </c>
    </row>
    <row r="91" spans="27:33" x14ac:dyDescent="0.25">
      <c r="AA91" s="61">
        <v>9</v>
      </c>
      <c r="AB91" s="61">
        <v>12</v>
      </c>
      <c r="AC91" s="61">
        <f t="shared" si="0"/>
        <v>13</v>
      </c>
      <c r="AE91" s="51">
        <v>5</v>
      </c>
      <c r="AF91" s="51">
        <v>12</v>
      </c>
      <c r="AG91" s="51">
        <v>13</v>
      </c>
    </row>
    <row r="92" spans="27:33" x14ac:dyDescent="0.25">
      <c r="AA92" s="61">
        <v>9.5</v>
      </c>
      <c r="AB92" s="61">
        <v>11</v>
      </c>
      <c r="AC92" s="61">
        <f t="shared" si="0"/>
        <v>12</v>
      </c>
      <c r="AE92" s="51">
        <v>5.5</v>
      </c>
      <c r="AF92" s="51">
        <v>11</v>
      </c>
      <c r="AG92" s="51">
        <v>12</v>
      </c>
    </row>
    <row r="93" spans="27:33" x14ac:dyDescent="0.25">
      <c r="AA93" s="61">
        <v>10</v>
      </c>
      <c r="AB93" s="61">
        <v>10</v>
      </c>
      <c r="AC93" s="61">
        <f t="shared" si="0"/>
        <v>11</v>
      </c>
      <c r="AE93" s="51">
        <v>6</v>
      </c>
      <c r="AF93" s="51">
        <v>10</v>
      </c>
      <c r="AG93" s="51">
        <v>11</v>
      </c>
    </row>
    <row r="94" spans="27:33" x14ac:dyDescent="0.25">
      <c r="AA94" s="61">
        <v>11</v>
      </c>
      <c r="AB94" s="61">
        <v>9</v>
      </c>
      <c r="AC94" s="61">
        <f t="shared" si="0"/>
        <v>10</v>
      </c>
      <c r="AE94" s="51">
        <v>6.5</v>
      </c>
      <c r="AF94" s="51">
        <v>9</v>
      </c>
      <c r="AG94" s="51">
        <v>10</v>
      </c>
    </row>
    <row r="95" spans="27:33" x14ac:dyDescent="0.25">
      <c r="AA95" s="61">
        <v>12</v>
      </c>
      <c r="AB95" s="61">
        <v>8</v>
      </c>
      <c r="AC95" s="61">
        <f t="shared" si="0"/>
        <v>9</v>
      </c>
      <c r="AE95" s="51">
        <v>7</v>
      </c>
      <c r="AF95" s="51">
        <v>8</v>
      </c>
      <c r="AG95" s="51">
        <v>9</v>
      </c>
    </row>
    <row r="96" spans="27:33" x14ac:dyDescent="0.25">
      <c r="AA96" s="61">
        <v>13</v>
      </c>
      <c r="AB96" s="61">
        <v>7</v>
      </c>
      <c r="AC96" s="61">
        <f t="shared" si="0"/>
        <v>8</v>
      </c>
      <c r="AE96" s="51">
        <v>7.5</v>
      </c>
      <c r="AF96" s="51">
        <v>7</v>
      </c>
      <c r="AG96" s="51">
        <v>8</v>
      </c>
    </row>
    <row r="97" spans="27:33" x14ac:dyDescent="0.25">
      <c r="AA97" s="61">
        <v>14</v>
      </c>
      <c r="AB97" s="61">
        <v>6</v>
      </c>
      <c r="AC97" s="61">
        <f t="shared" si="0"/>
        <v>7</v>
      </c>
      <c r="AE97" s="51">
        <v>8</v>
      </c>
      <c r="AF97" s="51">
        <v>6</v>
      </c>
      <c r="AG97" s="51">
        <v>7</v>
      </c>
    </row>
    <row r="98" spans="27:33" x14ac:dyDescent="0.25">
      <c r="AA98" s="61">
        <v>15</v>
      </c>
      <c r="AB98" s="61">
        <v>5</v>
      </c>
      <c r="AC98" s="61">
        <f t="shared" si="0"/>
        <v>6</v>
      </c>
      <c r="AE98" s="51">
        <v>8.5</v>
      </c>
      <c r="AF98" s="51">
        <v>5</v>
      </c>
      <c r="AG98" s="51">
        <v>6</v>
      </c>
    </row>
    <row r="99" spans="27:33" x14ac:dyDescent="0.25">
      <c r="AA99" s="61">
        <v>16</v>
      </c>
      <c r="AB99" s="61">
        <v>4</v>
      </c>
      <c r="AC99" s="61">
        <f t="shared" si="0"/>
        <v>5</v>
      </c>
      <c r="AE99" s="51">
        <v>9</v>
      </c>
      <c r="AF99" s="51">
        <v>4</v>
      </c>
      <c r="AG99" s="51">
        <v>5</v>
      </c>
    </row>
    <row r="100" spans="27:33" x14ac:dyDescent="0.25">
      <c r="AA100" s="61">
        <v>17</v>
      </c>
      <c r="AB100" s="61">
        <v>3</v>
      </c>
      <c r="AC100" s="61">
        <f t="shared" si="0"/>
        <v>4</v>
      </c>
      <c r="AE100" s="51">
        <v>9.5</v>
      </c>
      <c r="AF100" s="51">
        <v>3</v>
      </c>
      <c r="AG100" s="51">
        <v>4</v>
      </c>
    </row>
    <row r="101" spans="27:33" x14ac:dyDescent="0.25">
      <c r="AA101" s="61">
        <v>18</v>
      </c>
      <c r="AB101" s="61">
        <v>2</v>
      </c>
      <c r="AC101" s="61">
        <f t="shared" si="0"/>
        <v>3</v>
      </c>
      <c r="AE101" s="51">
        <v>10</v>
      </c>
      <c r="AF101" s="51">
        <v>2</v>
      </c>
      <c r="AG101" s="51">
        <v>3</v>
      </c>
    </row>
    <row r="102" spans="27:33" x14ac:dyDescent="0.25">
      <c r="AA102" s="61">
        <v>19</v>
      </c>
      <c r="AB102" s="61">
        <v>1</v>
      </c>
      <c r="AC102" s="61">
        <f t="shared" si="0"/>
        <v>2</v>
      </c>
      <c r="AE102" s="51">
        <v>10.5</v>
      </c>
      <c r="AF102" s="51">
        <v>1</v>
      </c>
      <c r="AG102" s="51">
        <v>2</v>
      </c>
    </row>
  </sheetData>
  <mergeCells count="10">
    <mergeCell ref="J56:L56"/>
    <mergeCell ref="J54:L54"/>
    <mergeCell ref="C30:M31"/>
    <mergeCell ref="D19:F19"/>
    <mergeCell ref="H23:J23"/>
    <mergeCell ref="C8:L8"/>
    <mergeCell ref="H17:L18"/>
    <mergeCell ref="J45:N46"/>
    <mergeCell ref="J48:L48"/>
    <mergeCell ref="J50:L50"/>
  </mergeCells>
  <dataValidations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Y44"/>
  <sheetViews>
    <sheetView topLeftCell="A22" zoomScaleNormal="100" workbookViewId="0">
      <selection activeCell="AA31" sqref="AA31"/>
    </sheetView>
  </sheetViews>
  <sheetFormatPr defaultRowHeight="18" customHeight="1" x14ac:dyDescent="0.25"/>
  <cols>
    <col min="1" max="2" width="4.7109375" customWidth="1"/>
    <col min="3" max="16" width="5.7109375" customWidth="1"/>
    <col min="17" max="17" width="6.7109375" customWidth="1"/>
  </cols>
  <sheetData>
    <row r="1" spans="1:20" ht="24.75" customHeight="1" x14ac:dyDescent="0.25">
      <c r="A1" s="30" t="s">
        <v>0</v>
      </c>
    </row>
    <row r="2" spans="1:20" ht="24.75" customHeight="1" x14ac:dyDescent="0.3">
      <c r="A2" s="39" t="s">
        <v>10</v>
      </c>
    </row>
    <row r="4" spans="1:20" ht="18" customHeight="1" x14ac:dyDescent="0.25">
      <c r="B4" s="41" t="s">
        <v>54</v>
      </c>
    </row>
    <row r="6" spans="1:20" s="25" customFormat="1" ht="25.5" customHeight="1" x14ac:dyDescent="0.25">
      <c r="B6" s="42"/>
      <c r="C6" s="43" t="s">
        <v>33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20" ht="18" customHeight="1" x14ac:dyDescent="0.25">
      <c r="C7" s="20"/>
      <c r="D7" s="27"/>
      <c r="E7" s="28" t="s">
        <v>19</v>
      </c>
      <c r="F7" s="35">
        <f>Main!H25</f>
        <v>5.5</v>
      </c>
      <c r="G7" s="27" t="s">
        <v>18</v>
      </c>
      <c r="H7" s="27"/>
      <c r="I7" s="27"/>
      <c r="J7" s="28" t="s">
        <v>20</v>
      </c>
      <c r="K7" s="35">
        <f>Main!I25</f>
        <v>-5</v>
      </c>
      <c r="L7" s="27" t="s">
        <v>18</v>
      </c>
      <c r="M7" s="27"/>
      <c r="N7" s="27"/>
      <c r="O7" s="28" t="s">
        <v>21</v>
      </c>
      <c r="P7" s="35">
        <f>Main!J25</f>
        <v>3</v>
      </c>
      <c r="Q7" s="27" t="s">
        <v>18</v>
      </c>
      <c r="T7" s="26"/>
    </row>
    <row r="8" spans="1:20" ht="18" customHeight="1" x14ac:dyDescent="0.25">
      <c r="B8" s="2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20" s="31" customFormat="1" ht="18" customHeight="1" x14ac:dyDescent="0.25">
      <c r="B9" s="32"/>
      <c r="C9" s="40" t="s">
        <v>34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20" ht="18" customHeight="1" x14ac:dyDescent="0.35">
      <c r="C10" s="20"/>
      <c r="D10" s="27"/>
      <c r="E10" s="36" t="s">
        <v>35</v>
      </c>
      <c r="F10" s="35">
        <f>Main!E33 * sign_couch</f>
        <v>0</v>
      </c>
      <c r="G10" s="27"/>
      <c r="J10" s="36" t="s">
        <v>36</v>
      </c>
      <c r="K10" s="35">
        <f>Main!I33 * sign_gantry</f>
        <v>0</v>
      </c>
      <c r="O10" s="36" t="s">
        <v>37</v>
      </c>
      <c r="P10" s="35">
        <f>Main!M33 * sign_coll</f>
        <v>0</v>
      </c>
    </row>
    <row r="11" spans="1:20" ht="18" customHeight="1" x14ac:dyDescent="0.25">
      <c r="B11" s="20"/>
      <c r="C11" s="27"/>
    </row>
    <row r="12" spans="1:20" s="25" customFormat="1" ht="25.5" customHeight="1" x14ac:dyDescent="0.25">
      <c r="C12" s="43" t="s">
        <v>22</v>
      </c>
      <c r="D12" s="26"/>
    </row>
    <row r="13" spans="1:20" s="25" customFormat="1" ht="18" customHeight="1" x14ac:dyDescent="0.25">
      <c r="C13" s="26"/>
      <c r="D13" s="26" t="s">
        <v>15</v>
      </c>
      <c r="P13" s="28" t="s">
        <v>48</v>
      </c>
      <c r="Q13" s="34">
        <f>$F$7 * COS(RADIANS($F$10)) - $P$7 * SIN(RADIANS($F$10))</f>
        <v>5.5</v>
      </c>
    </row>
    <row r="14" spans="1:20" s="25" customFormat="1" ht="18" customHeight="1" x14ac:dyDescent="0.25">
      <c r="C14" s="26"/>
      <c r="D14" s="26" t="s">
        <v>16</v>
      </c>
      <c r="P14" s="28" t="s">
        <v>47</v>
      </c>
      <c r="Q14" s="34">
        <f>$K$7</f>
        <v>-5</v>
      </c>
    </row>
    <row r="15" spans="1:20" s="25" customFormat="1" ht="18" customHeight="1" x14ac:dyDescent="0.25">
      <c r="C15" s="26"/>
      <c r="D15" s="26" t="s">
        <v>17</v>
      </c>
      <c r="P15" s="28" t="s">
        <v>46</v>
      </c>
      <c r="Q15" s="34">
        <f>$F$7 * SIN(RADIANS($F$10)) + $P$7 * COS(RADIANS($F$10))</f>
        <v>3</v>
      </c>
    </row>
    <row r="16" spans="1:20" ht="18" customHeight="1" x14ac:dyDescent="0.25">
      <c r="C16" s="27"/>
      <c r="D16" s="27"/>
      <c r="P16" s="29"/>
    </row>
    <row r="17" spans="3:17" s="25" customFormat="1" ht="25.5" customHeight="1" x14ac:dyDescent="0.25">
      <c r="C17" s="43" t="s">
        <v>23</v>
      </c>
      <c r="D17" s="26"/>
      <c r="P17" s="37"/>
    </row>
    <row r="18" spans="3:17" ht="18" customHeight="1" x14ac:dyDescent="0.25">
      <c r="C18" s="26"/>
      <c r="D18" s="26" t="s">
        <v>24</v>
      </c>
      <c r="E18" s="25"/>
      <c r="G18" s="25"/>
      <c r="H18" s="25"/>
      <c r="I18" s="25"/>
      <c r="J18" s="25"/>
      <c r="K18" s="25"/>
      <c r="L18" s="25"/>
      <c r="M18" s="25"/>
      <c r="N18" s="25"/>
      <c r="P18" s="28" t="s">
        <v>45</v>
      </c>
      <c r="Q18" s="34">
        <f>$Q$13 * COS(RADIANS($K$10)) - $Q$14 * SIN(RADIANS($K$10))</f>
        <v>5.5</v>
      </c>
    </row>
    <row r="19" spans="3:17" ht="18" customHeight="1" x14ac:dyDescent="0.25">
      <c r="C19" s="26"/>
      <c r="D19" s="26" t="s">
        <v>25</v>
      </c>
      <c r="E19" s="25"/>
      <c r="G19" s="25"/>
      <c r="H19" s="25"/>
      <c r="I19" s="25"/>
      <c r="J19" s="25"/>
      <c r="K19" s="25"/>
      <c r="L19" s="25"/>
      <c r="M19" s="25"/>
      <c r="N19" s="25"/>
      <c r="P19" s="28" t="s">
        <v>44</v>
      </c>
      <c r="Q19" s="34">
        <f>$Q$13 * SIN(RADIANS($K$10)) + $Q$14 * COS(RADIANS($K$10))</f>
        <v>-5</v>
      </c>
    </row>
    <row r="20" spans="3:17" ht="18" customHeight="1" x14ac:dyDescent="0.25">
      <c r="C20" s="26"/>
      <c r="D20" s="26" t="s">
        <v>26</v>
      </c>
      <c r="E20" s="25"/>
      <c r="G20" s="25"/>
      <c r="H20" s="25"/>
      <c r="I20" s="25"/>
      <c r="J20" s="25"/>
      <c r="K20" s="25"/>
      <c r="L20" s="25"/>
      <c r="M20" s="25"/>
      <c r="N20" s="25"/>
      <c r="P20" s="28" t="s">
        <v>43</v>
      </c>
      <c r="Q20" s="34">
        <f>$Q$15</f>
        <v>3</v>
      </c>
    </row>
    <row r="21" spans="3:17" ht="18" customHeight="1" x14ac:dyDescent="0.25">
      <c r="C21" s="27"/>
      <c r="D21" s="27"/>
      <c r="P21" s="29"/>
    </row>
    <row r="22" spans="3:17" s="25" customFormat="1" ht="25.5" customHeight="1" x14ac:dyDescent="0.25">
      <c r="C22" s="43" t="s">
        <v>27</v>
      </c>
      <c r="D22" s="26"/>
      <c r="P22" s="37"/>
    </row>
    <row r="23" spans="3:17" ht="18" customHeight="1" x14ac:dyDescent="0.25">
      <c r="C23" s="26"/>
      <c r="D23" s="26" t="s">
        <v>28</v>
      </c>
      <c r="E23" s="25"/>
      <c r="G23" s="25"/>
      <c r="H23" s="25"/>
      <c r="I23" s="25"/>
      <c r="J23" s="25"/>
      <c r="K23" s="25"/>
      <c r="L23" s="25"/>
      <c r="M23" s="25"/>
      <c r="N23" s="25"/>
      <c r="P23" s="28" t="s">
        <v>42</v>
      </c>
      <c r="Q23" s="34">
        <f>$Q$18 * COS(RADIANS($P$10)) - $Q$20 * SIN(RADIANS($P$10))</f>
        <v>5.5</v>
      </c>
    </row>
    <row r="24" spans="3:17" ht="18" customHeight="1" x14ac:dyDescent="0.25">
      <c r="C24" s="26"/>
      <c r="D24" s="26" t="s">
        <v>29</v>
      </c>
      <c r="E24" s="25"/>
      <c r="G24" s="25"/>
      <c r="H24" s="25"/>
      <c r="I24" s="25"/>
      <c r="J24" s="25"/>
      <c r="K24" s="25"/>
      <c r="L24" s="25"/>
      <c r="M24" s="25"/>
      <c r="N24" s="25"/>
      <c r="P24" s="28" t="s">
        <v>41</v>
      </c>
      <c r="Q24" s="34">
        <f>$Q$19</f>
        <v>-5</v>
      </c>
    </row>
    <row r="25" spans="3:17" ht="18" customHeight="1" x14ac:dyDescent="0.25">
      <c r="C25" s="26"/>
      <c r="D25" s="26" t="s">
        <v>30</v>
      </c>
      <c r="E25" s="25"/>
      <c r="G25" s="25"/>
      <c r="H25" s="25"/>
      <c r="I25" s="25"/>
      <c r="J25" s="25"/>
      <c r="K25" s="25"/>
      <c r="L25" s="25"/>
      <c r="M25" s="25"/>
      <c r="N25" s="25"/>
      <c r="P25" s="28" t="s">
        <v>40</v>
      </c>
      <c r="Q25" s="34">
        <f>$Q$18 * SIN(RADIANS($P$10)) + $Q$20 * COS(RADIANS($P$10))</f>
        <v>3</v>
      </c>
    </row>
    <row r="29" spans="3:17" ht="18" customHeight="1" x14ac:dyDescent="0.25">
      <c r="D29" s="26" t="s">
        <v>31</v>
      </c>
      <c r="P29" s="37" t="s">
        <v>38</v>
      </c>
      <c r="Q29" s="38">
        <f>$Q$23 * (100 / (100+$Q$24))</f>
        <v>5.7894736842105257</v>
      </c>
    </row>
    <row r="30" spans="3:17" ht="18" customHeight="1" x14ac:dyDescent="0.25">
      <c r="D30" s="26" t="s">
        <v>32</v>
      </c>
      <c r="P30" s="37" t="s">
        <v>39</v>
      </c>
      <c r="Q30" s="38">
        <f>$Q$25 * (100 / (100+$Q$24))</f>
        <v>3.1578947368421053</v>
      </c>
    </row>
    <row r="33" spans="2:25" ht="18" customHeight="1" x14ac:dyDescent="0.25">
      <c r="B33" s="41" t="s">
        <v>56</v>
      </c>
    </row>
    <row r="34" spans="2:25" ht="18" customHeight="1" x14ac:dyDescent="0.35">
      <c r="B34" t="s">
        <v>55</v>
      </c>
      <c r="S34" s="29" t="s">
        <v>96</v>
      </c>
      <c r="T34" s="45">
        <f>Main!E48</f>
        <v>3</v>
      </c>
      <c r="W34" s="29" t="s">
        <v>96</v>
      </c>
      <c r="X34" s="45">
        <f>Main!E54</f>
        <v>3.5</v>
      </c>
    </row>
    <row r="35" spans="2:25" ht="18" customHeight="1" x14ac:dyDescent="0.25">
      <c r="S35" s="29"/>
      <c r="T35" s="45"/>
      <c r="W35" s="29"/>
      <c r="X35" s="45"/>
    </row>
    <row r="36" spans="2:25" ht="18" customHeight="1" x14ac:dyDescent="0.25">
      <c r="S36" s="29" t="s">
        <v>61</v>
      </c>
      <c r="T36" s="45">
        <f>SQRT(Q29^2 + Q30^2)</f>
        <v>6.5947179400745615</v>
      </c>
      <c r="W36" s="29" t="s">
        <v>61</v>
      </c>
      <c r="X36" s="45">
        <f>SQRT(Q29^2 + Q30^2)</f>
        <v>6.5947179400745615</v>
      </c>
    </row>
    <row r="37" spans="2:25" ht="18" customHeight="1" x14ac:dyDescent="0.35">
      <c r="D37" t="s">
        <v>58</v>
      </c>
      <c r="S37" s="29" t="s">
        <v>97</v>
      </c>
      <c r="T37" s="45">
        <f>SIGN(Q29) * SQRT(T36^2 - T40^2)</f>
        <v>5.8728446862777899</v>
      </c>
      <c r="W37" s="29" t="s">
        <v>97</v>
      </c>
      <c r="X37" s="45">
        <f>SIGN(Q29) * SQRT(X36^2 - X40^2)</f>
        <v>5.5893027033021987</v>
      </c>
    </row>
    <row r="38" spans="2:25" ht="18" customHeight="1" x14ac:dyDescent="0.25">
      <c r="T38" s="48"/>
      <c r="X38" s="48"/>
    </row>
    <row r="39" spans="2:25" ht="18" customHeight="1" x14ac:dyDescent="0.25">
      <c r="T39" s="48"/>
      <c r="X39" s="48"/>
    </row>
    <row r="40" spans="2:25" ht="18" customHeight="1" x14ac:dyDescent="0.35">
      <c r="D40" t="s">
        <v>57</v>
      </c>
      <c r="S40" s="29" t="s">
        <v>98</v>
      </c>
      <c r="T40" s="45">
        <f>T34</f>
        <v>3</v>
      </c>
      <c r="W40" s="29" t="s">
        <v>98</v>
      </c>
      <c r="X40" s="45">
        <f>X34</f>
        <v>3.5</v>
      </c>
    </row>
    <row r="41" spans="2:25" ht="18" customHeight="1" x14ac:dyDescent="0.25">
      <c r="T41" s="48"/>
      <c r="X41" s="48"/>
    </row>
    <row r="42" spans="2:25" ht="18" customHeight="1" x14ac:dyDescent="0.35">
      <c r="D42" t="s">
        <v>59</v>
      </c>
      <c r="S42" s="46" t="s">
        <v>99</v>
      </c>
      <c r="T42" s="45">
        <f>DEGREES( ATAN(T40/T37) ) - DEGREES( ATAN(Q30/Q29) )</f>
        <v>-1.5513466609989948</v>
      </c>
      <c r="W42" s="46" t="s">
        <v>99</v>
      </c>
      <c r="X42" s="45">
        <f>DEGREES( ATAN(X40/X37) ) - DEGREES( ATAN(Q30/Q29) )</f>
        <v>3.4441813979304001</v>
      </c>
    </row>
    <row r="43" spans="2:25" ht="18" customHeight="1" x14ac:dyDescent="0.25">
      <c r="T43" s="48"/>
      <c r="X43" s="48"/>
    </row>
    <row r="44" spans="2:25" ht="18" customHeight="1" x14ac:dyDescent="0.35">
      <c r="D44" t="s">
        <v>60</v>
      </c>
      <c r="S44" s="46" t="s">
        <v>100</v>
      </c>
      <c r="T44" s="1">
        <f>IF(P10 - T42&lt;0, P10 - T42 + 360, P10 - T42)</f>
        <v>1.5513466609989948</v>
      </c>
      <c r="U44" t="s">
        <v>62</v>
      </c>
      <c r="W44" s="46" t="s">
        <v>100</v>
      </c>
      <c r="X44" s="1">
        <f>IF(P10 - X42&lt;0, P10 - X42 + 360, P10 - X42)</f>
        <v>356.55581860206962</v>
      </c>
      <c r="Y44" t="s">
        <v>62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Main</vt:lpstr>
      <vt:lpstr>Details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2022-06-28T17:40:24Z</dcterms:modified>
</cp:coreProperties>
</file>