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_physicist__\_ae\Code Projects\"/>
    </mc:Choice>
  </mc:AlternateContent>
  <xr:revisionPtr revIDLastSave="0" documentId="13_ncr:1_{B2F98C9E-DCE8-45C2-A1A3-CA740CED5CC6}" xr6:coauthVersionLast="47" xr6:coauthVersionMax="47" xr10:uidLastSave="{00000000-0000-0000-0000-000000000000}"/>
  <bookViews>
    <workbookView xWindow="29265" yWindow="570" windowWidth="23850" windowHeight="17010" tabRatio="542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B_coll">Details!$W$19:$Z$22</definedName>
    <definedName name="affine_RB_couch">Details!$I$19:$L$22</definedName>
    <definedName name="affine_RC_gantry">Details!$Q$19:$T$22</definedName>
    <definedName name="affine_scale">Details!$L$40:$O$43</definedName>
    <definedName name="angle_sign">'Coord System'!$AF$27:$AF$29</definedName>
    <definedName name="coord_axes">'Coord System'!$AC$13:$AC$18</definedName>
    <definedName name="m_BEV">Details!$T$40:$T$43</definedName>
    <definedName name="m_I">Details!$H$26:$K$29</definedName>
    <definedName name="m_orthog_proj">Details!$C$19:$F$22</definedName>
    <definedName name="m_T">Details!$S$26:$S$29</definedName>
    <definedName name="m_target">Details!$V$26:$V$29</definedName>
    <definedName name="m_TColl">Details!$U$33:$U$36</definedName>
    <definedName name="m_TCouch">Details!$C$33:$C$36</definedName>
    <definedName name="m_TGantry">Details!$M$33:$M$36</definedName>
    <definedName name="rot_C_test">Details!$AC$26:$AF$29</definedName>
    <definedName name="rot_sign_coll">'Coord System'!$AB$29</definedName>
    <definedName name="rot_sign_couch">'Coord System'!$AB$27</definedName>
    <definedName name="rot_sign_gantry">'Coord System'!$AB$28</definedName>
    <definedName name="Sp_G0">Details!$AC$32:$AC$35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7" i="2" l="1"/>
  <c r="AC37" i="2" s="1" a="1"/>
  <c r="AC37" i="2" s="1"/>
  <c r="AD26" i="2"/>
  <c r="AD27" i="2"/>
  <c r="AC26" i="2"/>
  <c r="AC39" i="1"/>
  <c r="O9" i="2"/>
  <c r="O12" i="2" s="1"/>
  <c r="O15" i="2" s="1"/>
  <c r="J9" i="2"/>
  <c r="E9" i="2"/>
  <c r="E12" i="2" s="1"/>
  <c r="E15" i="2" s="1"/>
  <c r="AE14" i="4"/>
  <c r="AE15" i="4"/>
  <c r="AE13" i="4"/>
  <c r="J12" i="2" l="1"/>
  <c r="J15" i="2" s="1"/>
  <c r="W21" i="2"/>
  <c r="W19" i="2"/>
  <c r="Y19" i="2"/>
  <c r="I21" i="2"/>
  <c r="K19" i="2"/>
  <c r="I19" i="2"/>
  <c r="K21" i="2"/>
  <c r="Y21" i="2"/>
  <c r="AB28" i="4"/>
  <c r="AB29" i="4"/>
  <c r="AB27" i="4"/>
  <c r="AB13" i="4"/>
  <c r="AB14" i="4"/>
  <c r="AB15" i="4"/>
  <c r="AA29" i="4" a="1"/>
  <c r="AA29" i="4" s="1"/>
  <c r="AA28" i="4" a="1"/>
  <c r="AA28" i="4" s="1"/>
  <c r="AA27" i="4" a="1"/>
  <c r="AA27" i="4" s="1"/>
  <c r="Q19" i="2" l="1"/>
  <c r="R19" i="2"/>
  <c r="Q20" i="2"/>
  <c r="R20" i="2"/>
  <c r="AD16" i="1"/>
  <c r="AC14" i="1"/>
  <c r="AH15" i="1" s="1"/>
  <c r="D27" i="2" s="1"/>
  <c r="AC17" i="1"/>
  <c r="AB15" i="1"/>
  <c r="AD17" i="1"/>
  <c r="AC15" i="1"/>
  <c r="AB18" i="1"/>
  <c r="AG18" i="1" s="1"/>
  <c r="AC16" i="1"/>
  <c r="AD15" i="1"/>
  <c r="AC18" i="1"/>
  <c r="AH18" i="1" s="1"/>
  <c r="AB14" i="1"/>
  <c r="AG15" i="1" s="1"/>
  <c r="D26" i="2" s="1"/>
  <c r="AB16" i="1"/>
  <c r="AD18" i="1"/>
  <c r="AI18" i="1" s="1"/>
  <c r="AD14" i="1"/>
  <c r="AI15" i="1" s="1"/>
  <c r="AB17" i="1"/>
  <c r="AC15" i="4"/>
  <c r="AC14" i="4"/>
  <c r="AC13" i="4"/>
  <c r="F40" i="1"/>
  <c r="K26" i="2" l="1"/>
  <c r="O27" i="2"/>
  <c r="S27" i="2" s="1"/>
  <c r="K27" i="2"/>
  <c r="O26" i="2"/>
  <c r="S26" i="2" s="1"/>
  <c r="D28" i="2"/>
  <c r="K28" i="2" s="1"/>
  <c r="O28" i="2"/>
  <c r="S28" i="2" s="1"/>
  <c r="AD13" i="4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V26" i="2" l="1" a="1"/>
  <c r="V26" i="2" s="1"/>
  <c r="C33" i="2" s="1" a="1"/>
  <c r="C33" i="2" s="1"/>
  <c r="J18" i="1"/>
  <c r="I18" i="1"/>
  <c r="H18" i="1"/>
  <c r="M33" i="2" l="1" a="1"/>
  <c r="M33" i="2" s="1"/>
  <c r="K18" i="1"/>
  <c r="U33" i="2" l="1" a="1"/>
  <c r="U33" i="2" l="1"/>
  <c r="C40" i="2"/>
  <c r="G40" i="2" s="1"/>
  <c r="L40" i="2" l="1"/>
  <c r="M41" i="2"/>
  <c r="N42" i="2"/>
  <c r="T40" i="2" l="1" a="1"/>
  <c r="T40" i="2" l="1"/>
  <c r="E46" i="2" s="1"/>
  <c r="O46" i="2"/>
  <c r="G33" i="1" s="1"/>
  <c r="J40" i="1" l="1" a="1"/>
  <c r="J40" i="1" s="1"/>
  <c r="I40" i="1" a="1"/>
  <c r="I40" i="1" s="1"/>
  <c r="X53" i="2"/>
  <c r="T53" i="2"/>
  <c r="D33" i="1"/>
  <c r="E49" i="1" l="1"/>
  <c r="E43" i="1"/>
  <c r="T51" i="2" l="1"/>
  <c r="T55" i="2" s="1"/>
  <c r="J44" i="1"/>
  <c r="L44" i="1"/>
  <c r="L50" i="1"/>
  <c r="J50" i="1"/>
  <c r="X51" i="2"/>
  <c r="X55" i="2" s="1"/>
  <c r="X57" i="2" l="1"/>
  <c r="J51" i="1" s="1"/>
  <c r="T57" i="2"/>
  <c r="J45" i="1" s="1"/>
  <c r="T59" i="2" l="1"/>
  <c r="T61" i="2" s="1"/>
  <c r="J43" i="1" s="1"/>
  <c r="X59" i="2"/>
  <c r="X61" i="2" s="1"/>
  <c r="J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<sst xmlns="http://schemas.openxmlformats.org/spreadsheetml/2006/main" count="208" uniqueCount="141">
  <si>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</si>
  <si>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</si>
  <si>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</si>
  <si>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</si>
  <si>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</si>
  <si>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</si>
  <si>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</si>
  <si>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</si>
  <si>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</si>
  <si>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</si>
  <si>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</si>
  <si>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</si>
  <si>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</si>
  <si>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</si>
  <si>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</si>
  <si>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</si>
  <si>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</si>
  <si>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</si>
  <si>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</si>
  <si>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</si>
  <si>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</si>
  <si>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</si>
  <si>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</si>
  <si>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</si>
  <si>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</si>
  <si>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</si>
  <si>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</si>
  <si>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</si>
  <si>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</si>
  <si>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</si>
  <si>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</si>
  <si>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</si>
  <si>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</si>
  <si>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</si>
  <si>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</si>
  <si>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</si>
  <si>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</si>
  <si>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</si>
  <si>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</si>
  <si>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</si>
  <si>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</si>
  <si>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</si>
  <si>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</si>
  <si>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</si>
  <si>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</si>
  <si>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</si>
  <si>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</si>
  <si>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</si>
  <si>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</si>
  <si>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</si>
  <si>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</si>
  <si>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</si>
  <si>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</si>
  <si>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</si>
  <si>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</si>
  <si>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</si>
  <si>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</si>
  <si>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Note that the Collimator angle will ultimately be slightly different than desired, as we use a collimator angle correction to align MLC leaf-interfaces.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</si>
  <si>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</si>
  <si>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</si>
  <si>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</si>
  <si>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</si>
  <si>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</si>
  <si>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</si>
  <si>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</si>
  <si>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</si>
  <si>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</si>
  <si>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</si>
  <si>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</si>
  <si>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</si>
  <si>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</si>
  <si>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</si>
  <si>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</si>
  <si>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</si>
  <si>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</si>
  <si>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</si>
  <si>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</si>
  <si>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</si>
  <si>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</si>
  <si>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</si>
  <si>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</si>
  <si>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Iso Coordinates</t>
  </si>
  <si>
    <t>I Matrix</t>
  </si>
  <si>
    <t>Target coordinates</t>
  </si>
  <si>
    <t>T Matrix</t>
  </si>
  <si>
    <t>x</t>
  </si>
  <si>
    <t>y</t>
  </si>
  <si>
    <t>z</t>
  </si>
  <si>
    <t>A</t>
  </si>
  <si>
    <t>B</t>
  </si>
  <si>
    <t>C</t>
  </si>
  <si>
    <t>Iso</t>
  </si>
  <si>
    <t>Improved Off-Axis Winston-Lutz Calculator</t>
  </si>
  <si>
    <t>Version 1.4</t>
  </si>
  <si>
    <t>Methodology described here: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</si>
  <si>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 https://doi.org/10.1002/acm2.13816</t>
    </r>
  </si>
  <si>
    <t>Matrix Version</t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</si>
  <si>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</si>
  <si>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</si>
  <si>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</si>
  <si>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</si>
  <si>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h</t>
  </si>
  <si>
    <t>Affine Orthog Projection Matix</t>
  </si>
  <si>
    <t>General Transform Matrices used…</t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</si>
  <si>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</si>
  <si>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Apply sign change for rotation directions</t>
  </si>
  <si>
    <t>Apply sign change to account for object not moving with rotation</t>
  </si>
  <si>
    <t>Coordinate Matrices…</t>
  </si>
  <si>
    <t>Perform Affine Rotation Coordinate Transformations…</t>
  </si>
  <si>
    <t>Perform Coordinate Transforms for projection magnification…</t>
  </si>
  <si>
    <t>Scaling Factor…</t>
  </si>
  <si>
    <t>Affine Scaling Matrix</t>
  </si>
  <si>
    <t>BEV Coordinates  ( Affine_Scale ● { Ortho_Proj_M ● m_targ_coll } )</t>
  </si>
  <si>
    <t>Final BEV Coordinates</t>
  </si>
  <si>
    <t>( BEV Matrix C coordinate )</t>
  </si>
  <si>
    <t>New Collimator angle…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</si>
  <si>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</si>
  <si>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</si>
  <si>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Target Coord Matrix</t>
  </si>
  <si>
    <t>Go to "Calcs" tab…</t>
  </si>
  <si>
    <t>1.4</t>
  </si>
  <si>
    <t>Renamed "Improved Off-Axis Winston Lutz Calculator".
Added ability to specify the coordinate system used.  Also, created a new version of this spreadsheet that uses matricies instead of Trig. Functions.</t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</si>
  <si>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</si>
  <si>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</si>
  <si>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1.5</t>
  </si>
  <si>
    <t>Renamed B axis to C, and C axis to B.</t>
  </si>
  <si>
    <t>Affine RC_Gantry (gantry rotation about C axis)</t>
  </si>
  <si>
    <t>Affine RB_Couch (couch rotation about A axis)</t>
  </si>
  <si>
    <t>Affine RB_Coll (collimator rotation about A axis)</t>
  </si>
  <si>
    <r>
      <t xml:space="preserve">Couch Rot. ( AffineRB_Couch </t>
    </r>
    <r>
      <rPr>
        <sz val="12"/>
        <color theme="5" tint="-0.249977111117893"/>
        <rFont val="Calibri"/>
        <family val="2"/>
      </rPr>
      <t>●</t>
    </r>
    <r>
      <rPr>
        <sz val="12"/>
        <color theme="5" tint="-0.249977111117893"/>
        <rFont val="Calibri"/>
        <family val="2"/>
        <scheme val="minor"/>
      </rPr>
      <t xml:space="preserve"> Target Matrix )</t>
    </r>
  </si>
  <si>
    <t>Gantry Rot.  ( AffineRC_Gantry ●  Couch Rot. )</t>
  </si>
  <si>
    <t>Coll. Rot.  ( AffineRB_Coll ● Gantry Rot. )</t>
  </si>
  <si>
    <t>Final B coordinate</t>
  </si>
  <si>
    <t>( BEV Matrix A coordinate )</t>
  </si>
  <si>
    <t>1.6</t>
  </si>
  <si>
    <t>Reoriented axes to conform to DICOM orientation, where DICOM X is A, DICOM Y is B, and DICOM Z is C.</t>
  </si>
  <si>
    <t>OAWL Calculator created by Anton Eagle, MS. DABR., Advent Health.  2022.</t>
  </si>
  <si>
    <t>Affine RC_Gantry Test</t>
  </si>
  <si>
    <t>Sp_G0</t>
  </si>
  <si>
    <t>1.7</t>
  </si>
  <si>
    <t>Fixed a couple of bugs introduced at v1.6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</si>
</sst>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sz val="1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46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8" fillId="0" borderId="0" xfId="0" applyFont="1" applyAlignment="1">
      <alignment horizontal="right" vertical="top"/>
    </xf>
    <xf numFmtId="0" fontId="0" fillId="0" borderId="17" xfId="0" applyBorder="1"/>
    <xf numFmtId="164" fontId="6" fillId="0" borderId="0" xfId="0" applyNumberFormat="1" applyFont="1"/>
    <xf numFmtId="0" fontId="30" fillId="0" borderId="0" xfId="0" applyFont="1"/>
    <xf numFmtId="0" fontId="28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6" fillId="0" borderId="0" xfId="0" applyNumberFormat="1" applyFont="1" applyAlignment="1">
      <alignment vertical="center"/>
    </xf>
    <xf numFmtId="2" fontId="32" fillId="0" borderId="0" xfId="0" applyNumberFormat="1" applyFont="1"/>
    <xf numFmtId="2" fontId="32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33" fillId="0" borderId="0" xfId="0" applyFont="1"/>
    <xf numFmtId="0" fontId="34" fillId="0" borderId="0" xfId="0" applyFont="1"/>
    <xf numFmtId="164" fontId="0" fillId="0" borderId="0" xfId="0" applyNumberFormat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39" fillId="0" borderId="0" xfId="0" applyFont="1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2" fillId="0" borderId="0" xfId="0" applyFont="1" applyAlignment="1">
      <alignment horizontal="right"/>
    </xf>
    <xf numFmtId="0" fontId="42" fillId="0" borderId="0" xfId="0" applyFont="1" applyAlignment="1">
      <alignment horizontal="right" vertical="center"/>
    </xf>
    <xf numFmtId="0" fontId="3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left" vertical="top" indent="1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0" fontId="36" fillId="0" borderId="0" xfId="1" applyFont="1" applyBorder="1" applyAlignment="1">
      <alignment horizontal="left" vertical="top" wrapText="1"/>
    </xf>
    <xf numFmtId="0" fontId="36" fillId="0" borderId="17" xfId="1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2" fillId="0" borderId="5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16294</xdr:colOff>
      <xdr:row>7</xdr:row>
      <xdr:rowOff>159124</xdr:rowOff>
    </xdr:from>
    <xdr:to>
      <xdr:col>14</xdr:col>
      <xdr:colOff>58869</xdr:colOff>
      <xdr:row>19</xdr:row>
      <xdr:rowOff>130248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F8D2-D144-4F18-824B-A1A5911B9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6544" y="1645024"/>
          <a:ext cx="2300000" cy="240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54</xdr:row>
      <xdr:rowOff>19050</xdr:rowOff>
    </xdr:from>
    <xdr:to>
      <xdr:col>7</xdr:col>
      <xdr:colOff>171450</xdr:colOff>
      <xdr:row>55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209550</xdr:rowOff>
    </xdr:from>
    <xdr:to>
      <xdr:col>15</xdr:col>
      <xdr:colOff>266700</xdr:colOff>
      <xdr:row>60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28575</xdr:rowOff>
    </xdr:from>
    <xdr:to>
      <xdr:col>8</xdr:col>
      <xdr:colOff>190500</xdr:colOff>
      <xdr:row>61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114300</xdr:rowOff>
    </xdr:from>
    <xdr:to>
      <xdr:col>11</xdr:col>
      <xdr:colOff>295275</xdr:colOff>
      <xdr:row>57</xdr:row>
      <xdr:rowOff>209550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3634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tabSelected="1" zoomScaleNormal="10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4" width="9.140625" style="47"/>
  </cols>
  <sheetData>
    <row r="1" spans="1:69" ht="23.25" x14ac:dyDescent="0.35">
      <c r="A1" s="17" t="s">
        <v>92</v>
      </c>
      <c r="N1" s="98" t="s">
        <v>93</v>
      </c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96</v>
      </c>
      <c r="N2" s="9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" customHeight="1" x14ac:dyDescent="0.3">
      <c r="A3" s="16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</row>
    <row r="4" spans="1:69" ht="15" customHeight="1" x14ac:dyDescent="0.3">
      <c r="A4" s="16"/>
      <c r="B4" t="s">
        <v>94</v>
      </c>
      <c r="F4" s="129" t="s">
        <v>95</v>
      </c>
      <c r="G4" s="129"/>
      <c r="H4" s="129"/>
      <c r="I4" s="129"/>
      <c r="J4" s="129"/>
      <c r="K4" s="129"/>
      <c r="L4" s="129"/>
      <c r="M4" s="129"/>
      <c r="N4" s="129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</row>
    <row r="5" spans="1:69" ht="15" customHeight="1" x14ac:dyDescent="0.3">
      <c r="A5" s="16"/>
      <c r="F5" s="129"/>
      <c r="G5" s="129"/>
      <c r="H5" s="129"/>
      <c r="I5" s="129"/>
      <c r="J5" s="129"/>
      <c r="K5" s="129"/>
      <c r="L5" s="129"/>
      <c r="M5" s="129"/>
      <c r="N5" s="129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</row>
    <row r="6" spans="1:69" ht="15" customHeight="1" x14ac:dyDescent="0.3">
      <c r="A6" s="16"/>
      <c r="F6" s="129"/>
      <c r="G6" s="129"/>
      <c r="H6" s="129"/>
      <c r="I6" s="129"/>
      <c r="J6" s="129"/>
      <c r="K6" s="129"/>
      <c r="L6" s="129"/>
      <c r="M6" s="129"/>
      <c r="N6" s="129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1:69" ht="15" customHeight="1" thickBot="1" x14ac:dyDescent="0.3"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</row>
    <row r="8" spans="1:69" x14ac:dyDescent="0.25">
      <c r="B8" s="36" t="s">
        <v>69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</row>
    <row r="9" spans="1:69" ht="6" customHeight="1" x14ac:dyDescent="0.25"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</row>
    <row r="10" spans="1:69" x14ac:dyDescent="0.25">
      <c r="C10" s="127" t="s">
        <v>80</v>
      </c>
      <c r="D10" s="127"/>
      <c r="E10" s="127"/>
      <c r="F10" s="127"/>
      <c r="G10" s="127"/>
      <c r="H10" s="127"/>
      <c r="I10" s="127"/>
      <c r="J10" s="127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</row>
    <row r="11" spans="1:69" x14ac:dyDescent="0.25">
      <c r="C11" s="127"/>
      <c r="D11" s="127"/>
      <c r="E11" s="127"/>
      <c r="F11" s="127"/>
      <c r="G11" s="127"/>
      <c r="H11" s="127"/>
      <c r="I11" s="127"/>
      <c r="J11" s="127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</row>
    <row r="12" spans="1:69" x14ac:dyDescent="0.25"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</row>
    <row r="13" spans="1:69" s="20" customFormat="1" ht="18" customHeight="1" x14ac:dyDescent="0.25">
      <c r="C13" s="49" t="s">
        <v>70</v>
      </c>
      <c r="D13" s="51" t="s">
        <v>73</v>
      </c>
      <c r="O13" s="89"/>
      <c r="P13" s="89"/>
      <c r="X13" s="90"/>
      <c r="Y13" s="90"/>
      <c r="Z13" s="90"/>
      <c r="AA13" s="93" t="s">
        <v>73</v>
      </c>
      <c r="AB13" s="91" t="str">
        <f>RIGHT(D13,1)</f>
        <v>X</v>
      </c>
      <c r="AC13" s="89" t="b">
        <f>AND(AB13&lt;&gt;AB14,AB13&lt;&gt;AB15)</f>
        <v>1</v>
      </c>
      <c r="AD13" s="90" t="b">
        <f>AND(AC13=TRUE, AC14=TRUE, AC15=TRUE)</f>
        <v>1</v>
      </c>
      <c r="AE13" s="89">
        <f>VALUE(LEFT(D13,1)&amp;"1")</f>
        <v>1</v>
      </c>
      <c r="AF13" s="90"/>
      <c r="AG13" s="90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</row>
    <row r="14" spans="1:69" s="20" customFormat="1" ht="18" customHeight="1" x14ac:dyDescent="0.25">
      <c r="C14" s="49" t="s">
        <v>71</v>
      </c>
      <c r="D14" s="52" t="s">
        <v>75</v>
      </c>
      <c r="O14" s="89"/>
      <c r="P14" s="89"/>
      <c r="X14" s="90"/>
      <c r="Y14" s="90"/>
      <c r="Z14" s="90"/>
      <c r="AA14" s="93" t="s">
        <v>74</v>
      </c>
      <c r="AB14" s="91" t="str">
        <f>RIGHT(D14,1)</f>
        <v>Y</v>
      </c>
      <c r="AC14" s="89" t="b">
        <f>AND(AB14&lt;&gt;AB13,AB14&lt;&gt;AB15)</f>
        <v>1</v>
      </c>
      <c r="AD14" s="90"/>
      <c r="AE14" s="89">
        <f>VALUE(LEFT(D14,1)&amp;"1")</f>
        <v>1</v>
      </c>
      <c r="AF14" s="90"/>
      <c r="AG14" s="90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</row>
    <row r="15" spans="1:69" s="20" customFormat="1" ht="18" customHeight="1" x14ac:dyDescent="0.25">
      <c r="C15" s="49" t="s">
        <v>72</v>
      </c>
      <c r="D15" s="52" t="s">
        <v>77</v>
      </c>
      <c r="F15" s="94"/>
      <c r="G15" s="94"/>
      <c r="H15" s="94"/>
      <c r="I15" s="94"/>
      <c r="J15" s="94"/>
      <c r="O15" s="89"/>
      <c r="P15" s="89"/>
      <c r="X15" s="90"/>
      <c r="Y15" s="90"/>
      <c r="Z15" s="89"/>
      <c r="AA15" s="93" t="s">
        <v>75</v>
      </c>
      <c r="AB15" s="91" t="str">
        <f>RIGHT(D15,1)</f>
        <v>Z</v>
      </c>
      <c r="AC15" s="89" t="b">
        <f>AND(AB15&lt;&gt;AB13,AB15&lt;&gt;AB14)</f>
        <v>1</v>
      </c>
      <c r="AD15" s="90"/>
      <c r="AE15" s="89">
        <f>VALUE(LEFT(D15,1)&amp;"1")</f>
        <v>1</v>
      </c>
      <c r="AF15" s="90"/>
      <c r="AG15" s="90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</row>
    <row r="16" spans="1:69" s="20" customFormat="1" ht="18" customHeight="1" x14ac:dyDescent="0.25">
      <c r="E16" s="92"/>
      <c r="F16" s="92"/>
      <c r="G16" s="92"/>
      <c r="O16" s="89"/>
      <c r="P16" s="89"/>
      <c r="X16" s="90"/>
      <c r="Y16" s="90"/>
      <c r="Z16" s="89"/>
      <c r="AA16" s="93" t="s">
        <v>76</v>
      </c>
      <c r="AB16" s="89"/>
      <c r="AC16" s="93"/>
      <c r="AD16" s="90"/>
      <c r="AE16" s="90"/>
      <c r="AF16" s="90"/>
      <c r="AG16" s="90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</row>
    <row r="17" spans="2:69" s="20" customFormat="1" ht="18" customHeight="1" x14ac:dyDescent="0.25">
      <c r="C17" s="128" t="s">
        <v>79</v>
      </c>
      <c r="D17" s="128"/>
      <c r="E17" s="128"/>
      <c r="F17" s="128"/>
      <c r="G17" s="128"/>
      <c r="O17" s="89"/>
      <c r="P17" s="89"/>
      <c r="X17" s="90"/>
      <c r="Y17" s="90"/>
      <c r="Z17" s="89"/>
      <c r="AA17" s="93" t="s">
        <v>77</v>
      </c>
      <c r="AB17" s="89"/>
      <c r="AC17" s="93"/>
      <c r="AD17" s="90"/>
      <c r="AE17" s="90"/>
      <c r="AF17" s="90"/>
      <c r="AG17" s="90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</row>
    <row r="18" spans="2:69" s="20" customFormat="1" ht="18" customHeight="1" x14ac:dyDescent="0.25">
      <c r="C18" s="128"/>
      <c r="D18" s="128"/>
      <c r="E18" s="128"/>
      <c r="F18" s="128"/>
      <c r="G18" s="128"/>
      <c r="O18" s="89"/>
      <c r="P18" s="89"/>
      <c r="X18" s="90"/>
      <c r="Y18" s="90"/>
      <c r="Z18" s="89"/>
      <c r="AA18" s="93" t="s">
        <v>78</v>
      </c>
      <c r="AB18" s="89"/>
      <c r="AC18" s="93"/>
      <c r="AD18" s="90"/>
      <c r="AE18" s="90"/>
      <c r="AF18" s="90"/>
      <c r="AG18" s="90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</row>
    <row r="19" spans="2:69" s="20" customFormat="1" ht="18" customHeight="1" x14ac:dyDescent="0.25">
      <c r="O19" s="89"/>
      <c r="P19" s="90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</row>
    <row r="20" spans="2:69" ht="15.75" thickBot="1" x14ac:dyDescent="0.3">
      <c r="N20" s="71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2:69" x14ac:dyDescent="0.25">
      <c r="B21" s="36" t="s">
        <v>68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2:69" ht="6" customHeight="1" x14ac:dyDescent="0.25"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2:69" x14ac:dyDescent="0.25">
      <c r="C23" t="s">
        <v>47</v>
      </c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2:69" x14ac:dyDescent="0.25">
      <c r="C24" t="s">
        <v>123</v>
      </c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2:69" s="56" customFormat="1" ht="33" customHeight="1" x14ac:dyDescent="0.25">
      <c r="C25" s="126" t="s">
        <v>122</v>
      </c>
      <c r="D25" s="126"/>
      <c r="E25" s="126"/>
      <c r="F25" s="126"/>
      <c r="G25" s="126"/>
      <c r="H25" s="126"/>
      <c r="I25" s="126"/>
      <c r="J25" s="126"/>
      <c r="K25" s="126"/>
      <c r="L25" s="126"/>
      <c r="M25" s="57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</row>
    <row r="26" spans="2:69" ht="6" customHeight="1" x14ac:dyDescent="0.25"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</row>
    <row r="27" spans="2:69" s="20" customFormat="1" ht="18" customHeight="1" x14ac:dyDescent="0.25">
      <c r="C27" s="49" t="s">
        <v>38</v>
      </c>
      <c r="D27" s="50"/>
      <c r="E27" s="62" t="s">
        <v>46</v>
      </c>
      <c r="F27" s="58"/>
      <c r="G27" s="53" t="s">
        <v>36</v>
      </c>
      <c r="H27" s="54"/>
      <c r="I27" s="54"/>
      <c r="J27" s="59"/>
      <c r="K27" s="51" t="s">
        <v>41</v>
      </c>
      <c r="L27" s="55" t="s">
        <v>43</v>
      </c>
      <c r="O27" s="89"/>
      <c r="X27" s="89"/>
      <c r="Y27" s="89"/>
      <c r="Z27" s="89"/>
      <c r="AA27" s="90" cm="1">
        <f t="array" ref="AA27">INDEX($AG$28:$AG$29, MATCH(K27,$AF$28:$AF$29,0), 0)</f>
        <v>1</v>
      </c>
      <c r="AB27" s="89">
        <f>IF(K27="Negative", -1, 1)</f>
        <v>1</v>
      </c>
      <c r="AC27" s="89"/>
      <c r="AD27" s="89"/>
      <c r="AE27" s="89"/>
      <c r="AF27" s="89" t="s">
        <v>40</v>
      </c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</row>
    <row r="28" spans="2:69" s="20" customFormat="1" ht="18" customHeight="1" x14ac:dyDescent="0.25">
      <c r="C28" s="49" t="s">
        <v>37</v>
      </c>
      <c r="D28" s="50"/>
      <c r="E28" s="62" t="s">
        <v>45</v>
      </c>
      <c r="F28" s="58"/>
      <c r="G28" s="53" t="s">
        <v>48</v>
      </c>
      <c r="H28" s="54"/>
      <c r="I28" s="54"/>
      <c r="J28" s="59"/>
      <c r="K28" s="52" t="s">
        <v>41</v>
      </c>
      <c r="L28" s="55" t="s">
        <v>43</v>
      </c>
      <c r="O28" s="89"/>
      <c r="X28" s="89"/>
      <c r="Y28" s="89"/>
      <c r="Z28" s="89"/>
      <c r="AA28" s="90" cm="1">
        <f t="array" ref="AA28">INDEX($AG$28:$AG$29, MATCH(K28,$AF$28:$AF$29,0), 0)</f>
        <v>1</v>
      </c>
      <c r="AB28" s="89">
        <f>IF(K28="Negative", -1, 1)</f>
        <v>1</v>
      </c>
      <c r="AC28" s="89"/>
      <c r="AD28" s="89"/>
      <c r="AE28" s="89"/>
      <c r="AF28" s="89" t="s">
        <v>41</v>
      </c>
      <c r="AG28" s="89">
        <v>1</v>
      </c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</row>
    <row r="29" spans="2:69" s="20" customFormat="1" ht="18" customHeight="1" x14ac:dyDescent="0.25">
      <c r="C29" s="49" t="s">
        <v>39</v>
      </c>
      <c r="D29" s="50"/>
      <c r="E29" s="62" t="s">
        <v>46</v>
      </c>
      <c r="F29" s="58"/>
      <c r="G29" s="53" t="s">
        <v>44</v>
      </c>
      <c r="H29" s="54"/>
      <c r="I29" s="54"/>
      <c r="J29" s="59"/>
      <c r="K29" s="52" t="s">
        <v>41</v>
      </c>
      <c r="L29" s="55" t="s">
        <v>43</v>
      </c>
      <c r="O29" s="89"/>
      <c r="X29" s="89"/>
      <c r="Y29" s="89"/>
      <c r="Z29" s="89"/>
      <c r="AA29" s="90" cm="1">
        <f t="array" ref="AA29">INDEX($AG$28:$AG$29, MATCH(K29,$AF$28:$AF$29,0), 0)</f>
        <v>1</v>
      </c>
      <c r="AB29" s="89">
        <f>IF(K29="Negative", -1, 1)</f>
        <v>1</v>
      </c>
      <c r="AC29" s="89"/>
      <c r="AD29" s="89"/>
      <c r="AE29" s="89"/>
      <c r="AF29" s="89" t="s">
        <v>42</v>
      </c>
      <c r="AG29" s="89">
        <v>-1</v>
      </c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</row>
    <row r="30" spans="2:69" x14ac:dyDescent="0.25"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</row>
    <row r="31" spans="2:69" x14ac:dyDescent="0.25"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</row>
    <row r="32" spans="2:69" x14ac:dyDescent="0.25">
      <c r="C32" s="31" t="s">
        <v>119</v>
      </c>
    </row>
  </sheetData>
  <mergeCells count="4">
    <mergeCell ref="C25:L25"/>
    <mergeCell ref="C10:J11"/>
    <mergeCell ref="C17:G18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300EE3EB-77BD-481E-81F7-CFAA280B7C3E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7"/>
  <sheetViews>
    <sheetView showGridLines="0" topLeftCell="A13" workbookViewId="0">
      <selection activeCell="B8" sqref="B8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8" width="9.140625" style="47"/>
    <col min="49" max="69" width="9.140625" style="38"/>
  </cols>
  <sheetData>
    <row r="1" spans="1:35" ht="23.25" x14ac:dyDescent="0.35">
      <c r="A1" s="17" t="s">
        <v>92</v>
      </c>
      <c r="N1" s="98" t="s">
        <v>93</v>
      </c>
    </row>
    <row r="2" spans="1:35" ht="18.75" x14ac:dyDescent="0.3">
      <c r="A2" s="16" t="s">
        <v>96</v>
      </c>
      <c r="N2" s="98"/>
    </row>
    <row r="3" spans="1:35" ht="15" customHeight="1" x14ac:dyDescent="0.3">
      <c r="A3" s="16"/>
    </row>
    <row r="4" spans="1:35" ht="15" customHeight="1" x14ac:dyDescent="0.3">
      <c r="A4" s="16"/>
      <c r="B4" t="s">
        <v>94</v>
      </c>
      <c r="F4" s="129" t="s">
        <v>95</v>
      </c>
      <c r="G4" s="129"/>
      <c r="H4" s="129"/>
      <c r="I4" s="129"/>
      <c r="J4" s="129"/>
      <c r="K4" s="129"/>
      <c r="L4" s="129"/>
      <c r="M4" s="129"/>
      <c r="N4" s="129"/>
    </row>
    <row r="5" spans="1:35" ht="15" customHeight="1" x14ac:dyDescent="0.3">
      <c r="A5" s="16"/>
      <c r="F5" s="129"/>
      <c r="G5" s="129"/>
      <c r="H5" s="129"/>
      <c r="I5" s="129"/>
      <c r="J5" s="129"/>
      <c r="K5" s="129"/>
      <c r="L5" s="129"/>
      <c r="M5" s="129"/>
      <c r="N5" s="129"/>
    </row>
    <row r="6" spans="1:35" ht="15" customHeight="1" x14ac:dyDescent="0.3">
      <c r="A6" s="16"/>
      <c r="F6" s="129"/>
      <c r="G6" s="129"/>
      <c r="H6" s="129"/>
      <c r="I6" s="129"/>
      <c r="J6" s="129"/>
      <c r="K6" s="129"/>
      <c r="L6" s="129"/>
      <c r="M6" s="129"/>
      <c r="N6" s="129"/>
    </row>
    <row r="7" spans="1:35" ht="15" customHeight="1" thickBot="1" x14ac:dyDescent="0.3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</row>
    <row r="8" spans="1:35" x14ac:dyDescent="0.25">
      <c r="B8" s="36" t="s">
        <v>97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35" ht="6" customHeight="1" x14ac:dyDescent="0.25"/>
    <row r="10" spans="1:35" ht="18" customHeight="1" x14ac:dyDescent="0.25">
      <c r="C10" t="s">
        <v>49</v>
      </c>
      <c r="H10" s="127" t="s">
        <v>9</v>
      </c>
      <c r="I10" s="127"/>
      <c r="J10" s="127"/>
      <c r="K10" s="127"/>
      <c r="L10" s="127"/>
    </row>
    <row r="11" spans="1:35" ht="18" customHeight="1" x14ac:dyDescent="0.25">
      <c r="D11" s="35"/>
      <c r="E11" s="35"/>
      <c r="F11" s="35"/>
      <c r="H11" s="127"/>
      <c r="I11" s="127"/>
      <c r="J11" s="127"/>
      <c r="K11" s="127"/>
      <c r="L11" s="127"/>
    </row>
    <row r="12" spans="1:35" x14ac:dyDescent="0.25">
      <c r="C12" s="2"/>
      <c r="D12" s="137" t="s">
        <v>4</v>
      </c>
      <c r="E12" s="137"/>
      <c r="F12" s="138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85</v>
      </c>
      <c r="E13" s="4" t="s">
        <v>86</v>
      </c>
      <c r="F13" s="5" t="s">
        <v>87</v>
      </c>
      <c r="H13" s="12" t="s">
        <v>7</v>
      </c>
      <c r="I13" s="10"/>
      <c r="J13" s="9">
        <v>5</v>
      </c>
      <c r="AA13" s="91"/>
      <c r="AB13" s="91" t="s">
        <v>88</v>
      </c>
      <c r="AC13" s="91" t="s">
        <v>89</v>
      </c>
      <c r="AD13" s="91" t="s">
        <v>90</v>
      </c>
    </row>
    <row r="14" spans="1:35" x14ac:dyDescent="0.25">
      <c r="C14" s="69">
        <v>1</v>
      </c>
      <c r="D14" s="65">
        <v>-2.5</v>
      </c>
      <c r="E14" s="65">
        <v>3</v>
      </c>
      <c r="F14" s="66">
        <v>-1</v>
      </c>
      <c r="AA14" s="91">
        <v>1</v>
      </c>
      <c r="AB14" s="91">
        <f>INDEX($D14:$F14,0,MATCH('Coord System'!$AB$13,$D$13:$F$13,0)) * 'Coord System'!$AE$13</f>
        <v>-2.5</v>
      </c>
      <c r="AC14" s="91">
        <f>INDEX($D14:$F14,0,MATCH('Coord System'!$AB$14,$D$13:$F$13,0)) * 'Coord System'!$AE$14</f>
        <v>3</v>
      </c>
      <c r="AD14" s="91">
        <f>INDEX($D14:$F14,0,MATCH('Coord System'!$AB$15,$D$13:$F$13,0)) * 'Coord System'!$AE$15</f>
        <v>-1</v>
      </c>
      <c r="AF14" s="47" t="s">
        <v>91</v>
      </c>
      <c r="AG14" s="91" t="s">
        <v>88</v>
      </c>
      <c r="AH14" s="91" t="s">
        <v>89</v>
      </c>
      <c r="AI14" s="91" t="s">
        <v>90</v>
      </c>
    </row>
    <row r="15" spans="1:35" x14ac:dyDescent="0.25">
      <c r="C15" s="69">
        <v>2</v>
      </c>
      <c r="D15" s="65">
        <v>-1.5</v>
      </c>
      <c r="E15" s="65">
        <v>1.5</v>
      </c>
      <c r="F15" s="66">
        <v>1</v>
      </c>
      <c r="AA15" s="91">
        <v>2</v>
      </c>
      <c r="AB15" s="91">
        <f>INDEX($D15:$F15,0,MATCH('Coord System'!$AB$13,$D$13:$F$13,0)) * 'Coord System'!$AE$13</f>
        <v>-1.5</v>
      </c>
      <c r="AC15" s="91">
        <f>INDEX($D15:$F15,0,MATCH('Coord System'!$AB$14,$D$13:$F$13,0)) * 'Coord System'!$AE$14</f>
        <v>1.5</v>
      </c>
      <c r="AD15" s="91">
        <f>INDEX($D15:$F15,0,MATCH('Coord System'!$AB$15,$D$13:$F$13,0)) * 'Coord System'!$AE$15</f>
        <v>1</v>
      </c>
      <c r="AG15" s="91">
        <f>VLOOKUP($J$12, $AA$14:$AD$18, 2)</f>
        <v>-2.5</v>
      </c>
      <c r="AH15" s="91">
        <f>VLOOKUP($J$12, $AA$14:$AD$18, 3)</f>
        <v>3</v>
      </c>
      <c r="AI15" s="91">
        <f>VLOOKUP($J$12, $AA$14:$AD$18, 4)</f>
        <v>-1</v>
      </c>
    </row>
    <row r="16" spans="1:35" x14ac:dyDescent="0.25">
      <c r="C16" s="69">
        <v>3</v>
      </c>
      <c r="D16" s="65">
        <v>0</v>
      </c>
      <c r="E16" s="65">
        <v>0</v>
      </c>
      <c r="F16" s="66">
        <v>0</v>
      </c>
      <c r="H16" s="139" t="s">
        <v>8</v>
      </c>
      <c r="I16" s="137"/>
      <c r="J16" s="138"/>
      <c r="K16" s="13"/>
      <c r="AA16" s="91">
        <v>3</v>
      </c>
      <c r="AB16" s="91">
        <f>INDEX($D16:$F16,0,MATCH('Coord System'!$AB$13,$D$13:$F$13,0)) * 'Coord System'!$AE$13</f>
        <v>0</v>
      </c>
      <c r="AC16" s="91">
        <f>INDEX($D16:$F16,0,MATCH('Coord System'!$AB$14,$D$13:$F$13,0)) * 'Coord System'!$AE$14</f>
        <v>0</v>
      </c>
      <c r="AD16" s="91">
        <f>INDEX($D16:$F16,0,MATCH('Coord System'!$AB$15,$D$13:$F$13,0)) * 'Coord System'!$AE$15</f>
        <v>0</v>
      </c>
    </row>
    <row r="17" spans="2:35" x14ac:dyDescent="0.25">
      <c r="C17" s="69">
        <v>4</v>
      </c>
      <c r="D17" s="65">
        <v>2</v>
      </c>
      <c r="E17" s="65">
        <v>-1</v>
      </c>
      <c r="F17" s="66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1">
        <v>4</v>
      </c>
      <c r="AB17" s="91">
        <f>INDEX($D17:$F17,0,MATCH('Coord System'!$AB$13,$D$13:$F$13,0)) * 'Coord System'!$AE$13</f>
        <v>2</v>
      </c>
      <c r="AC17" s="91">
        <f>INDEX($D17:$F17,0,MATCH('Coord System'!$AB$14,$D$13:$F$13,0)) * 'Coord System'!$AE$14</f>
        <v>-1</v>
      </c>
      <c r="AD17" s="91">
        <f>INDEX($D17:$F17,0,MATCH('Coord System'!$AB$15,$D$13:$F$13,0)) * 'Coord System'!$AE$15</f>
        <v>-2</v>
      </c>
      <c r="AF17" s="47" t="s">
        <v>0</v>
      </c>
      <c r="AG17" s="91" t="s">
        <v>88</v>
      </c>
      <c r="AH17" s="91" t="s">
        <v>89</v>
      </c>
      <c r="AI17" s="91" t="s">
        <v>90</v>
      </c>
    </row>
    <row r="18" spans="2:35" x14ac:dyDescent="0.25">
      <c r="C18" s="70">
        <v>5</v>
      </c>
      <c r="D18" s="67">
        <v>3</v>
      </c>
      <c r="E18" s="67">
        <v>-2</v>
      </c>
      <c r="F18" s="68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1">
        <v>5</v>
      </c>
      <c r="AB18" s="91">
        <f>INDEX($D18:$F18,0,MATCH('Coord System'!$AB$13,$D$13:$F$13,0)) * 'Coord System'!$AE$13</f>
        <v>3</v>
      </c>
      <c r="AC18" s="91">
        <f>INDEX($D18:$F18,0,MATCH('Coord System'!$AB$14,$D$13:$F$13,0)) * 'Coord System'!$AE$14</f>
        <v>-2</v>
      </c>
      <c r="AD18" s="91">
        <f>INDEX($D18:$F18,0,MATCH('Coord System'!$AB$15,$D$13:$F$13,0)) * 'Coord System'!$AE$15</f>
        <v>2</v>
      </c>
      <c r="AG18" s="91">
        <f>VLOOKUP($J$13, $AA$14:$AD$18, 2)</f>
        <v>3</v>
      </c>
      <c r="AH18" s="91">
        <f>VLOOKUP($J$13, $AA$14:$AD$18, 3)</f>
        <v>-2</v>
      </c>
      <c r="AI18" s="91">
        <f>VLOOKUP($J$13, $AA$14:$AD$18, 4)</f>
        <v>2</v>
      </c>
    </row>
    <row r="20" spans="2:35" ht="15.75" thickBot="1" x14ac:dyDescent="0.3">
      <c r="F20" s="11"/>
    </row>
    <row r="21" spans="2:35" x14ac:dyDescent="0.25">
      <c r="B21" s="36" t="s">
        <v>98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2:35" ht="6" customHeight="1" x14ac:dyDescent="0.25">
      <c r="B22" s="15"/>
      <c r="C22" s="15"/>
    </row>
    <row r="23" spans="2:35" ht="15" customHeight="1" x14ac:dyDescent="0.25">
      <c r="C23" s="126" t="s">
        <v>57</v>
      </c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2:35" ht="15" customHeight="1" x14ac:dyDescent="0.25"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2:35" ht="6" customHeight="1" x14ac:dyDescent="0.25"/>
    <row r="26" spans="2:35" x14ac:dyDescent="0.25">
      <c r="C26" s="12" t="s">
        <v>10</v>
      </c>
      <c r="D26" s="18"/>
      <c r="E26" s="19">
        <v>30</v>
      </c>
      <c r="G26" s="12" t="s">
        <v>11</v>
      </c>
      <c r="H26" s="18"/>
      <c r="I26" s="19">
        <v>20</v>
      </c>
      <c r="K26" s="12" t="s">
        <v>12</v>
      </c>
      <c r="L26" s="18"/>
      <c r="M26" s="19">
        <v>10</v>
      </c>
    </row>
    <row r="28" spans="2:35" ht="15.75" thickBot="1" x14ac:dyDescent="0.3"/>
    <row r="29" spans="2:35" x14ac:dyDescent="0.25">
      <c r="B29" s="36" t="s">
        <v>99</v>
      </c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2:35" ht="6" customHeight="1" x14ac:dyDescent="0.25"/>
    <row r="31" spans="2:35" x14ac:dyDescent="0.25">
      <c r="C31" s="31" t="s">
        <v>50</v>
      </c>
    </row>
    <row r="32" spans="2:35" ht="6" customHeight="1" x14ac:dyDescent="0.25"/>
    <row r="33" spans="2:48" ht="18" x14ac:dyDescent="0.25">
      <c r="C33" s="28" t="s">
        <v>16</v>
      </c>
      <c r="D33" s="42">
        <f>Details!E46</f>
        <v>2.4041146280636383</v>
      </c>
      <c r="F33" s="28" t="s">
        <v>17</v>
      </c>
      <c r="G33" s="42">
        <f>Details!O46</f>
        <v>5.341924394720083</v>
      </c>
      <c r="N33" s="47"/>
      <c r="AA33" s="47" t="s">
        <v>19</v>
      </c>
      <c r="AB33" s="47">
        <v>0.5</v>
      </c>
      <c r="AC33" s="47">
        <v>8.5</v>
      </c>
      <c r="AD33" s="47">
        <v>1</v>
      </c>
    </row>
    <row r="34" spans="2:48" x14ac:dyDescent="0.25">
      <c r="AA34" s="47" t="s">
        <v>20</v>
      </c>
      <c r="AB34" s="47">
        <v>0.25</v>
      </c>
      <c r="AC34" s="47">
        <v>3</v>
      </c>
      <c r="AD34" s="47">
        <v>0.5</v>
      </c>
    </row>
    <row r="35" spans="2:48" ht="15.75" thickBot="1" x14ac:dyDescent="0.3"/>
    <row r="36" spans="2:48" x14ac:dyDescent="0.25">
      <c r="B36" s="36" t="s">
        <v>100</v>
      </c>
      <c r="C36" s="36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AA36" s="47" t="s">
        <v>31</v>
      </c>
      <c r="AB36" s="96" t="s">
        <v>32</v>
      </c>
      <c r="AC36" s="91"/>
      <c r="AE36" s="47" t="s">
        <v>31</v>
      </c>
      <c r="AF36" s="47" t="s">
        <v>32</v>
      </c>
    </row>
    <row r="37" spans="2:48" ht="6" customHeight="1" x14ac:dyDescent="0.25"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38" spans="2:48" ht="18" x14ac:dyDescent="0.35">
      <c r="C38" s="31" t="s">
        <v>116</v>
      </c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</row>
    <row r="39" spans="2:48" ht="6" customHeight="1" x14ac:dyDescent="0.25">
      <c r="AA39" s="47">
        <v>-19</v>
      </c>
      <c r="AB39" s="47">
        <v>59</v>
      </c>
      <c r="AC39" s="38">
        <f>AB39+1</f>
        <v>60</v>
      </c>
      <c r="AD39" s="38"/>
      <c r="AE39" s="38">
        <v>-10.5</v>
      </c>
      <c r="AF39" s="38">
        <v>59</v>
      </c>
      <c r="AG39" s="38">
        <v>60</v>
      </c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</row>
    <row r="40" spans="2:48" x14ac:dyDescent="0.25">
      <c r="C40" s="12" t="s">
        <v>18</v>
      </c>
      <c r="D40" s="18"/>
      <c r="E40" s="19" t="s">
        <v>20</v>
      </c>
      <c r="F40" s="48">
        <f>MATCH(E40,$AA$33:$AA$34,0)</f>
        <v>2</v>
      </c>
      <c r="G40" s="12" t="s">
        <v>65</v>
      </c>
      <c r="H40" s="18"/>
      <c r="I40" s="43" cm="1">
        <f t="array" ref="I40">IF(OR(G33&lt;-INDEX(AC33:AC34,F40), G33&gt;INDEX(AC33:AC34,F40)), INDEX(AD33:AD34,F40), INDEX($AB$33:$AB$34,F40))</f>
        <v>0.5</v>
      </c>
      <c r="J40" s="130" t="str" cm="1">
        <f t="array" ref="J40">IF(OR(G33&lt;-INDEX(AC33:AC34,F40), G33&gt;INDEX(AC33:AC34,F40)), "Note: The calculated field falls beyond small MLC leaves, so larger leaf size is used.", "")</f>
        <v>Note: The calculated field falls beyond small MLC leaves, so larger leaf size is used.</v>
      </c>
      <c r="K40" s="130"/>
      <c r="L40" s="130"/>
      <c r="M40" s="130"/>
      <c r="N40" s="130"/>
      <c r="AA40" s="91">
        <v>-18</v>
      </c>
      <c r="AB40" s="91">
        <v>58</v>
      </c>
      <c r="AC40" s="91">
        <f t="shared" ref="AC40:AC97" si="0">AB40+1</f>
        <v>59</v>
      </c>
      <c r="AE40" s="47">
        <v>-10</v>
      </c>
      <c r="AF40" s="47">
        <v>58</v>
      </c>
      <c r="AG40" s="47">
        <v>59</v>
      </c>
    </row>
    <row r="41" spans="2:48" x14ac:dyDescent="0.25">
      <c r="J41" s="130"/>
      <c r="K41" s="130"/>
      <c r="L41" s="130"/>
      <c r="M41" s="130"/>
      <c r="N41" s="130"/>
      <c r="AA41" s="91">
        <v>-17</v>
      </c>
      <c r="AB41" s="91">
        <v>57</v>
      </c>
      <c r="AC41" s="91">
        <f t="shared" si="0"/>
        <v>58</v>
      </c>
      <c r="AE41" s="47">
        <v>-9.5</v>
      </c>
      <c r="AF41" s="47">
        <v>57</v>
      </c>
      <c r="AG41" s="47">
        <v>58</v>
      </c>
    </row>
    <row r="42" spans="2:48" x14ac:dyDescent="0.25">
      <c r="AA42" s="91">
        <v>-16</v>
      </c>
      <c r="AB42" s="91">
        <v>56</v>
      </c>
      <c r="AC42" s="91">
        <f t="shared" si="0"/>
        <v>57</v>
      </c>
      <c r="AE42" s="47">
        <v>-9</v>
      </c>
      <c r="AF42" s="47">
        <v>56</v>
      </c>
      <c r="AG42" s="47">
        <v>57</v>
      </c>
    </row>
    <row r="43" spans="2:48" ht="18" x14ac:dyDescent="0.35">
      <c r="C43" s="34" t="s">
        <v>29</v>
      </c>
      <c r="D43" s="41" t="s">
        <v>51</v>
      </c>
      <c r="E43" s="42">
        <f>FLOOR($G$33/$I$40, 1) * $I$40</f>
        <v>5</v>
      </c>
      <c r="F43" s="39"/>
      <c r="G43" s="34" t="s">
        <v>21</v>
      </c>
      <c r="J43" s="131">
        <f>Details!T61</f>
        <v>17.171595758125903</v>
      </c>
      <c r="K43" s="132"/>
      <c r="L43" s="133"/>
      <c r="AA43" s="91">
        <v>-15</v>
      </c>
      <c r="AB43" s="91">
        <v>55</v>
      </c>
      <c r="AC43" s="91">
        <f t="shared" si="0"/>
        <v>56</v>
      </c>
      <c r="AE43" s="47">
        <v>-8.5</v>
      </c>
      <c r="AF43" s="47">
        <v>55</v>
      </c>
      <c r="AG43" s="47">
        <v>56</v>
      </c>
    </row>
    <row r="44" spans="2:48" x14ac:dyDescent="0.25">
      <c r="F44" s="40"/>
      <c r="G44" s="34" t="s">
        <v>35</v>
      </c>
      <c r="J44" s="44">
        <f>VLOOKUP(-E43, CHOOSE(F40,$AA$39:$AC$97,AE39:AG97), 2)</f>
        <v>48</v>
      </c>
      <c r="K44" s="45" t="s">
        <v>33</v>
      </c>
      <c r="L44" s="46">
        <f>VLOOKUP(-E43-I40, CHOOSE(F40,$AA$39:$AC$97,AE39:AG97), 2)</f>
        <v>49</v>
      </c>
      <c r="AA44" s="91">
        <v>-14</v>
      </c>
      <c r="AB44" s="91">
        <v>54</v>
      </c>
      <c r="AC44" s="91">
        <f t="shared" si="0"/>
        <v>55</v>
      </c>
      <c r="AE44" s="47">
        <v>-8</v>
      </c>
      <c r="AF44" s="47">
        <v>54</v>
      </c>
      <c r="AG44" s="47">
        <v>55</v>
      </c>
    </row>
    <row r="45" spans="2:48" x14ac:dyDescent="0.25">
      <c r="G45" s="34" t="s">
        <v>34</v>
      </c>
      <c r="J45" s="134">
        <f>Details!T57</f>
        <v>3.052199761446666</v>
      </c>
      <c r="K45" s="135"/>
      <c r="L45" s="136"/>
      <c r="AA45" s="91">
        <v>-13</v>
      </c>
      <c r="AB45" s="91">
        <v>53</v>
      </c>
      <c r="AC45" s="91">
        <f t="shared" si="0"/>
        <v>54</v>
      </c>
      <c r="AE45" s="47">
        <v>-7.5</v>
      </c>
      <c r="AF45" s="47">
        <v>53</v>
      </c>
      <c r="AG45" s="47">
        <v>54</v>
      </c>
    </row>
    <row r="46" spans="2:48" x14ac:dyDescent="0.25">
      <c r="AA46" s="91">
        <v>-12</v>
      </c>
      <c r="AB46" s="91">
        <v>52</v>
      </c>
      <c r="AC46" s="91">
        <f t="shared" si="0"/>
        <v>53</v>
      </c>
      <c r="AE46" s="47">
        <v>-7</v>
      </c>
      <c r="AF46" s="47">
        <v>52</v>
      </c>
      <c r="AG46" s="47">
        <v>53</v>
      </c>
    </row>
    <row r="47" spans="2:48" x14ac:dyDescent="0.25">
      <c r="AA47" s="91">
        <v>-11</v>
      </c>
      <c r="AB47" s="91">
        <v>51</v>
      </c>
      <c r="AC47" s="91">
        <f t="shared" si="0"/>
        <v>52</v>
      </c>
      <c r="AE47" s="47">
        <v>-6.5</v>
      </c>
      <c r="AF47" s="47">
        <v>51</v>
      </c>
      <c r="AG47" s="47">
        <v>52</v>
      </c>
    </row>
    <row r="48" spans="2:48" x14ac:dyDescent="0.25">
      <c r="AA48" s="91">
        <v>-10</v>
      </c>
      <c r="AB48" s="91">
        <v>50</v>
      </c>
      <c r="AC48" s="91">
        <f t="shared" si="0"/>
        <v>51</v>
      </c>
      <c r="AE48" s="47">
        <v>-6</v>
      </c>
      <c r="AF48" s="47">
        <v>50</v>
      </c>
      <c r="AG48" s="47">
        <v>51</v>
      </c>
    </row>
    <row r="49" spans="2:33" ht="18" x14ac:dyDescent="0.35">
      <c r="C49" s="34" t="s">
        <v>30</v>
      </c>
      <c r="D49" s="41" t="s">
        <v>51</v>
      </c>
      <c r="E49" s="42">
        <f>FLOOR($G$33/$I$40, 1) * $I$40 + I40</f>
        <v>5.5</v>
      </c>
      <c r="G49" s="34" t="s">
        <v>21</v>
      </c>
      <c r="J49" s="131">
        <f>Details!X61</f>
        <v>5.9040154492303287</v>
      </c>
      <c r="K49" s="132"/>
      <c r="L49" s="133"/>
      <c r="AA49" s="91">
        <v>-9.5</v>
      </c>
      <c r="AB49" s="91">
        <v>49</v>
      </c>
      <c r="AC49" s="91">
        <f t="shared" si="0"/>
        <v>50</v>
      </c>
      <c r="AE49" s="47">
        <v>-5.5</v>
      </c>
      <c r="AF49" s="47">
        <v>49</v>
      </c>
      <c r="AG49" s="47">
        <v>50</v>
      </c>
    </row>
    <row r="50" spans="2:33" x14ac:dyDescent="0.25">
      <c r="G50" s="34" t="s">
        <v>35</v>
      </c>
      <c r="J50" s="44">
        <f>VLOOKUP(-E49, CHOOSE(F40,$AA$39:$AC$97,AE39:AG97), 2)</f>
        <v>49</v>
      </c>
      <c r="K50" s="45" t="s">
        <v>33</v>
      </c>
      <c r="L50" s="46">
        <f>VLOOKUP(-E49-I40, CHOOSE(F40,$AA$39:$AC$97,AE39:AG97), 2)</f>
        <v>50</v>
      </c>
      <c r="AA50" s="91">
        <v>-9</v>
      </c>
      <c r="AB50" s="91">
        <v>48</v>
      </c>
      <c r="AC50" s="91">
        <f t="shared" si="0"/>
        <v>49</v>
      </c>
      <c r="AE50" s="47">
        <v>-5</v>
      </c>
      <c r="AF50" s="47">
        <v>48</v>
      </c>
      <c r="AG50" s="47">
        <v>49</v>
      </c>
    </row>
    <row r="51" spans="2:33" x14ac:dyDescent="0.25">
      <c r="G51" s="34" t="s">
        <v>34</v>
      </c>
      <c r="J51" s="134">
        <f>Details!X57</f>
        <v>2.0164134952372952</v>
      </c>
      <c r="K51" s="135"/>
      <c r="L51" s="136"/>
      <c r="AA51" s="91">
        <v>-8.5</v>
      </c>
      <c r="AB51" s="91">
        <v>47</v>
      </c>
      <c r="AC51" s="91">
        <f t="shared" si="0"/>
        <v>48</v>
      </c>
      <c r="AE51" s="47">
        <v>-4.5</v>
      </c>
      <c r="AF51" s="47">
        <v>47</v>
      </c>
      <c r="AG51" s="47">
        <v>48</v>
      </c>
    </row>
    <row r="52" spans="2:33" x14ac:dyDescent="0.25">
      <c r="AA52" s="91">
        <v>-8</v>
      </c>
      <c r="AB52" s="91">
        <v>46</v>
      </c>
      <c r="AC52" s="91">
        <f t="shared" si="0"/>
        <v>47</v>
      </c>
      <c r="AE52" s="47">
        <v>-4</v>
      </c>
      <c r="AF52" s="47">
        <v>46</v>
      </c>
      <c r="AG52" s="47">
        <v>47</v>
      </c>
    </row>
    <row r="53" spans="2:33" ht="15.75" thickBot="1" x14ac:dyDescent="0.3">
      <c r="AA53" s="91">
        <v>-7.5</v>
      </c>
      <c r="AB53" s="91">
        <v>45</v>
      </c>
      <c r="AC53" s="91">
        <f t="shared" si="0"/>
        <v>46</v>
      </c>
      <c r="AE53" s="47">
        <v>-3.75</v>
      </c>
      <c r="AF53" s="47">
        <v>45</v>
      </c>
      <c r="AG53" s="47">
        <v>46</v>
      </c>
    </row>
    <row r="54" spans="2:33" x14ac:dyDescent="0.25">
      <c r="B54" s="36"/>
      <c r="C54" s="36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AA54" s="91">
        <v>-7</v>
      </c>
      <c r="AB54" s="91">
        <v>44</v>
      </c>
      <c r="AC54" s="91">
        <f t="shared" si="0"/>
        <v>45</v>
      </c>
      <c r="AE54" s="47">
        <v>-3.5</v>
      </c>
      <c r="AF54" s="47">
        <v>44</v>
      </c>
      <c r="AG54" s="47">
        <v>45</v>
      </c>
    </row>
    <row r="55" spans="2:33" x14ac:dyDescent="0.25">
      <c r="AA55" s="91">
        <v>-6.5</v>
      </c>
      <c r="AB55" s="91">
        <v>43</v>
      </c>
      <c r="AC55" s="91">
        <f t="shared" si="0"/>
        <v>44</v>
      </c>
      <c r="AE55" s="47">
        <v>-3.25</v>
      </c>
      <c r="AF55" s="47">
        <v>43</v>
      </c>
      <c r="AG55" s="47">
        <v>44</v>
      </c>
    </row>
    <row r="56" spans="2:33" x14ac:dyDescent="0.25">
      <c r="AA56" s="91">
        <v>-6</v>
      </c>
      <c r="AB56" s="91">
        <v>42</v>
      </c>
      <c r="AC56" s="91">
        <f t="shared" si="0"/>
        <v>43</v>
      </c>
      <c r="AE56" s="47">
        <v>-3</v>
      </c>
      <c r="AF56" s="47">
        <v>42</v>
      </c>
      <c r="AG56" s="47">
        <v>43</v>
      </c>
    </row>
    <row r="57" spans="2:33" x14ac:dyDescent="0.25">
      <c r="AA57" s="91">
        <v>-5.5</v>
      </c>
      <c r="AB57" s="91">
        <v>41</v>
      </c>
      <c r="AC57" s="91">
        <f t="shared" si="0"/>
        <v>42</v>
      </c>
      <c r="AE57" s="47">
        <v>-2.75</v>
      </c>
      <c r="AF57" s="47">
        <v>41</v>
      </c>
      <c r="AG57" s="47">
        <v>42</v>
      </c>
    </row>
    <row r="58" spans="2:33" x14ac:dyDescent="0.25">
      <c r="AA58" s="91">
        <v>-5</v>
      </c>
      <c r="AB58" s="91">
        <v>40</v>
      </c>
      <c r="AC58" s="91">
        <f t="shared" si="0"/>
        <v>41</v>
      </c>
      <c r="AE58" s="47">
        <v>-2.5</v>
      </c>
      <c r="AF58" s="47">
        <v>40</v>
      </c>
      <c r="AG58" s="47">
        <v>41</v>
      </c>
    </row>
    <row r="59" spans="2:33" x14ac:dyDescent="0.25">
      <c r="AA59" s="91">
        <v>-4.5</v>
      </c>
      <c r="AB59" s="91">
        <v>39</v>
      </c>
      <c r="AC59" s="91">
        <f t="shared" si="0"/>
        <v>40</v>
      </c>
      <c r="AE59" s="47">
        <v>-2.25</v>
      </c>
      <c r="AF59" s="47">
        <v>39</v>
      </c>
      <c r="AG59" s="47">
        <v>40</v>
      </c>
    </row>
    <row r="60" spans="2:33" x14ac:dyDescent="0.25">
      <c r="AA60" s="91">
        <v>-4</v>
      </c>
      <c r="AB60" s="91">
        <v>38</v>
      </c>
      <c r="AC60" s="91">
        <f>AB60+1</f>
        <v>39</v>
      </c>
      <c r="AE60" s="47">
        <v>-2</v>
      </c>
      <c r="AF60" s="47">
        <v>38</v>
      </c>
      <c r="AG60" s="47">
        <v>39</v>
      </c>
    </row>
    <row r="61" spans="2:33" x14ac:dyDescent="0.25">
      <c r="AA61" s="91">
        <v>-3.5</v>
      </c>
      <c r="AB61" s="91">
        <v>37</v>
      </c>
      <c r="AC61" s="91">
        <f>AB61+1</f>
        <v>38</v>
      </c>
      <c r="AE61" s="47">
        <v>-1.75</v>
      </c>
      <c r="AF61" s="47">
        <v>37</v>
      </c>
      <c r="AG61" s="47">
        <v>38</v>
      </c>
    </row>
    <row r="62" spans="2:33" x14ac:dyDescent="0.25">
      <c r="AA62" s="91">
        <v>-3</v>
      </c>
      <c r="AB62" s="91">
        <v>36</v>
      </c>
      <c r="AC62" s="91">
        <f t="shared" si="0"/>
        <v>37</v>
      </c>
      <c r="AE62" s="47">
        <v>-1.5</v>
      </c>
      <c r="AF62" s="47">
        <v>36</v>
      </c>
      <c r="AG62" s="47">
        <v>37</v>
      </c>
    </row>
    <row r="63" spans="2:33" x14ac:dyDescent="0.25">
      <c r="AA63" s="91">
        <v>-2.5</v>
      </c>
      <c r="AB63" s="91">
        <v>35</v>
      </c>
      <c r="AC63" s="91">
        <f t="shared" si="0"/>
        <v>36</v>
      </c>
      <c r="AE63" s="47">
        <v>-1.25</v>
      </c>
      <c r="AF63" s="47">
        <v>35</v>
      </c>
      <c r="AG63" s="47">
        <v>36</v>
      </c>
    </row>
    <row r="64" spans="2:33" x14ac:dyDescent="0.25">
      <c r="AA64" s="91">
        <v>-2</v>
      </c>
      <c r="AB64" s="91">
        <v>34</v>
      </c>
      <c r="AC64" s="91">
        <f t="shared" si="0"/>
        <v>35</v>
      </c>
      <c r="AE64" s="47">
        <v>-1</v>
      </c>
      <c r="AF64" s="47">
        <v>34</v>
      </c>
      <c r="AG64" s="47">
        <v>35</v>
      </c>
    </row>
    <row r="65" spans="27:33" x14ac:dyDescent="0.25">
      <c r="AA65" s="91">
        <v>-1.5</v>
      </c>
      <c r="AB65" s="91">
        <v>33</v>
      </c>
      <c r="AC65" s="91">
        <f t="shared" si="0"/>
        <v>34</v>
      </c>
      <c r="AE65" s="47">
        <v>-0.75</v>
      </c>
      <c r="AF65" s="47">
        <v>33</v>
      </c>
      <c r="AG65" s="47">
        <v>34</v>
      </c>
    </row>
    <row r="66" spans="27:33" x14ac:dyDescent="0.25">
      <c r="AA66" s="91">
        <v>-1</v>
      </c>
      <c r="AB66" s="91">
        <v>32</v>
      </c>
      <c r="AC66" s="91">
        <f t="shared" si="0"/>
        <v>33</v>
      </c>
      <c r="AE66" s="47">
        <v>-0.5</v>
      </c>
      <c r="AF66" s="47">
        <v>32</v>
      </c>
      <c r="AG66" s="47">
        <v>33</v>
      </c>
    </row>
    <row r="67" spans="27:33" x14ac:dyDescent="0.25">
      <c r="AA67" s="91">
        <v>-0.5</v>
      </c>
      <c r="AB67" s="91">
        <v>31</v>
      </c>
      <c r="AC67" s="91">
        <f t="shared" si="0"/>
        <v>32</v>
      </c>
      <c r="AE67" s="47">
        <v>-0.25</v>
      </c>
      <c r="AF67" s="47">
        <v>31</v>
      </c>
      <c r="AG67" s="47">
        <v>32</v>
      </c>
    </row>
    <row r="68" spans="27:33" x14ac:dyDescent="0.25">
      <c r="AA68" s="91">
        <v>0</v>
      </c>
      <c r="AB68" s="91">
        <v>30</v>
      </c>
      <c r="AC68" s="91">
        <f t="shared" si="0"/>
        <v>31</v>
      </c>
      <c r="AE68" s="47">
        <v>0</v>
      </c>
      <c r="AF68" s="47">
        <v>30</v>
      </c>
      <c r="AG68" s="47">
        <v>31</v>
      </c>
    </row>
    <row r="69" spans="27:33" x14ac:dyDescent="0.25">
      <c r="AA69" s="91">
        <v>0.5</v>
      </c>
      <c r="AB69" s="91">
        <v>29</v>
      </c>
      <c r="AC69" s="91">
        <f t="shared" si="0"/>
        <v>30</v>
      </c>
      <c r="AE69" s="47">
        <v>0.25</v>
      </c>
      <c r="AF69" s="47">
        <v>29</v>
      </c>
      <c r="AG69" s="47">
        <v>30</v>
      </c>
    </row>
    <row r="70" spans="27:33" x14ac:dyDescent="0.25">
      <c r="AA70" s="91">
        <v>1</v>
      </c>
      <c r="AB70" s="91">
        <v>28</v>
      </c>
      <c r="AC70" s="91">
        <f t="shared" si="0"/>
        <v>29</v>
      </c>
      <c r="AE70" s="47">
        <v>0.5</v>
      </c>
      <c r="AF70" s="47">
        <v>28</v>
      </c>
      <c r="AG70" s="47">
        <v>29</v>
      </c>
    </row>
    <row r="71" spans="27:33" x14ac:dyDescent="0.25">
      <c r="AA71" s="91">
        <v>1.5</v>
      </c>
      <c r="AB71" s="91">
        <v>27</v>
      </c>
      <c r="AC71" s="91">
        <f t="shared" si="0"/>
        <v>28</v>
      </c>
      <c r="AE71" s="47">
        <v>0.75</v>
      </c>
      <c r="AF71" s="47">
        <v>27</v>
      </c>
      <c r="AG71" s="47">
        <v>28</v>
      </c>
    </row>
    <row r="72" spans="27:33" x14ac:dyDescent="0.25">
      <c r="AA72" s="91">
        <v>2</v>
      </c>
      <c r="AB72" s="91">
        <v>26</v>
      </c>
      <c r="AC72" s="91">
        <f t="shared" si="0"/>
        <v>27</v>
      </c>
      <c r="AE72" s="47">
        <v>1</v>
      </c>
      <c r="AF72" s="47">
        <v>26</v>
      </c>
      <c r="AG72" s="47">
        <v>27</v>
      </c>
    </row>
    <row r="73" spans="27:33" x14ac:dyDescent="0.25">
      <c r="AA73" s="91">
        <v>2.5</v>
      </c>
      <c r="AB73" s="91">
        <v>25</v>
      </c>
      <c r="AC73" s="91">
        <f t="shared" si="0"/>
        <v>26</v>
      </c>
      <c r="AE73" s="47">
        <v>1.25</v>
      </c>
      <c r="AF73" s="47">
        <v>25</v>
      </c>
      <c r="AG73" s="47">
        <v>26</v>
      </c>
    </row>
    <row r="74" spans="27:33" x14ac:dyDescent="0.25">
      <c r="AA74" s="91">
        <v>3</v>
      </c>
      <c r="AB74" s="91">
        <v>24</v>
      </c>
      <c r="AC74" s="91">
        <f t="shared" si="0"/>
        <v>25</v>
      </c>
      <c r="AE74" s="47">
        <v>1.5</v>
      </c>
      <c r="AF74" s="47">
        <v>24</v>
      </c>
      <c r="AG74" s="47">
        <v>25</v>
      </c>
    </row>
    <row r="75" spans="27:33" x14ac:dyDescent="0.25">
      <c r="AA75" s="91">
        <v>3.5</v>
      </c>
      <c r="AB75" s="91">
        <v>23</v>
      </c>
      <c r="AC75" s="91">
        <f t="shared" si="0"/>
        <v>24</v>
      </c>
      <c r="AE75" s="47">
        <v>1.75</v>
      </c>
      <c r="AF75" s="47">
        <v>23</v>
      </c>
      <c r="AG75" s="47">
        <v>24</v>
      </c>
    </row>
    <row r="76" spans="27:33" x14ac:dyDescent="0.25">
      <c r="AA76" s="91">
        <v>4</v>
      </c>
      <c r="AB76" s="91">
        <v>22</v>
      </c>
      <c r="AC76" s="91">
        <f t="shared" si="0"/>
        <v>23</v>
      </c>
      <c r="AE76" s="47">
        <v>2</v>
      </c>
      <c r="AF76" s="47">
        <v>22</v>
      </c>
      <c r="AG76" s="47">
        <v>23</v>
      </c>
    </row>
    <row r="77" spans="27:33" x14ac:dyDescent="0.25">
      <c r="AA77" s="91">
        <v>4.5</v>
      </c>
      <c r="AB77" s="91">
        <v>21</v>
      </c>
      <c r="AC77" s="91">
        <f t="shared" si="0"/>
        <v>22</v>
      </c>
      <c r="AE77" s="47">
        <v>2.25</v>
      </c>
      <c r="AF77" s="47">
        <v>21</v>
      </c>
      <c r="AG77" s="47">
        <v>22</v>
      </c>
    </row>
    <row r="78" spans="27:33" x14ac:dyDescent="0.25">
      <c r="AA78" s="91">
        <v>5</v>
      </c>
      <c r="AB78" s="91">
        <v>20</v>
      </c>
      <c r="AC78" s="91">
        <f t="shared" si="0"/>
        <v>21</v>
      </c>
      <c r="AE78" s="47">
        <v>2.5</v>
      </c>
      <c r="AF78" s="47">
        <v>20</v>
      </c>
      <c r="AG78" s="47">
        <v>21</v>
      </c>
    </row>
    <row r="79" spans="27:33" x14ac:dyDescent="0.25">
      <c r="AA79" s="91">
        <v>5.5</v>
      </c>
      <c r="AB79" s="91">
        <v>19</v>
      </c>
      <c r="AC79" s="91">
        <f t="shared" si="0"/>
        <v>20</v>
      </c>
      <c r="AE79" s="47">
        <v>2.75</v>
      </c>
      <c r="AF79" s="47">
        <v>19</v>
      </c>
      <c r="AG79" s="47">
        <v>20</v>
      </c>
    </row>
    <row r="80" spans="27:33" x14ac:dyDescent="0.25">
      <c r="AA80" s="91">
        <v>6</v>
      </c>
      <c r="AB80" s="91">
        <v>18</v>
      </c>
      <c r="AC80" s="91">
        <f t="shared" si="0"/>
        <v>19</v>
      </c>
      <c r="AE80" s="47">
        <v>3</v>
      </c>
      <c r="AF80" s="47">
        <v>18</v>
      </c>
      <c r="AG80" s="47">
        <v>19</v>
      </c>
    </row>
    <row r="81" spans="27:33" x14ac:dyDescent="0.25">
      <c r="AA81" s="91">
        <v>6.5</v>
      </c>
      <c r="AB81" s="91">
        <v>17</v>
      </c>
      <c r="AC81" s="91">
        <f t="shared" si="0"/>
        <v>18</v>
      </c>
      <c r="AE81" s="47">
        <v>3.25</v>
      </c>
      <c r="AF81" s="47">
        <v>17</v>
      </c>
      <c r="AG81" s="47">
        <v>18</v>
      </c>
    </row>
    <row r="82" spans="27:33" x14ac:dyDescent="0.25">
      <c r="AA82" s="91">
        <v>7</v>
      </c>
      <c r="AB82" s="91">
        <v>16</v>
      </c>
      <c r="AC82" s="91">
        <f t="shared" si="0"/>
        <v>17</v>
      </c>
      <c r="AE82" s="47">
        <v>3.5</v>
      </c>
      <c r="AF82" s="47">
        <v>16</v>
      </c>
      <c r="AG82" s="47">
        <v>17</v>
      </c>
    </row>
    <row r="83" spans="27:33" x14ac:dyDescent="0.25">
      <c r="AA83" s="91">
        <v>7.5</v>
      </c>
      <c r="AB83" s="91">
        <v>15</v>
      </c>
      <c r="AC83" s="91">
        <f t="shared" si="0"/>
        <v>16</v>
      </c>
      <c r="AE83" s="47">
        <v>3.75</v>
      </c>
      <c r="AF83" s="47">
        <v>15</v>
      </c>
      <c r="AG83" s="47">
        <v>16</v>
      </c>
    </row>
    <row r="84" spans="27:33" x14ac:dyDescent="0.25">
      <c r="AA84" s="91">
        <v>8</v>
      </c>
      <c r="AB84" s="91">
        <v>14</v>
      </c>
      <c r="AC84" s="91">
        <f t="shared" si="0"/>
        <v>15</v>
      </c>
      <c r="AE84" s="47">
        <v>4</v>
      </c>
      <c r="AF84" s="47">
        <v>14</v>
      </c>
      <c r="AG84" s="47">
        <v>15</v>
      </c>
    </row>
    <row r="85" spans="27:33" x14ac:dyDescent="0.25">
      <c r="AA85" s="91">
        <v>8.5</v>
      </c>
      <c r="AB85" s="91">
        <v>13</v>
      </c>
      <c r="AC85" s="91">
        <f t="shared" si="0"/>
        <v>14</v>
      </c>
      <c r="AE85" s="47">
        <v>4.5</v>
      </c>
      <c r="AF85" s="47">
        <v>13</v>
      </c>
      <c r="AG85" s="47">
        <v>14</v>
      </c>
    </row>
    <row r="86" spans="27:33" x14ac:dyDescent="0.25">
      <c r="AA86" s="91">
        <v>9</v>
      </c>
      <c r="AB86" s="91">
        <v>12</v>
      </c>
      <c r="AC86" s="91">
        <f t="shared" si="0"/>
        <v>13</v>
      </c>
      <c r="AE86" s="47">
        <v>5</v>
      </c>
      <c r="AF86" s="47">
        <v>12</v>
      </c>
      <c r="AG86" s="47">
        <v>13</v>
      </c>
    </row>
    <row r="87" spans="27:33" x14ac:dyDescent="0.25">
      <c r="AA87" s="91">
        <v>9.5</v>
      </c>
      <c r="AB87" s="91">
        <v>11</v>
      </c>
      <c r="AC87" s="91">
        <f t="shared" si="0"/>
        <v>12</v>
      </c>
      <c r="AE87" s="47">
        <v>5.5</v>
      </c>
      <c r="AF87" s="47">
        <v>11</v>
      </c>
      <c r="AG87" s="47">
        <v>12</v>
      </c>
    </row>
    <row r="88" spans="27:33" x14ac:dyDescent="0.25">
      <c r="AA88" s="91">
        <v>10</v>
      </c>
      <c r="AB88" s="91">
        <v>10</v>
      </c>
      <c r="AC88" s="91">
        <f t="shared" si="0"/>
        <v>11</v>
      </c>
      <c r="AE88" s="47">
        <v>6</v>
      </c>
      <c r="AF88" s="47">
        <v>10</v>
      </c>
      <c r="AG88" s="47">
        <v>11</v>
      </c>
    </row>
    <row r="89" spans="27:33" x14ac:dyDescent="0.25">
      <c r="AA89" s="91">
        <v>11</v>
      </c>
      <c r="AB89" s="91">
        <v>9</v>
      </c>
      <c r="AC89" s="91">
        <f t="shared" si="0"/>
        <v>10</v>
      </c>
      <c r="AE89" s="47">
        <v>6.5</v>
      </c>
      <c r="AF89" s="47">
        <v>9</v>
      </c>
      <c r="AG89" s="47">
        <v>10</v>
      </c>
    </row>
    <row r="90" spans="27:33" x14ac:dyDescent="0.25">
      <c r="AA90" s="91">
        <v>12</v>
      </c>
      <c r="AB90" s="91">
        <v>8</v>
      </c>
      <c r="AC90" s="91">
        <f t="shared" si="0"/>
        <v>9</v>
      </c>
      <c r="AE90" s="47">
        <v>7</v>
      </c>
      <c r="AF90" s="47">
        <v>8</v>
      </c>
      <c r="AG90" s="47">
        <v>9</v>
      </c>
    </row>
    <row r="91" spans="27:33" x14ac:dyDescent="0.25">
      <c r="AA91" s="91">
        <v>13</v>
      </c>
      <c r="AB91" s="91">
        <v>7</v>
      </c>
      <c r="AC91" s="91">
        <f t="shared" si="0"/>
        <v>8</v>
      </c>
      <c r="AE91" s="47">
        <v>7.5</v>
      </c>
      <c r="AF91" s="47">
        <v>7</v>
      </c>
      <c r="AG91" s="47">
        <v>8</v>
      </c>
    </row>
    <row r="92" spans="27:33" x14ac:dyDescent="0.25">
      <c r="AA92" s="91">
        <v>14</v>
      </c>
      <c r="AB92" s="91">
        <v>6</v>
      </c>
      <c r="AC92" s="91">
        <f t="shared" si="0"/>
        <v>7</v>
      </c>
      <c r="AE92" s="47">
        <v>8</v>
      </c>
      <c r="AF92" s="47">
        <v>6</v>
      </c>
      <c r="AG92" s="47">
        <v>7</v>
      </c>
    </row>
    <row r="93" spans="27:33" x14ac:dyDescent="0.25">
      <c r="AA93" s="91">
        <v>15</v>
      </c>
      <c r="AB93" s="91">
        <v>5</v>
      </c>
      <c r="AC93" s="91">
        <f t="shared" si="0"/>
        <v>6</v>
      </c>
      <c r="AE93" s="47">
        <v>8.5</v>
      </c>
      <c r="AF93" s="47">
        <v>5</v>
      </c>
      <c r="AG93" s="47">
        <v>6</v>
      </c>
    </row>
    <row r="94" spans="27:33" x14ac:dyDescent="0.25">
      <c r="AA94" s="91">
        <v>16</v>
      </c>
      <c r="AB94" s="91">
        <v>4</v>
      </c>
      <c r="AC94" s="91">
        <f t="shared" si="0"/>
        <v>5</v>
      </c>
      <c r="AE94" s="47">
        <v>9</v>
      </c>
      <c r="AF94" s="47">
        <v>4</v>
      </c>
      <c r="AG94" s="47">
        <v>5</v>
      </c>
    </row>
    <row r="95" spans="27:33" x14ac:dyDescent="0.25">
      <c r="AA95" s="91">
        <v>17</v>
      </c>
      <c r="AB95" s="91">
        <v>3</v>
      </c>
      <c r="AC95" s="91">
        <f t="shared" si="0"/>
        <v>4</v>
      </c>
      <c r="AE95" s="47">
        <v>9.5</v>
      </c>
      <c r="AF95" s="47">
        <v>3</v>
      </c>
      <c r="AG95" s="47">
        <v>4</v>
      </c>
    </row>
    <row r="96" spans="27:33" x14ac:dyDescent="0.25">
      <c r="AA96" s="91">
        <v>18</v>
      </c>
      <c r="AB96" s="91">
        <v>2</v>
      </c>
      <c r="AC96" s="91">
        <f t="shared" si="0"/>
        <v>3</v>
      </c>
      <c r="AE96" s="47">
        <v>10</v>
      </c>
      <c r="AF96" s="47">
        <v>2</v>
      </c>
      <c r="AG96" s="47">
        <v>3</v>
      </c>
    </row>
    <row r="97" spans="27:33" x14ac:dyDescent="0.25">
      <c r="AA97" s="91">
        <v>19</v>
      </c>
      <c r="AB97" s="91">
        <v>1</v>
      </c>
      <c r="AC97" s="91">
        <f t="shared" si="0"/>
        <v>2</v>
      </c>
      <c r="AE97" s="47">
        <v>10.5</v>
      </c>
      <c r="AF97" s="47">
        <v>1</v>
      </c>
      <c r="AG97" s="47">
        <v>2</v>
      </c>
    </row>
  </sheetData>
  <mergeCells count="10">
    <mergeCell ref="J51:L51"/>
    <mergeCell ref="J49:L49"/>
    <mergeCell ref="C23:M24"/>
    <mergeCell ref="D12:F12"/>
    <mergeCell ref="H16:J16"/>
    <mergeCell ref="F4:N6"/>
    <mergeCell ref="H10:L11"/>
    <mergeCell ref="J40:N41"/>
    <mergeCell ref="J43:L43"/>
    <mergeCell ref="J45:L45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872F1FDC-14C1-4500-BFE5-071B91105568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3"/>
  <sheetViews>
    <sheetView showGridLines="0" topLeftCell="A16" zoomScaleNormal="100" workbookViewId="0"/>
  </sheetViews>
  <sheetFormatPr defaultRowHeight="18" customHeight="1" x14ac:dyDescent="0.25"/>
  <cols>
    <col min="1" max="1" width="4.7109375" customWidth="1"/>
    <col min="2" max="18" width="6.28515625" customWidth="1"/>
    <col min="21" max="21" width="9.5703125" bestFit="1" customWidth="1"/>
  </cols>
  <sheetData>
    <row r="1" spans="1:69" ht="23.25" x14ac:dyDescent="0.35">
      <c r="A1" s="17" t="s">
        <v>92</v>
      </c>
      <c r="O1" s="38"/>
      <c r="P1" s="47"/>
      <c r="Q1" s="98" t="s">
        <v>93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96</v>
      </c>
      <c r="O2" s="38"/>
      <c r="P2" s="47"/>
      <c r="Q2" s="4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.75" customHeight="1" x14ac:dyDescent="0.3">
      <c r="A3" s="16"/>
      <c r="O3" s="38"/>
      <c r="P3" s="47"/>
      <c r="Q3" s="47"/>
    </row>
    <row r="4" spans="1:69" ht="15.75" customHeight="1" x14ac:dyDescent="0.3">
      <c r="A4" s="16"/>
      <c r="B4" t="s">
        <v>94</v>
      </c>
      <c r="G4" s="141" t="s">
        <v>117</v>
      </c>
      <c r="H4" s="141"/>
      <c r="I4" s="141"/>
      <c r="J4" s="141"/>
      <c r="K4" s="141"/>
      <c r="L4" s="141"/>
      <c r="M4" s="141"/>
      <c r="N4" s="141"/>
      <c r="O4" s="141"/>
      <c r="P4" s="141"/>
      <c r="Q4" s="141"/>
    </row>
    <row r="5" spans="1:69" ht="15.75" customHeight="1" x14ac:dyDescent="0.3">
      <c r="A5" s="16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</row>
    <row r="6" spans="1:69" ht="15.75" customHeight="1" thickBot="1" x14ac:dyDescent="0.35">
      <c r="A6" s="16"/>
      <c r="B6" s="99"/>
      <c r="C6" s="99"/>
      <c r="D6" s="99"/>
      <c r="E6" s="99"/>
      <c r="F6" s="99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99"/>
      <c r="S6" s="99"/>
      <c r="T6" s="99"/>
      <c r="U6" s="99"/>
      <c r="V6" s="99"/>
      <c r="W6" s="99"/>
      <c r="X6" s="99"/>
      <c r="Y6" s="99"/>
      <c r="Z6" s="99"/>
      <c r="AA6" s="99"/>
    </row>
    <row r="7" spans="1:69" ht="15.75" customHeight="1" x14ac:dyDescent="0.25"/>
    <row r="8" spans="1:69" ht="15.75" customHeight="1" x14ac:dyDescent="0.25">
      <c r="B8" s="102" t="s">
        <v>104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5"/>
    </row>
    <row r="9" spans="1:69" ht="15.75" customHeight="1" x14ac:dyDescent="0.35">
      <c r="B9" s="101"/>
      <c r="C9" s="22"/>
      <c r="D9" s="27" t="s">
        <v>13</v>
      </c>
      <c r="E9" s="140">
        <f>Calcs!E26</f>
        <v>30</v>
      </c>
      <c r="F9" s="140"/>
      <c r="I9" s="27" t="s">
        <v>14</v>
      </c>
      <c r="J9" s="140">
        <f>Calcs!I26</f>
        <v>20</v>
      </c>
      <c r="K9" s="140"/>
      <c r="N9" s="27" t="s">
        <v>15</v>
      </c>
      <c r="O9" s="140">
        <f>Calcs!M26</f>
        <v>10</v>
      </c>
      <c r="P9" s="140"/>
    </row>
    <row r="10" spans="1:69" ht="15.75" customHeight="1" x14ac:dyDescent="0.25"/>
    <row r="11" spans="1:69" ht="15.75" customHeight="1" x14ac:dyDescent="0.25">
      <c r="B11" s="102" t="s">
        <v>105</v>
      </c>
    </row>
    <row r="12" spans="1:69" ht="15.75" customHeight="1" x14ac:dyDescent="0.35">
      <c r="C12" s="22"/>
      <c r="D12" s="27" t="s">
        <v>13</v>
      </c>
      <c r="E12" s="140">
        <f>E9 * rot_sign_couch</f>
        <v>30</v>
      </c>
      <c r="F12" s="140"/>
      <c r="I12" s="27" t="s">
        <v>14</v>
      </c>
      <c r="J12" s="140">
        <f>J9* rot_sign_gantry</f>
        <v>20</v>
      </c>
      <c r="K12" s="140"/>
      <c r="N12" s="27" t="s">
        <v>15</v>
      </c>
      <c r="O12" s="140">
        <f>O9* rot_sign_coll</f>
        <v>10</v>
      </c>
      <c r="P12" s="140"/>
    </row>
    <row r="13" spans="1:69" ht="15.75" customHeight="1" x14ac:dyDescent="0.25"/>
    <row r="14" spans="1:69" ht="15.75" customHeight="1" x14ac:dyDescent="0.25">
      <c r="B14" s="102" t="s">
        <v>106</v>
      </c>
      <c r="C14" s="22"/>
      <c r="D14" s="27"/>
      <c r="E14" s="97"/>
      <c r="F14" s="97"/>
      <c r="I14" s="27"/>
      <c r="J14" s="97"/>
      <c r="K14" s="97"/>
      <c r="N14" s="27"/>
      <c r="O14" s="97"/>
      <c r="P14" s="97"/>
    </row>
    <row r="15" spans="1:69" ht="15.75" customHeight="1" x14ac:dyDescent="0.35">
      <c r="B15" s="101"/>
      <c r="C15" s="22"/>
      <c r="D15" s="27" t="s">
        <v>13</v>
      </c>
      <c r="E15" s="140">
        <f>E12</f>
        <v>30</v>
      </c>
      <c r="F15" s="140"/>
      <c r="I15" s="27" t="s">
        <v>14</v>
      </c>
      <c r="J15" s="140">
        <f>-J12</f>
        <v>-20</v>
      </c>
      <c r="K15" s="140"/>
      <c r="N15" s="27" t="s">
        <v>15</v>
      </c>
      <c r="O15" s="140">
        <f>-O12</f>
        <v>-10</v>
      </c>
      <c r="P15" s="140"/>
    </row>
    <row r="16" spans="1:69" ht="15.75" customHeight="1" x14ac:dyDescent="0.25"/>
    <row r="17" spans="2:32" ht="18" customHeight="1" x14ac:dyDescent="0.25">
      <c r="B17" s="102" t="s">
        <v>103</v>
      </c>
    </row>
    <row r="18" spans="2:32" s="20" customFormat="1" ht="18" customHeight="1" x14ac:dyDescent="0.25">
      <c r="C18" s="112" t="s">
        <v>102</v>
      </c>
      <c r="D18"/>
      <c r="E18"/>
      <c r="F18"/>
      <c r="G18"/>
      <c r="H18" s="21"/>
      <c r="I18" s="112" t="s">
        <v>127</v>
      </c>
      <c r="J18"/>
      <c r="K18"/>
      <c r="L18"/>
      <c r="M18" s="21"/>
      <c r="N18" s="21"/>
      <c r="O18" s="21"/>
      <c r="P18" s="21"/>
      <c r="Q18" s="112" t="s">
        <v>126</v>
      </c>
      <c r="R18"/>
      <c r="S18"/>
      <c r="T18"/>
      <c r="W18" s="112" t="s">
        <v>128</v>
      </c>
      <c r="X18"/>
      <c r="Y18"/>
      <c r="Z18"/>
    </row>
    <row r="19" spans="2:32" ht="18" customHeight="1" x14ac:dyDescent="0.25">
      <c r="C19" s="35">
        <v>1</v>
      </c>
      <c r="D19" s="35">
        <v>0</v>
      </c>
      <c r="E19" s="35">
        <v>0</v>
      </c>
      <c r="F19" s="35">
        <v>0</v>
      </c>
      <c r="H19" s="22"/>
      <c r="I19" s="103">
        <f>COS(RADIANS(E15))</f>
        <v>0.86602540378443871</v>
      </c>
      <c r="J19" s="104">
        <v>0</v>
      </c>
      <c r="K19" s="103">
        <f>-SIN(RADIANS(E15))</f>
        <v>-0.49999999999999994</v>
      </c>
      <c r="L19" s="104">
        <v>0</v>
      </c>
      <c r="M19" s="22"/>
      <c r="N19" s="22"/>
      <c r="O19" s="22"/>
      <c r="P19" s="23"/>
      <c r="Q19" s="103">
        <f>COS(RADIANS(J15))</f>
        <v>0.93969262078590843</v>
      </c>
      <c r="R19" s="103">
        <f>-SIN(RADIANS(J15))</f>
        <v>0.34202014332566871</v>
      </c>
      <c r="S19" s="104">
        <v>0</v>
      </c>
      <c r="T19" s="104">
        <v>0</v>
      </c>
      <c r="U19" s="21"/>
      <c r="W19" s="103">
        <f>COS(RADIANS(O15))</f>
        <v>0.98480775301220802</v>
      </c>
      <c r="X19" s="104">
        <v>0</v>
      </c>
      <c r="Y19" s="103">
        <f>-SIN(RADIANS(O15))</f>
        <v>0.17364817766693033</v>
      </c>
      <c r="Z19" s="104">
        <v>0</v>
      </c>
    </row>
    <row r="20" spans="2:32" ht="18" customHeight="1" x14ac:dyDescent="0.25">
      <c r="C20" s="35">
        <v>0</v>
      </c>
      <c r="D20" s="35">
        <v>1</v>
      </c>
      <c r="E20" s="35">
        <v>0</v>
      </c>
      <c r="F20" s="35">
        <v>0</v>
      </c>
      <c r="H20" s="22"/>
      <c r="I20" s="104">
        <v>0</v>
      </c>
      <c r="J20" s="104">
        <v>1</v>
      </c>
      <c r="K20" s="104">
        <v>0</v>
      </c>
      <c r="L20" s="104">
        <v>0</v>
      </c>
      <c r="M20" s="22"/>
      <c r="N20" s="22"/>
      <c r="O20" s="22"/>
      <c r="P20" s="22"/>
      <c r="Q20" s="103">
        <f>SIN(RADIANS(J15))</f>
        <v>-0.34202014332566871</v>
      </c>
      <c r="R20" s="103">
        <f>COS(RADIANS(J15))</f>
        <v>0.93969262078590843</v>
      </c>
      <c r="S20" s="104">
        <v>0</v>
      </c>
      <c r="T20" s="104">
        <v>0</v>
      </c>
      <c r="W20" s="104">
        <v>0</v>
      </c>
      <c r="X20" s="104">
        <v>1</v>
      </c>
      <c r="Y20" s="104">
        <v>0</v>
      </c>
      <c r="Z20" s="104">
        <v>0</v>
      </c>
    </row>
    <row r="21" spans="2:32" s="25" customFormat="1" ht="18" customHeight="1" x14ac:dyDescent="0.25">
      <c r="C21" s="35">
        <v>0</v>
      </c>
      <c r="D21" s="35">
        <v>0</v>
      </c>
      <c r="E21" s="35">
        <v>1</v>
      </c>
      <c r="F21" s="35">
        <v>0</v>
      </c>
      <c r="H21" s="26"/>
      <c r="I21" s="103">
        <f>SIN(RADIANS(E15))</f>
        <v>0.49999999999999994</v>
      </c>
      <c r="J21" s="104">
        <v>0</v>
      </c>
      <c r="K21" s="103">
        <f>COS(RADIANS(E15))</f>
        <v>0.86602540378443871</v>
      </c>
      <c r="L21" s="104">
        <v>0</v>
      </c>
      <c r="M21" s="26"/>
      <c r="N21" s="26"/>
      <c r="O21" s="26"/>
      <c r="P21" s="26"/>
      <c r="Q21" s="104">
        <v>0</v>
      </c>
      <c r="R21" s="104">
        <v>0</v>
      </c>
      <c r="S21" s="104">
        <v>1</v>
      </c>
      <c r="T21" s="104">
        <v>0</v>
      </c>
      <c r="W21" s="103">
        <f>SIN(RADIANS(O15))</f>
        <v>-0.17364817766693033</v>
      </c>
      <c r="X21" s="104">
        <v>0</v>
      </c>
      <c r="Y21" s="103">
        <f>COS(RADIANS(O15))</f>
        <v>0.98480775301220802</v>
      </c>
      <c r="Z21" s="104">
        <v>0</v>
      </c>
    </row>
    <row r="22" spans="2:32" ht="18" customHeight="1" x14ac:dyDescent="0.25">
      <c r="C22" s="35">
        <v>0</v>
      </c>
      <c r="D22" s="35">
        <v>0</v>
      </c>
      <c r="E22" s="35">
        <v>0</v>
      </c>
      <c r="F22" s="35">
        <v>1</v>
      </c>
      <c r="H22" s="100"/>
      <c r="I22" s="104">
        <v>0</v>
      </c>
      <c r="J22" s="104">
        <v>0</v>
      </c>
      <c r="K22" s="104">
        <v>0</v>
      </c>
      <c r="L22" s="104">
        <v>1</v>
      </c>
      <c r="M22" s="100"/>
      <c r="P22" s="27"/>
      <c r="Q22" s="104">
        <v>0</v>
      </c>
      <c r="R22" s="104">
        <v>0</v>
      </c>
      <c r="S22" s="104">
        <v>0</v>
      </c>
      <c r="T22" s="104">
        <v>1</v>
      </c>
      <c r="W22" s="104">
        <v>0</v>
      </c>
      <c r="X22" s="104">
        <v>0</v>
      </c>
      <c r="Y22" s="104">
        <v>0</v>
      </c>
      <c r="Z22" s="104">
        <v>1</v>
      </c>
    </row>
    <row r="23" spans="2:32" ht="18" customHeight="1" x14ac:dyDescent="0.25">
      <c r="C23" s="15"/>
      <c r="D23" s="22"/>
    </row>
    <row r="24" spans="2:32" s="20" customFormat="1" ht="18" customHeight="1" x14ac:dyDescent="0.35">
      <c r="B24" s="102" t="s">
        <v>107</v>
      </c>
      <c r="C24" s="30"/>
      <c r="D24" s="21"/>
      <c r="AC24" s="125" t="s">
        <v>14</v>
      </c>
      <c r="AE24" s="140">
        <v>90</v>
      </c>
      <c r="AF24" s="140"/>
    </row>
    <row r="25" spans="2:32" s="20" customFormat="1" ht="18" customHeight="1" x14ac:dyDescent="0.25">
      <c r="C25" s="113" t="s">
        <v>81</v>
      </c>
      <c r="D25"/>
      <c r="H25" s="113" t="s">
        <v>82</v>
      </c>
      <c r="I25"/>
      <c r="J25"/>
      <c r="K25"/>
      <c r="L25"/>
      <c r="N25" s="113" t="s">
        <v>83</v>
      </c>
      <c r="O25"/>
      <c r="P25" s="23"/>
      <c r="Q25" s="87"/>
      <c r="S25" s="114" t="s">
        <v>84</v>
      </c>
      <c r="T25"/>
      <c r="V25" s="115" t="s">
        <v>118</v>
      </c>
      <c r="AC25" s="112" t="s">
        <v>137</v>
      </c>
      <c r="AD25"/>
      <c r="AE25"/>
      <c r="AF25"/>
    </row>
    <row r="26" spans="2:32" s="20" customFormat="1" ht="18" customHeight="1" x14ac:dyDescent="0.25">
      <c r="C26" s="119" t="s">
        <v>88</v>
      </c>
      <c r="D26" s="111">
        <f>Calcs!AG15</f>
        <v>-2.5</v>
      </c>
      <c r="H26" s="92">
        <v>1</v>
      </c>
      <c r="I26" s="92">
        <v>0</v>
      </c>
      <c r="J26" s="92">
        <v>0</v>
      </c>
      <c r="K26" s="111">
        <f>-D26</f>
        <v>2.5</v>
      </c>
      <c r="N26" s="120" t="s">
        <v>88</v>
      </c>
      <c r="O26" s="111">
        <f>Calcs!AG18</f>
        <v>3</v>
      </c>
      <c r="P26" s="23"/>
      <c r="Q26" s="87"/>
      <c r="S26" s="111">
        <f>O26</f>
        <v>3</v>
      </c>
      <c r="V26" s="111" cm="1">
        <f t="array" ref="V26:V29">MMULT(H26:K29, S26:S29)</f>
        <v>5.5</v>
      </c>
      <c r="AC26" s="103">
        <f>COS(RADIANS(AE24))</f>
        <v>6.1257422745431001E-17</v>
      </c>
      <c r="AD26" s="103">
        <f>-SIN(RADIANS(AE24))</f>
        <v>-1</v>
      </c>
      <c r="AE26" s="104">
        <v>0</v>
      </c>
      <c r="AF26" s="104">
        <v>0</v>
      </c>
    </row>
    <row r="27" spans="2:32" s="20" customFormat="1" ht="18" customHeight="1" x14ac:dyDescent="0.25">
      <c r="C27" s="119" t="s">
        <v>89</v>
      </c>
      <c r="D27" s="111">
        <f>Calcs!AH15</f>
        <v>3</v>
      </c>
      <c r="H27" s="92">
        <v>0</v>
      </c>
      <c r="I27" s="92">
        <v>1</v>
      </c>
      <c r="J27" s="92">
        <v>0</v>
      </c>
      <c r="K27" s="111">
        <f t="shared" ref="K27:K28" si="0">-D27</f>
        <v>-3</v>
      </c>
      <c r="N27" s="120" t="s">
        <v>89</v>
      </c>
      <c r="O27" s="111">
        <f>Calcs!AH18</f>
        <v>-2</v>
      </c>
      <c r="P27" s="23"/>
      <c r="Q27" s="87"/>
      <c r="S27" s="111">
        <f>O27</f>
        <v>-2</v>
      </c>
      <c r="V27" s="111">
        <v>-5</v>
      </c>
      <c r="AC27" s="103">
        <f>SIN(RADIANS(AE24))</f>
        <v>1</v>
      </c>
      <c r="AD27" s="103">
        <f>COS(RADIANS(AE24))</f>
        <v>6.1257422745431001E-17</v>
      </c>
      <c r="AE27" s="104">
        <v>0</v>
      </c>
      <c r="AF27" s="104">
        <v>0</v>
      </c>
    </row>
    <row r="28" spans="2:32" s="20" customFormat="1" ht="18" customHeight="1" x14ac:dyDescent="0.25">
      <c r="C28" s="119" t="s">
        <v>90</v>
      </c>
      <c r="D28" s="111">
        <f>Calcs!AI15</f>
        <v>-1</v>
      </c>
      <c r="H28" s="92">
        <v>0</v>
      </c>
      <c r="I28" s="92">
        <v>0</v>
      </c>
      <c r="J28" s="92">
        <v>1</v>
      </c>
      <c r="K28" s="111">
        <f t="shared" si="0"/>
        <v>1</v>
      </c>
      <c r="N28" s="120" t="s">
        <v>90</v>
      </c>
      <c r="O28" s="111">
        <f>Calcs!AI18</f>
        <v>2</v>
      </c>
      <c r="P28" s="28"/>
      <c r="Q28" s="29"/>
      <c r="S28" s="111">
        <f>O28</f>
        <v>2</v>
      </c>
      <c r="V28" s="111">
        <v>3</v>
      </c>
      <c r="AC28" s="104">
        <v>0</v>
      </c>
      <c r="AD28" s="104">
        <v>0</v>
      </c>
      <c r="AE28" s="104">
        <v>1</v>
      </c>
      <c r="AF28" s="104">
        <v>0</v>
      </c>
    </row>
    <row r="29" spans="2:32" s="20" customFormat="1" ht="18" customHeight="1" x14ac:dyDescent="0.25">
      <c r="C29" s="30"/>
      <c r="D29" s="21"/>
      <c r="H29" s="92">
        <v>0</v>
      </c>
      <c r="I29" s="92">
        <v>0</v>
      </c>
      <c r="J29" s="92">
        <v>0</v>
      </c>
      <c r="K29" s="92">
        <v>1</v>
      </c>
      <c r="P29" s="28"/>
      <c r="Q29" s="29"/>
      <c r="S29" s="92">
        <v>1</v>
      </c>
      <c r="V29" s="111">
        <v>1</v>
      </c>
      <c r="AC29" s="104">
        <v>0</v>
      </c>
      <c r="AD29" s="104">
        <v>0</v>
      </c>
      <c r="AE29" s="104">
        <v>0</v>
      </c>
      <c r="AF29" s="104">
        <v>1</v>
      </c>
    </row>
    <row r="30" spans="2:32" ht="18" customHeight="1" x14ac:dyDescent="0.25">
      <c r="C30" s="21"/>
      <c r="D30" s="21"/>
      <c r="E30" s="20"/>
      <c r="G30" s="20"/>
      <c r="H30" s="20"/>
      <c r="I30" s="20"/>
      <c r="J30" s="20"/>
      <c r="K30" s="20"/>
      <c r="N30" s="20"/>
      <c r="P30" s="23"/>
      <c r="Q30" s="87"/>
    </row>
    <row r="31" spans="2:32" ht="18" customHeight="1" x14ac:dyDescent="0.25">
      <c r="B31" s="102" t="s">
        <v>108</v>
      </c>
      <c r="C31" s="21"/>
      <c r="D31" s="21"/>
      <c r="E31" s="20"/>
      <c r="G31" s="20"/>
      <c r="H31" s="20"/>
      <c r="I31" s="20"/>
      <c r="J31" s="20"/>
      <c r="K31" s="20"/>
      <c r="M31" s="20"/>
      <c r="N31" s="20"/>
      <c r="P31" s="23"/>
      <c r="Q31" s="87"/>
      <c r="AC31" t="s">
        <v>138</v>
      </c>
    </row>
    <row r="32" spans="2:32" ht="18" customHeight="1" x14ac:dyDescent="0.25">
      <c r="C32" s="116" t="s">
        <v>129</v>
      </c>
      <c r="D32" s="21"/>
      <c r="E32" s="20"/>
      <c r="G32" s="20"/>
      <c r="H32" s="20"/>
      <c r="I32" s="20"/>
      <c r="J32" s="20"/>
      <c r="L32" s="20"/>
      <c r="M32" s="115" t="s">
        <v>130</v>
      </c>
      <c r="N32" s="20"/>
      <c r="P32" s="23"/>
      <c r="Q32" s="87"/>
      <c r="U32" s="113" t="s">
        <v>131</v>
      </c>
      <c r="AC32" s="35">
        <v>0</v>
      </c>
    </row>
    <row r="33" spans="2:30" ht="18" customHeight="1" x14ac:dyDescent="0.25">
      <c r="B33" s="117" t="s">
        <v>88</v>
      </c>
      <c r="C33" s="106" cm="1">
        <f t="array" ref="C33:C36">MMULT(affine_RB_couch,m_target)</f>
        <v>3.2631397208144133</v>
      </c>
      <c r="D33" s="22"/>
      <c r="L33" s="117" t="s">
        <v>88</v>
      </c>
      <c r="M33" s="88" cm="1">
        <f t="array" ref="M33:M36">MMULT(affine_RC_gantry, m_TCouch)</f>
        <v>1.3562475996143499</v>
      </c>
      <c r="P33" s="24"/>
      <c r="Q33" s="88"/>
      <c r="T33" s="117" t="s">
        <v>88</v>
      </c>
      <c r="U33" s="32" cm="1">
        <f t="array" ref="U33:U36">MMULT(affine_RB_coll, m_TGantry)</f>
        <v>2.2643268392297728</v>
      </c>
      <c r="AC33" s="35">
        <v>-100</v>
      </c>
    </row>
    <row r="34" spans="2:30" s="20" customFormat="1" ht="18" customHeight="1" x14ac:dyDescent="0.25">
      <c r="B34" s="118" t="s">
        <v>89</v>
      </c>
      <c r="C34" s="107">
        <v>-5</v>
      </c>
      <c r="D34" s="21"/>
      <c r="L34" s="118" t="s">
        <v>89</v>
      </c>
      <c r="M34" s="29">
        <v>-5.8145226189341708</v>
      </c>
      <c r="P34" s="28"/>
      <c r="Q34" s="29"/>
      <c r="T34" s="118" t="s">
        <v>89</v>
      </c>
      <c r="U34" s="108">
        <v>-5.8145226189341708</v>
      </c>
      <c r="AC34" s="92">
        <v>0</v>
      </c>
    </row>
    <row r="35" spans="2:30" ht="18" customHeight="1" x14ac:dyDescent="0.25">
      <c r="B35" s="117" t="s">
        <v>90</v>
      </c>
      <c r="C35" s="107">
        <v>5.348076211353316</v>
      </c>
      <c r="D35" s="21"/>
      <c r="E35" s="20"/>
      <c r="G35" s="20"/>
      <c r="H35" s="20"/>
      <c r="I35" s="20"/>
      <c r="J35" s="20"/>
      <c r="K35" s="20"/>
      <c r="L35" s="118" t="s">
        <v>90</v>
      </c>
      <c r="M35" s="29">
        <v>5.348076211353316</v>
      </c>
      <c r="N35" s="20"/>
      <c r="P35" s="23"/>
      <c r="Q35" s="87"/>
      <c r="T35" s="117" t="s">
        <v>90</v>
      </c>
      <c r="U35" s="32">
        <v>5.0313169925027212</v>
      </c>
      <c r="AC35" s="35">
        <v>1</v>
      </c>
    </row>
    <row r="36" spans="2:30" ht="18" customHeight="1" x14ac:dyDescent="0.25">
      <c r="C36" s="107">
        <v>1</v>
      </c>
      <c r="D36" s="21"/>
      <c r="E36" s="20"/>
      <c r="G36" s="20"/>
      <c r="H36" s="20"/>
      <c r="I36" s="20"/>
      <c r="J36" s="20"/>
      <c r="K36" s="20"/>
      <c r="L36" s="20"/>
      <c r="M36" s="29">
        <v>1</v>
      </c>
      <c r="N36" s="20"/>
      <c r="P36" s="23"/>
      <c r="Q36" s="87"/>
      <c r="U36" s="32">
        <v>1</v>
      </c>
    </row>
    <row r="37" spans="2:30" ht="18" customHeight="1" x14ac:dyDescent="0.25">
      <c r="C37" s="21"/>
      <c r="D37" s="21"/>
      <c r="E37" s="20"/>
      <c r="G37" s="20"/>
      <c r="H37" s="20"/>
      <c r="I37" s="20"/>
      <c r="J37" s="20"/>
      <c r="K37" s="20"/>
      <c r="L37" s="20"/>
      <c r="M37" s="20"/>
      <c r="N37" s="20"/>
      <c r="P37" s="23"/>
      <c r="Q37" s="87"/>
      <c r="AC37" s="1" cm="1">
        <f t="array" ref="AC37:AC40">MMULT(rot_C_test,Sp_G0)</f>
        <v>100</v>
      </c>
    </row>
    <row r="38" spans="2:30" ht="18" customHeight="1" x14ac:dyDescent="0.25">
      <c r="B38" s="102" t="s">
        <v>109</v>
      </c>
      <c r="C38" s="21"/>
      <c r="D38" s="21"/>
      <c r="E38" s="20"/>
      <c r="G38" s="20"/>
      <c r="H38" s="20"/>
      <c r="I38" s="20"/>
      <c r="J38" s="20"/>
      <c r="K38" s="20"/>
      <c r="L38" s="20"/>
      <c r="M38" s="20"/>
      <c r="N38" s="20"/>
      <c r="P38" s="23"/>
      <c r="Q38" s="87"/>
      <c r="AC38" s="1">
        <v>-6.1257422745431001E-15</v>
      </c>
    </row>
    <row r="39" spans="2:30" ht="18" customHeight="1" x14ac:dyDescent="0.25">
      <c r="C39" s="116" t="s">
        <v>132</v>
      </c>
      <c r="D39" s="21"/>
      <c r="E39" s="20"/>
      <c r="G39" s="116" t="s">
        <v>110</v>
      </c>
      <c r="L39" s="113" t="s">
        <v>111</v>
      </c>
      <c r="S39" s="115" t="s">
        <v>112</v>
      </c>
      <c r="AC39" s="1">
        <v>0</v>
      </c>
    </row>
    <row r="40" spans="2:30" ht="18" customHeight="1" x14ac:dyDescent="0.25">
      <c r="C40" s="105">
        <f>INDEX(m_TColl, 2)</f>
        <v>-5.8145226189341708</v>
      </c>
      <c r="D40" s="21"/>
      <c r="E40" s="20"/>
      <c r="G40">
        <f>100 / (100 + C40)</f>
        <v>1.0617348107225613</v>
      </c>
      <c r="L40" s="35">
        <f>G40</f>
        <v>1.0617348107225613</v>
      </c>
      <c r="M40" s="35">
        <v>0</v>
      </c>
      <c r="N40" s="35">
        <v>0</v>
      </c>
      <c r="O40" s="35">
        <v>0</v>
      </c>
      <c r="S40" s="109" t="s">
        <v>88</v>
      </c>
      <c r="T40" s="108" cm="1">
        <f t="array" ref="T40:T43">MMULT(affine_scale, MMULT(m_orthog_proj, m_TColl))</f>
        <v>2.4041146280636383</v>
      </c>
      <c r="AA40" s="104"/>
      <c r="AB40" s="104"/>
      <c r="AC40" s="1">
        <v>1</v>
      </c>
      <c r="AD40" s="104"/>
    </row>
    <row r="41" spans="2:30" ht="18" customHeight="1" x14ac:dyDescent="0.25">
      <c r="C41" s="21"/>
      <c r="D41" s="21"/>
      <c r="E41" s="20"/>
      <c r="G41" s="20"/>
      <c r="L41" s="35">
        <v>0</v>
      </c>
      <c r="M41" s="35">
        <f>G40</f>
        <v>1.0617348107225613</v>
      </c>
      <c r="N41" s="35">
        <v>0</v>
      </c>
      <c r="O41" s="35">
        <v>0</v>
      </c>
      <c r="S41" s="109" t="s">
        <v>89</v>
      </c>
      <c r="T41" s="108">
        <v>-6.1734810722561226</v>
      </c>
      <c r="AA41" s="104"/>
      <c r="AB41" s="103"/>
      <c r="AC41" s="103"/>
      <c r="AD41" s="104"/>
    </row>
    <row r="42" spans="2:30" ht="18" customHeight="1" x14ac:dyDescent="0.25">
      <c r="D42" s="21"/>
      <c r="E42" s="20"/>
      <c r="G42" s="20"/>
      <c r="L42" s="35">
        <v>0</v>
      </c>
      <c r="M42" s="35">
        <v>0</v>
      </c>
      <c r="N42" s="35">
        <f>G40</f>
        <v>1.0617348107225613</v>
      </c>
      <c r="O42" s="35">
        <v>0</v>
      </c>
      <c r="S42" s="109" t="s">
        <v>90</v>
      </c>
      <c r="T42" s="108">
        <v>5.341924394720083</v>
      </c>
      <c r="AA42" s="104"/>
      <c r="AB42" s="103"/>
      <c r="AC42" s="103"/>
      <c r="AD42" s="104"/>
    </row>
    <row r="43" spans="2:30" ht="18" customHeight="1" x14ac:dyDescent="0.25">
      <c r="L43" s="35">
        <v>0</v>
      </c>
      <c r="M43" s="35">
        <v>0</v>
      </c>
      <c r="N43" s="35">
        <v>0</v>
      </c>
      <c r="O43" s="35">
        <v>1</v>
      </c>
      <c r="S43" s="109" t="s">
        <v>101</v>
      </c>
      <c r="T43" s="32">
        <v>1</v>
      </c>
      <c r="AA43" s="104"/>
      <c r="AB43" s="104"/>
      <c r="AC43" s="104"/>
      <c r="AD43" s="104"/>
    </row>
    <row r="44" spans="2:30" ht="18" customHeight="1" x14ac:dyDescent="0.25">
      <c r="K44" s="35"/>
      <c r="L44" s="35"/>
      <c r="M44" s="35"/>
      <c r="N44" s="35"/>
      <c r="Q44" s="109"/>
      <c r="R44" s="32"/>
    </row>
    <row r="45" spans="2:30" ht="18" customHeight="1" x14ac:dyDescent="0.25">
      <c r="B45" s="102" t="s">
        <v>113</v>
      </c>
      <c r="H45" s="35"/>
      <c r="I45" s="35"/>
      <c r="J45" s="35"/>
      <c r="K45" s="35"/>
    </row>
    <row r="46" spans="2:30" ht="18" customHeight="1" x14ac:dyDescent="0.25">
      <c r="D46" s="28" t="s">
        <v>16</v>
      </c>
      <c r="E46" s="29">
        <f>INDEX(m_BEV, 1)</f>
        <v>2.4041146280636383</v>
      </c>
      <c r="G46" s="110" t="s">
        <v>133</v>
      </c>
      <c r="N46" s="28" t="s">
        <v>17</v>
      </c>
      <c r="O46" s="29">
        <f>INDEX(m_BEV, 3)</f>
        <v>5.341924394720083</v>
      </c>
      <c r="Q46" s="110" t="s">
        <v>114</v>
      </c>
    </row>
    <row r="48" spans="2:30" ht="18" customHeight="1" x14ac:dyDescent="0.25">
      <c r="D48" s="21"/>
    </row>
    <row r="49" spans="2:25" ht="18" customHeight="1" x14ac:dyDescent="0.25">
      <c r="D49" s="21"/>
    </row>
    <row r="50" spans="2:25" ht="18" customHeight="1" x14ac:dyDescent="0.25">
      <c r="B50" s="102" t="s">
        <v>115</v>
      </c>
    </row>
    <row r="51" spans="2:25" ht="18" customHeight="1" x14ac:dyDescent="0.35">
      <c r="B51" t="s">
        <v>22</v>
      </c>
      <c r="S51" s="63" t="s">
        <v>52</v>
      </c>
      <c r="T51" s="64">
        <f>Calcs!E43</f>
        <v>5</v>
      </c>
      <c r="W51" s="63" t="s">
        <v>52</v>
      </c>
      <c r="X51" s="64">
        <f>Calcs!E49</f>
        <v>5.5</v>
      </c>
    </row>
    <row r="52" spans="2:25" ht="18" customHeight="1" x14ac:dyDescent="0.25">
      <c r="S52" s="24"/>
      <c r="T52" s="32"/>
      <c r="W52" s="24"/>
      <c r="X52" s="32"/>
    </row>
    <row r="53" spans="2:25" ht="18" customHeight="1" x14ac:dyDescent="0.25">
      <c r="S53" s="24" t="s">
        <v>27</v>
      </c>
      <c r="T53" s="32">
        <f>SQRT(E46^2 + O46^2)</f>
        <v>5.8579794625600288</v>
      </c>
      <c r="W53" s="24" t="s">
        <v>27</v>
      </c>
      <c r="X53" s="32">
        <f>SQRT(E46^2 + O46^2)</f>
        <v>5.8579794625600288</v>
      </c>
    </row>
    <row r="55" spans="2:25" ht="18" customHeight="1" x14ac:dyDescent="0.35">
      <c r="D55" t="s">
        <v>24</v>
      </c>
      <c r="S55" s="24" t="s">
        <v>54</v>
      </c>
      <c r="T55" s="32">
        <f>T51</f>
        <v>5</v>
      </c>
      <c r="W55" s="24" t="s">
        <v>54</v>
      </c>
      <c r="X55" s="32">
        <f>X51</f>
        <v>5.5</v>
      </c>
    </row>
    <row r="57" spans="2:25" ht="18" customHeight="1" x14ac:dyDescent="0.35">
      <c r="D57" t="s">
        <v>23</v>
      </c>
      <c r="S57" s="24" t="s">
        <v>53</v>
      </c>
      <c r="T57" s="32">
        <f>SIGN(E46) * SQRT(T53^2 - T55^2)</f>
        <v>3.052199761446666</v>
      </c>
      <c r="W57" s="24" t="s">
        <v>53</v>
      </c>
      <c r="X57" s="32">
        <f>SIGN(E46) * SQRT(X53^2 - X55^2)</f>
        <v>2.0164134952372952</v>
      </c>
    </row>
    <row r="59" spans="2:25" ht="18" customHeight="1" x14ac:dyDescent="0.35">
      <c r="D59" t="s">
        <v>25</v>
      </c>
      <c r="S59" s="33" t="s">
        <v>55</v>
      </c>
      <c r="T59" s="32">
        <f>DEGREES( ATAN(T55/T57) ) - DEGREES( ATAN(O46/E46) )</f>
        <v>-7.1715957581259033</v>
      </c>
      <c r="W59" s="33" t="s">
        <v>55</v>
      </c>
      <c r="X59" s="32">
        <f>DEGREES( ATAN(X55/X57) ) - DEGREES( ATAN(O46/E46) )</f>
        <v>4.0959845507696713</v>
      </c>
    </row>
    <row r="60" spans="2:25" ht="18" customHeight="1" x14ac:dyDescent="0.25">
      <c r="T60" s="35"/>
      <c r="X60" s="35"/>
    </row>
    <row r="61" spans="2:25" ht="18" customHeight="1" x14ac:dyDescent="0.35">
      <c r="D61" t="s">
        <v>26</v>
      </c>
      <c r="S61" s="33" t="s">
        <v>56</v>
      </c>
      <c r="T61" s="1">
        <f>IF(Calcs!M26 - T59&lt;0, Calcs!M26 - T59 + 360, Calcs!M26 - T59)</f>
        <v>17.171595758125903</v>
      </c>
      <c r="U61" t="s">
        <v>28</v>
      </c>
      <c r="W61" s="33" t="s">
        <v>56</v>
      </c>
      <c r="X61" s="1">
        <f>IF(Calcs!M26 - X59&lt;0, Calcs!M26 - X59 + 360, Calcs!M26 - X59)</f>
        <v>5.9040154492303287</v>
      </c>
      <c r="Y61" t="s">
        <v>28</v>
      </c>
    </row>
    <row r="65" spans="22:30" ht="18" customHeight="1" x14ac:dyDescent="0.25">
      <c r="V65" s="35"/>
      <c r="W65" s="35"/>
      <c r="X65" s="35"/>
      <c r="Z65" s="35"/>
      <c r="AA65" s="35"/>
      <c r="AB65" s="35"/>
      <c r="AC65" s="35"/>
      <c r="AD65" s="35"/>
    </row>
    <row r="66" spans="22:30" ht="18" customHeight="1" x14ac:dyDescent="0.25">
      <c r="V66" s="32"/>
      <c r="W66" s="32"/>
      <c r="X66" s="35"/>
      <c r="Z66" s="32"/>
      <c r="AA66" s="32"/>
      <c r="AB66" s="35"/>
      <c r="AC66" s="35"/>
      <c r="AD66" s="35"/>
    </row>
    <row r="67" spans="22:30" ht="18" customHeight="1" x14ac:dyDescent="0.25">
      <c r="Z67" s="35"/>
      <c r="AA67" s="35"/>
      <c r="AB67" s="35"/>
      <c r="AC67" s="35"/>
      <c r="AD67" s="35"/>
    </row>
    <row r="68" spans="22:30" ht="18" customHeight="1" x14ac:dyDescent="0.25">
      <c r="Z68" s="35"/>
      <c r="AA68" s="35"/>
      <c r="AB68" s="35"/>
      <c r="AC68" s="35"/>
      <c r="AD68" s="35"/>
    </row>
    <row r="69" spans="22:30" ht="18" customHeight="1" x14ac:dyDescent="0.25">
      <c r="Z69" s="35"/>
      <c r="AA69" s="35"/>
      <c r="AB69" s="35"/>
      <c r="AC69" s="35"/>
      <c r="AD69" s="35"/>
    </row>
    <row r="70" spans="22:30" ht="18" customHeight="1" x14ac:dyDescent="0.25">
      <c r="Z70" s="35"/>
      <c r="AA70" s="35"/>
      <c r="AB70" s="35"/>
      <c r="AC70" s="35"/>
      <c r="AD70" s="35"/>
    </row>
    <row r="71" spans="22:30" ht="18" customHeight="1" x14ac:dyDescent="0.25">
      <c r="Z71" s="35"/>
      <c r="AA71" s="35"/>
      <c r="AB71" s="35"/>
      <c r="AC71" s="35"/>
      <c r="AD71" s="35"/>
    </row>
    <row r="72" spans="22:30" ht="18" customHeight="1" x14ac:dyDescent="0.25">
      <c r="V72" s="35"/>
      <c r="W72" s="35"/>
      <c r="X72" s="35"/>
      <c r="AA72" s="35"/>
      <c r="AB72" s="35"/>
      <c r="AC72" s="35"/>
    </row>
    <row r="73" spans="22:30" ht="18" customHeight="1" x14ac:dyDescent="0.25">
      <c r="V73" s="32"/>
      <c r="W73" s="32"/>
      <c r="X73" s="35"/>
      <c r="AA73" s="32"/>
      <c r="AB73" s="32"/>
      <c r="AC73" s="35"/>
    </row>
  </sheetData>
  <mergeCells count="11">
    <mergeCell ref="AE24:AF24"/>
    <mergeCell ref="G4:Q6"/>
    <mergeCell ref="E12:F12"/>
    <mergeCell ref="J12:K12"/>
    <mergeCell ref="O12:P12"/>
    <mergeCell ref="E15:F15"/>
    <mergeCell ref="J15:K15"/>
    <mergeCell ref="O15:P15"/>
    <mergeCell ref="E9:F9"/>
    <mergeCell ref="J9:K9"/>
    <mergeCell ref="O9:P9"/>
  </mergeCells>
  <hyperlinks>
    <hyperlink ref="G4" r:id="rId1" display="https://doi.org/10.1002/acm2.13816" xr:uid="{F4B058AC-253D-4A6C-858E-3D6D92BAC15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3"/>
  <sheetViews>
    <sheetView workbookViewId="0">
      <selection activeCell="C30" sqref="C30"/>
    </sheetView>
  </sheetViews>
  <sheetFormatPr defaultRowHeight="15" x14ac:dyDescent="0.25"/>
  <cols>
    <col min="1" max="2" width="4.7109375" customWidth="1"/>
  </cols>
  <sheetData>
    <row r="2" spans="2:14" ht="18.75" x14ac:dyDescent="0.3">
      <c r="B2" s="80" t="s">
        <v>58</v>
      </c>
    </row>
    <row r="3" spans="2:14" ht="7.5" customHeight="1" x14ac:dyDescent="0.25"/>
    <row r="4" spans="2:14" ht="15" customHeight="1" x14ac:dyDescent="0.25">
      <c r="C4" s="81" t="s">
        <v>136</v>
      </c>
    </row>
    <row r="5" spans="2:14" ht="15" customHeight="1" x14ac:dyDescent="0.25"/>
    <row r="6" spans="2:14" ht="15" customHeight="1" x14ac:dyDescent="0.25"/>
    <row r="7" spans="2:14" s="20" customFormat="1" ht="21" customHeight="1" x14ac:dyDescent="0.25">
      <c r="C7" s="86" t="s">
        <v>59</v>
      </c>
      <c r="D7" s="79" t="s">
        <v>60</v>
      </c>
      <c r="E7" s="74"/>
      <c r="F7" s="74"/>
      <c r="G7" s="74"/>
      <c r="H7" s="74"/>
      <c r="I7" s="74"/>
      <c r="J7" s="74"/>
      <c r="K7" s="74"/>
      <c r="L7" s="74"/>
      <c r="M7" s="74"/>
      <c r="N7" s="75"/>
    </row>
    <row r="8" spans="2:14" x14ac:dyDescent="0.25">
      <c r="C8" s="84" t="s">
        <v>63</v>
      </c>
      <c r="D8" s="82" t="s">
        <v>61</v>
      </c>
      <c r="N8" s="76"/>
    </row>
    <row r="9" spans="2:14" x14ac:dyDescent="0.25">
      <c r="C9" s="84">
        <v>1.1000000000000001</v>
      </c>
      <c r="D9" s="82" t="s">
        <v>62</v>
      </c>
      <c r="N9" s="76"/>
    </row>
    <row r="10" spans="2:14" x14ac:dyDescent="0.25">
      <c r="C10" s="84">
        <v>1.2</v>
      </c>
      <c r="D10" s="82" t="s">
        <v>64</v>
      </c>
      <c r="N10" s="76"/>
    </row>
    <row r="11" spans="2:14" x14ac:dyDescent="0.25">
      <c r="C11" s="84" t="s">
        <v>66</v>
      </c>
      <c r="D11" s="82" t="s">
        <v>67</v>
      </c>
      <c r="N11" s="76"/>
    </row>
    <row r="12" spans="2:14" ht="45" customHeight="1" x14ac:dyDescent="0.25">
      <c r="C12" s="121" t="s">
        <v>120</v>
      </c>
      <c r="D12" s="143" t="s">
        <v>121</v>
      </c>
      <c r="E12" s="144"/>
      <c r="F12" s="144"/>
      <c r="G12" s="144"/>
      <c r="H12" s="144"/>
      <c r="I12" s="144"/>
      <c r="J12" s="144"/>
      <c r="K12" s="144"/>
      <c r="L12" s="144"/>
      <c r="M12" s="144"/>
      <c r="N12" s="145"/>
    </row>
    <row r="13" spans="2:14" ht="15" customHeight="1" x14ac:dyDescent="0.25">
      <c r="C13" s="84" t="s">
        <v>124</v>
      </c>
      <c r="D13" s="122" t="s">
        <v>125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4"/>
    </row>
    <row r="14" spans="2:14" x14ac:dyDescent="0.25">
      <c r="C14" s="84" t="s">
        <v>134</v>
      </c>
      <c r="D14" s="82" t="s">
        <v>135</v>
      </c>
      <c r="N14" s="76"/>
    </row>
    <row r="15" spans="2:14" x14ac:dyDescent="0.25">
      <c r="C15" s="85" t="s">
        <v>139</v>
      </c>
      <c r="D15" s="83" t="s">
        <v>140</v>
      </c>
      <c r="E15" s="77"/>
      <c r="F15" s="77"/>
      <c r="G15" s="77"/>
      <c r="H15" s="77"/>
      <c r="I15" s="77"/>
      <c r="J15" s="77"/>
      <c r="K15" s="77"/>
      <c r="L15" s="77"/>
      <c r="M15" s="77"/>
      <c r="N15" s="78"/>
    </row>
    <row r="16" spans="2:14" x14ac:dyDescent="0.25">
      <c r="C16" s="72"/>
    </row>
    <row r="17" spans="3:3" x14ac:dyDescent="0.25">
      <c r="C17" s="72"/>
    </row>
    <row r="18" spans="3:3" x14ac:dyDescent="0.25">
      <c r="C18" s="73"/>
    </row>
    <row r="19" spans="3:3" x14ac:dyDescent="0.25">
      <c r="C19" s="73"/>
    </row>
    <row r="20" spans="3:3" x14ac:dyDescent="0.25">
      <c r="C20" s="73"/>
    </row>
    <row r="21" spans="3:3" x14ac:dyDescent="0.25">
      <c r="C21" s="73"/>
    </row>
    <row r="22" spans="3:3" x14ac:dyDescent="0.25">
      <c r="C22" s="73"/>
    </row>
    <row r="23" spans="3:3" x14ac:dyDescent="0.25">
      <c r="C23" s="73"/>
    </row>
  </sheetData>
  <mergeCells count="1">
    <mergeCell ref="D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19</vt:i4>
      </vt:variant>
    </vt:vector>
  </HeadingPairs>
  <TitlesOfParts>
    <vt:vector size="23" baseType="lpstr">
      <vt:lpstr>Coord System</vt:lpstr>
      <vt:lpstr>Calcs</vt:lpstr>
      <vt:lpstr>Details</vt:lpstr>
      <vt:lpstr>Version History</vt:lpstr>
      <vt:lpstr>affine_RB_coll</vt:lpstr>
      <vt:lpstr>affine_RB_couch</vt:lpstr>
      <vt:lpstr>affine_RC_gantry</vt:lpstr>
      <vt:lpstr>affine_scale</vt:lpstr>
      <vt:lpstr>angle_sign</vt:lpstr>
      <vt:lpstr>coord_axes</vt:lpstr>
      <vt:lpstr>m_BEV</vt:lpstr>
      <vt:lpstr>m_I</vt:lpstr>
      <vt:lpstr>m_orthog_proj</vt:lpstr>
      <vt:lpstr>m_T</vt:lpstr>
      <vt:lpstr>m_target</vt:lpstr>
      <vt:lpstr>m_TColl</vt:lpstr>
      <vt:lpstr>m_TCouch</vt:lpstr>
      <vt:lpstr>m_TGantry</vt:lpstr>
      <vt:lpstr>rot_C_test</vt:lpstr>
      <vt:lpstr>rot_sign_coll</vt:lpstr>
      <vt:lpstr>rot_sign_couch</vt:lpstr>
      <vt:lpstr>rot_sign_gantry</vt:lpstr>
      <vt:lpstr>Sp_G0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2023-09-21T19:15:56Z</dcterms:modified>
</cp:coreProperties>
</file>