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livejohnshopkins-my.sharepoint.com/personal/ekendal2_jh_edu/Documents/Research/universal regimen/universal/"/>
    </mc:Choice>
  </mc:AlternateContent>
  <bookViews>
    <workbookView xWindow="0" yWindow="0" windowWidth="15300" windowHeight="6480"/>
  </bookViews>
  <sheets>
    <sheet name="Patient characteristics" sheetId="1" r:id="rId1"/>
    <sheet name="TB epi and clinical practice" sheetId="7" r:id="rId2"/>
    <sheet name="Treatment outcomes assumptions" sheetId="3" r:id="rId3"/>
    <sheet name="Relapseprobs" sheetId="10" r:id="rId4"/>
    <sheet name="Resistance outcomes" sheetId="2" r:id="rId5"/>
    <sheet name="Diagnosis and regimen selection" sheetId="8" r:id="rId6"/>
    <sheet name="Moxi and PZA resistance data SE" sheetId="6"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1" l="1"/>
  <c r="I75" i="3" l="1"/>
  <c r="H75" i="3"/>
  <c r="G75" i="3"/>
  <c r="F75" i="3"/>
  <c r="E75" i="3"/>
  <c r="D75" i="3"/>
  <c r="D12" i="7" l="1"/>
  <c r="C12" i="7"/>
  <c r="D11" i="7"/>
  <c r="C11" i="7"/>
  <c r="F13" i="1"/>
  <c r="F12" i="1"/>
  <c r="F11" i="1"/>
  <c r="F10" i="1"/>
  <c r="F8" i="1"/>
  <c r="F6" i="1"/>
  <c r="B11" i="7" l="1"/>
  <c r="B14" i="7"/>
  <c r="C18" i="1"/>
  <c r="C17" i="1"/>
  <c r="B12" i="7" l="1"/>
  <c r="D22" i="7" l="1"/>
  <c r="C22" i="7"/>
  <c r="B22" i="7"/>
  <c r="C71" i="3"/>
  <c r="C70" i="3"/>
  <c r="F37" i="3"/>
  <c r="G37" i="3" s="1"/>
  <c r="C24" i="3" l="1"/>
  <c r="G23" i="3"/>
  <c r="G22" i="3"/>
  <c r="G21" i="3"/>
  <c r="E21" i="3"/>
  <c r="C12" i="3"/>
  <c r="I12" i="3" s="1"/>
  <c r="C16" i="3"/>
  <c r="G16" i="3" s="1"/>
  <c r="C4" i="3"/>
  <c r="I64" i="3"/>
  <c r="H64" i="3"/>
  <c r="G64" i="3"/>
  <c r="F64" i="3"/>
  <c r="E64" i="3"/>
  <c r="D64" i="3"/>
  <c r="I63" i="3"/>
  <c r="H63" i="3"/>
  <c r="G63" i="3"/>
  <c r="F63" i="3"/>
  <c r="E63" i="3"/>
  <c r="D63" i="3"/>
  <c r="I49" i="3"/>
  <c r="H49" i="3"/>
  <c r="H50" i="3" s="1"/>
  <c r="G49" i="3"/>
  <c r="G50" i="3" s="1"/>
  <c r="F49" i="3"/>
  <c r="F50" i="3" s="1"/>
  <c r="E49" i="3"/>
  <c r="E50" i="3" s="1"/>
  <c r="D49" i="3"/>
  <c r="D50" i="3" s="1"/>
  <c r="C36" i="3"/>
  <c r="F36" i="3" s="1"/>
  <c r="G36" i="3" s="1"/>
  <c r="C35" i="3"/>
  <c r="C59" i="3"/>
  <c r="C58" i="3"/>
  <c r="D49" i="6"/>
  <c r="C49" i="6"/>
  <c r="K48" i="6"/>
  <c r="J48" i="6"/>
  <c r="D48" i="6"/>
  <c r="C48" i="6"/>
  <c r="K43" i="6"/>
  <c r="K51" i="6" s="1"/>
  <c r="J43" i="6"/>
  <c r="F43" i="6" s="1"/>
  <c r="D43" i="6"/>
  <c r="B43" i="6" s="1"/>
  <c r="B51" i="6" s="1"/>
  <c r="C43" i="6"/>
  <c r="C51" i="6" s="1"/>
  <c r="K42" i="6"/>
  <c r="J42" i="6"/>
  <c r="J50" i="6" s="1"/>
  <c r="D42" i="6"/>
  <c r="D50" i="6" s="1"/>
  <c r="C42" i="6"/>
  <c r="C50" i="6" s="1"/>
  <c r="K41" i="6"/>
  <c r="I41" i="6" s="1"/>
  <c r="J41" i="6"/>
  <c r="J49" i="6" s="1"/>
  <c r="B41" i="6"/>
  <c r="I40" i="6"/>
  <c r="B40" i="6"/>
  <c r="I39" i="6"/>
  <c r="G39" i="6"/>
  <c r="G48" i="6" s="1"/>
  <c r="F39" i="6"/>
  <c r="F48" i="6" s="1"/>
  <c r="B39" i="6"/>
  <c r="D58" i="6" s="1"/>
  <c r="G28" i="6"/>
  <c r="D60" i="6" s="1"/>
  <c r="B28" i="6"/>
  <c r="D62" i="6" s="1"/>
  <c r="I27" i="6"/>
  <c r="D27" i="6"/>
  <c r="I26" i="6"/>
  <c r="D26" i="6"/>
  <c r="G23" i="6"/>
  <c r="B23" i="6"/>
  <c r="I22" i="6"/>
  <c r="D22" i="6"/>
  <c r="I21" i="6"/>
  <c r="I23" i="6" s="1"/>
  <c r="D21" i="6"/>
  <c r="G18" i="6"/>
  <c r="B18" i="6"/>
  <c r="I17" i="6"/>
  <c r="D17" i="6"/>
  <c r="I16" i="6"/>
  <c r="D16" i="6"/>
  <c r="D18" i="6" s="1"/>
  <c r="H11" i="6"/>
  <c r="D11" i="6"/>
  <c r="C11" i="6"/>
  <c r="B11" i="6"/>
  <c r="J10" i="6"/>
  <c r="K10" i="6" s="1"/>
  <c r="E10" i="6"/>
  <c r="J9" i="6"/>
  <c r="E9" i="6"/>
  <c r="B6" i="6"/>
  <c r="D5" i="6"/>
  <c r="E5" i="6" s="1"/>
  <c r="D4" i="6"/>
  <c r="D61" i="6" l="1"/>
  <c r="E18" i="6"/>
  <c r="B48" i="6"/>
  <c r="D63" i="6"/>
  <c r="I48" i="6"/>
  <c r="I28" i="6"/>
  <c r="C60" i="6" s="1"/>
  <c r="E60" i="6" s="1"/>
  <c r="B49" i="6"/>
  <c r="I18" i="6"/>
  <c r="K18" i="6" s="1"/>
  <c r="D28" i="6"/>
  <c r="K28" i="6" s="1"/>
  <c r="F41" i="6"/>
  <c r="D64" i="6"/>
  <c r="E39" i="6"/>
  <c r="E11" i="6"/>
  <c r="J11" i="6"/>
  <c r="K11" i="6" s="1"/>
  <c r="D23" i="6"/>
  <c r="B42" i="6"/>
  <c r="G42" i="6"/>
  <c r="G50" i="6" s="1"/>
  <c r="F35" i="3"/>
  <c r="G35" i="3" s="1"/>
  <c r="G38" i="3" s="1"/>
  <c r="C41" i="3" s="1"/>
  <c r="C38" i="3"/>
  <c r="D70" i="3"/>
  <c r="I50" i="3"/>
  <c r="E16" i="3"/>
  <c r="D16" i="3"/>
  <c r="J70" i="3"/>
  <c r="J71" i="3"/>
  <c r="F71" i="3"/>
  <c r="E71" i="3"/>
  <c r="E70" i="3"/>
  <c r="I71" i="3"/>
  <c r="I70" i="3"/>
  <c r="F70" i="3"/>
  <c r="F16" i="3"/>
  <c r="G71" i="3"/>
  <c r="D71" i="3"/>
  <c r="K71" i="3"/>
  <c r="H71" i="3"/>
  <c r="F12" i="3"/>
  <c r="G70" i="3"/>
  <c r="H70" i="3"/>
  <c r="K70" i="3"/>
  <c r="F38" i="3"/>
  <c r="C40" i="3" s="1"/>
  <c r="I16" i="3"/>
  <c r="G24" i="3"/>
  <c r="H16" i="3"/>
  <c r="H12" i="3"/>
  <c r="E12" i="3"/>
  <c r="C28" i="3" s="1"/>
  <c r="G12" i="3"/>
  <c r="D12" i="3"/>
  <c r="I49" i="6"/>
  <c r="E41" i="6"/>
  <c r="E49" i="6" s="1"/>
  <c r="F51" i="6"/>
  <c r="J28" i="6"/>
  <c r="J18" i="6"/>
  <c r="K33" i="6"/>
  <c r="G41" i="6"/>
  <c r="F42" i="6"/>
  <c r="E4" i="6"/>
  <c r="D6" i="6"/>
  <c r="E6" i="6" s="1"/>
  <c r="K9" i="6"/>
  <c r="I42" i="6"/>
  <c r="I50" i="6" s="1"/>
  <c r="G43" i="6"/>
  <c r="G51" i="6" s="1"/>
  <c r="I43" i="6"/>
  <c r="I51" i="6" s="1"/>
  <c r="K49" i="6"/>
  <c r="D51" i="6"/>
  <c r="J23" i="6"/>
  <c r="K50" i="6"/>
  <c r="J51" i="6"/>
  <c r="K23" i="6"/>
  <c r="B50" i="6" l="1"/>
  <c r="C58" i="6"/>
  <c r="E58" i="6" s="1"/>
  <c r="G49" i="6"/>
  <c r="C64" i="6"/>
  <c r="E64" i="6" s="1"/>
  <c r="E23" i="6"/>
  <c r="M23" i="6" s="1"/>
  <c r="F49" i="6"/>
  <c r="C63" i="6"/>
  <c r="E63" i="6" s="1"/>
  <c r="E28" i="6"/>
  <c r="M28" i="6" s="1"/>
  <c r="B44" i="6" s="1"/>
  <c r="C62" i="6"/>
  <c r="E62" i="6" s="1"/>
  <c r="M18" i="6"/>
  <c r="E48" i="6"/>
  <c r="D57" i="6"/>
  <c r="D59" i="6"/>
  <c r="G29" i="3"/>
  <c r="G28" i="3"/>
  <c r="C30" i="3" s="1"/>
  <c r="C29" i="3"/>
  <c r="F50" i="6"/>
  <c r="E42" i="6"/>
  <c r="C57" i="6" s="1"/>
  <c r="E57" i="6" s="1"/>
  <c r="E43" i="6"/>
  <c r="C59" i="6" s="1"/>
  <c r="E59" i="6" s="1"/>
  <c r="B45" i="6" l="1"/>
  <c r="B52" i="6"/>
  <c r="E44" i="6"/>
  <c r="C61" i="6"/>
  <c r="E61" i="6" s="1"/>
  <c r="E50" i="6"/>
  <c r="E51" i="6"/>
  <c r="E45" i="6" l="1"/>
  <c r="E52" i="6"/>
</calcChain>
</file>

<file path=xl/sharedStrings.xml><?xml version="1.0" encoding="utf-8"?>
<sst xmlns="http://schemas.openxmlformats.org/spreadsheetml/2006/main" count="565" uniqueCount="370">
  <si>
    <t>RIF-R</t>
  </si>
  <si>
    <t>RIF-S</t>
  </si>
  <si>
    <t>FQ-R</t>
  </si>
  <si>
    <t>PZA-R</t>
  </si>
  <si>
    <t>INH-R</t>
  </si>
  <si>
    <t>Characteristic</t>
  </si>
  <si>
    <t>Denominator</t>
  </si>
  <si>
    <t>Other regional data</t>
  </si>
  <si>
    <t>Additional notes</t>
  </si>
  <si>
    <t>Zignol, Pakistan 23 of 63; Bangladesh 41 of 103; India DRS, 72 of 307</t>
  </si>
  <si>
    <t>Zignol, Pakistan (0.5% of 1397) and Bangladesh (2.5% of 892), pncA mutations; India DRS (MGIT 100ul, 6.6% of 4651)</t>
  </si>
  <si>
    <t>New</t>
  </si>
  <si>
    <t>Retreatment</t>
  </si>
  <si>
    <t>Proportion</t>
  </si>
  <si>
    <t>UR high</t>
  </si>
  <si>
    <t>UR low</t>
  </si>
  <si>
    <t>RIF</t>
  </si>
  <si>
    <t>Age?</t>
  </si>
  <si>
    <t>Sex?</t>
  </si>
  <si>
    <t>Pulmonary?</t>
  </si>
  <si>
    <t>Fqexposed?</t>
  </si>
  <si>
    <t>PA-R</t>
  </si>
  <si>
    <t>BDQ-R</t>
  </si>
  <si>
    <t>Tbdxtime</t>
  </si>
  <si>
    <t>Monthlyloss</t>
  </si>
  <si>
    <t>Sens_RR</t>
  </si>
  <si>
    <t>All</t>
  </si>
  <si>
    <t>PZA resistance assumptions</t>
  </si>
  <si>
    <t>New Cases</t>
  </si>
  <si>
    <t>New cases tested</t>
  </si>
  <si>
    <t>% PZA resistant</t>
  </si>
  <si>
    <t xml:space="preserve"> # PZA resistant cases (New)</t>
  </si>
  <si>
    <t>Pooled % PZA resistant (New cases)</t>
  </si>
  <si>
    <t>Bangladesh</t>
  </si>
  <si>
    <t>Pakistan</t>
  </si>
  <si>
    <t>Total</t>
  </si>
  <si>
    <t>Rr cases</t>
  </si>
  <si>
    <t>RS cases</t>
  </si>
  <si>
    <t xml:space="preserve"> Rr cases tested</t>
  </si>
  <si>
    <t xml:space="preserve"> # PZA resistant cases (Rr)</t>
  </si>
  <si>
    <t>Pooled % PZA resistant  (Rr cases)</t>
  </si>
  <si>
    <t>Rs cases tested</t>
  </si>
  <si>
    <t>MFX resistance assumptions</t>
  </si>
  <si>
    <t xml:space="preserve"> New cases tested</t>
  </si>
  <si>
    <t xml:space="preserve"> # MFX resistant cases  (new)</t>
  </si>
  <si>
    <t>Pooled % MFX resistant (2.0µg/ml) (new)</t>
  </si>
  <si>
    <t xml:space="preserve">% MFZ resistant (0.5µg/ml) </t>
  </si>
  <si>
    <t xml:space="preserve"> # MFX resistant cases (new)</t>
  </si>
  <si>
    <t xml:space="preserve">Pooled % MFX resistant (0.5 µg/ml) </t>
  </si>
  <si>
    <t>Average rate of MFX r among new cases (0.5 µg/ml &amp; 2.0µg/ml)</t>
  </si>
  <si>
    <t xml:space="preserve">Total </t>
  </si>
  <si>
    <t>Rs Cases</t>
  </si>
  <si>
    <t>R-s cases tested</t>
  </si>
  <si>
    <t xml:space="preserve">% MFZ resistant (2.0µg/ml) among R-r </t>
  </si>
  <si>
    <t># MFX resistant cases (Rr)</t>
  </si>
  <si>
    <t xml:space="preserve">Pooled  % MFX resistant (2.0µg/ml) (Rr) </t>
  </si>
  <si>
    <t>Average rate of MFX r among R-r cases (0.5 µg/ml &amp; 2.0µg/ml)</t>
  </si>
  <si>
    <t>Rr Cases</t>
  </si>
  <si>
    <t xml:space="preserve"> R-r cases tested</t>
  </si>
  <si>
    <t>Sources: Zignol et al. Lancet Infect Dis 2016; 16: 1185–92</t>
  </si>
  <si>
    <t>India (source DRS survey):</t>
  </si>
  <si>
    <t>total tested</t>
  </si>
  <si>
    <t>all were smear positive</t>
  </si>
  <si>
    <t>MDR</t>
  </si>
  <si>
    <t>non-MDR</t>
  </si>
  <si>
    <t>overall</t>
  </si>
  <si>
    <t>new</t>
  </si>
  <si>
    <t>previously treated</t>
  </si>
  <si>
    <t>N</t>
  </si>
  <si>
    <t>INH</t>
  </si>
  <si>
    <t>PZA</t>
  </si>
  <si>
    <t>MOXI (mgit at 0.5ul)</t>
  </si>
  <si>
    <t>in %:</t>
  </si>
  <si>
    <t>Pooled:</t>
  </si>
  <si>
    <t>RS</t>
  </si>
  <si>
    <t>RR</t>
  </si>
  <si>
    <t>Moxi MIC &gt;2 if &gt;0.5</t>
  </si>
  <si>
    <t>MOXI 2.0</t>
  </si>
  <si>
    <t>MOXI average</t>
  </si>
  <si>
    <t>Moxi 0.5</t>
  </si>
  <si>
    <t>num</t>
  </si>
  <si>
    <t>denom</t>
  </si>
  <si>
    <t>MOXI-R-highlevel</t>
  </si>
  <si>
    <t>MOXI-R-any</t>
  </si>
  <si>
    <t>New RS</t>
  </si>
  <si>
    <t>Rerx RS</t>
  </si>
  <si>
    <t>India DRS</t>
  </si>
  <si>
    <t>HR(ZE)</t>
  </si>
  <si>
    <t>R(ZE)</t>
  </si>
  <si>
    <t>Current RR regimens, FQ-S</t>
  </si>
  <si>
    <t>Current RR regimens, FQ-R</t>
  </si>
  <si>
    <t>BPaMZ</t>
  </si>
  <si>
    <t>BPaM</t>
  </si>
  <si>
    <t>BPaZ</t>
  </si>
  <si>
    <t>BMZ</t>
  </si>
  <si>
    <t>PaMZ</t>
  </si>
  <si>
    <t>BPa</t>
  </si>
  <si>
    <t>BZ</t>
  </si>
  <si>
    <t>BM</t>
  </si>
  <si>
    <t>MZ</t>
  </si>
  <si>
    <t>PaZ</t>
  </si>
  <si>
    <t>PaM</t>
  </si>
  <si>
    <t>B</t>
  </si>
  <si>
    <t>Pa</t>
  </si>
  <si>
    <t>M</t>
  </si>
  <si>
    <t>Z</t>
  </si>
  <si>
    <t>Approach to efficacy:</t>
  </si>
  <si>
    <t>Remox, per protocol</t>
  </si>
  <si>
    <t>Failure</t>
  </si>
  <si>
    <t>OFLOTUB</t>
  </si>
  <si>
    <t>RIFAQUIN</t>
  </si>
  <si>
    <t>pooled</t>
  </si>
  <si>
    <t>2 mo conversion estimate</t>
  </si>
  <si>
    <t>notes</t>
  </si>
  <si>
    <t xml:space="preserve">For BPaZ, results for labeled (with loading) and 200mg doses are averaged. </t>
  </si>
  <si>
    <t>Assumed same as BPaZ, and this matches the 83-94% 2 mo culture conversion (low and high doses) from NC-002 pamz data</t>
  </si>
  <si>
    <t>In absence of human data, assumed same parameter as BPaZ and PaMZ</t>
  </si>
  <si>
    <t>INH resistant</t>
  </si>
  <si>
    <t>Therefore:</t>
  </si>
  <si>
    <t>probability(relapse), 6 months HRZE, H-S and R-S:</t>
  </si>
  <si>
    <t>probability(relapse), 6 months HRZE, H-R and R-S:</t>
  </si>
  <si>
    <t xml:space="preserve">implies a 2 month culture positive proportion in the INH-S patients of 87.6%, which produces the following monthly curve, for those discontinuing treatment at various time points: </t>
  </si>
  <si>
    <t>2 mo culture conversion</t>
  </si>
  <si>
    <t>HRZE, INH-S (i.e. HR(ZE))</t>
  </si>
  <si>
    <t>HRZE, INH-R (i.e. R(ZE))</t>
  </si>
  <si>
    <t>Relapse risk, by months of treatment completed:</t>
  </si>
  <si>
    <t>2 mo cx positive</t>
  </si>
  <si>
    <t>Pooled relapse</t>
  </si>
  <si>
    <t xml:space="preserve">**Note that this is different than NTP treatment success rates, but we are measuring different things (e.g. relapses are a treatment success; while patients with unknown outcomes are never counted as treatment successes yet many of them may in fact have been cured). We’ll be comparing to trial data for BPaMZ so need a similar HRZE benchmark. Differences between trials and programs will be captured in other aspects of the model, including adherence (dropout prior to 6 months, with worse outcomes) and baseline drug resistance. </t>
  </si>
  <si>
    <t xml:space="preserve"> HRZE relapse at 6 months: Use recent clinical trials, including Remox, Oflotub, Rifaquin, to estimate relapse after 6 months of 2HRZE/4HR, for rifampin-susceptible patients who completed the regimen and were at risk for recurrence. </t>
  </si>
  <si>
    <t>No at risk for failure (Per protocol)</t>
  </si>
  <si>
    <t>Death during treatment</t>
  </si>
  <si>
    <t>HRZE Relapse, any INH susceptibility (invlogit((logit(.06278)-2.5289+2.5018*log(6))/.4399))</t>
  </si>
  <si>
    <t>BPaMZ relapse (invlogit((logit(.06278)-2.5289+2.5018*log(4))/.4399) )</t>
  </si>
  <si>
    <t xml:space="preserve">% MFX resistant (2.0µg/ml, LJ) </t>
  </si>
  <si>
    <t>assuming same ratio 2.0/0.5 in India as in B and P</t>
  </si>
  <si>
    <t>"</t>
  </si>
  <si>
    <t>Assumed high-level MOXI resistant (2.0)</t>
  </si>
  <si>
    <t>Mxoi 2.0</t>
  </si>
  <si>
    <t>Wallis 2015 model: logit(relapse)=2.5289-2.5018*LN(treatment duration)+0.4399*logit(2 month culture positive proportion)</t>
  </si>
  <si>
    <t>Fit model to observed relapse for recent 2HRZE/4HR, pooled:</t>
  </si>
  <si>
    <t xml:space="preserve">Make an assumption about BPaMZ and relapse: We first note that BPaMZ 2 month outcomes in NC-005 (98.5% 2 month solid culture conversion, overnight and spot averaged, for BPaMZ recipients) yield similar predicted cure rates at 4 months in the Wallis model  as are predicted for HRZE after 6 months. It is reasonable to anticipate that if BPaMZ were adopted as a four-month regimen, it would be based on apparent noninferiority to 6 months of HRZE. Therefore, we will assume in this model's primary analysis that the proportion relapsing after 4 months of BPaMZ (of those who adhere to it and were regimen-susceptible at baseline) is equal to the proportion relapsing after 6 months of HRZE. We calculate the full treatment-time/relapse curve accordingly: </t>
  </si>
  <si>
    <t>Add treatment failure: The total number without cure, for a given time on treatment, should include both relapses (accounted for above) and failures (those not yet culture converted after a given duration). The proportion with failure will decrease over time, and for HRZE we can estimate this proportion over time fromd data at 2 mo (the proportion not culture converted at 2 mo, as used in the regression cited above) and at the end of treatment (those designated failure in clinical trials). Assume that the proportion failing is log-linear with time on treatment, between these two time points, for 6 mo HRZE:</t>
  </si>
  <si>
    <t>Failure proportion (6 months)</t>
  </si>
  <si>
    <t xml:space="preserve">Relationship between treatment duration and relapse: Use a meta-regression model based on these and other historical data (Wallis 2015, update of Wallis 2013), assuming logit(2 month culture conversion) and log(treatment duration) as linear predictors of logit(relapse), to predict the outcomes associated with 6 months of HRZE. Note that most of these trials, including Remox and Oflotub, did not exclude new INH-resistant TB (only screened for rif resistance). </t>
  </si>
  <si>
    <t>Failure/relapse ratio</t>
  </si>
  <si>
    <t>Multiplier for failure or recurrence relative to pooled outcomes, assuming 3x higher in INH-R</t>
  </si>
  <si>
    <t>INH-S</t>
  </si>
  <si>
    <t>No at risk</t>
  </si>
  <si>
    <t xml:space="preserve">Use the model as fit to data for the HRZE regimen, for which there are multiple large trials to support the coefficient estimates, to predict the proportion relapsing after any given number of months on treatment. Given absence of data by PZA or ethambuol resistance status, we assume that the prevalence of these are accounted for among the INH-S and INH-R populations. </t>
  </si>
  <si>
    <t xml:space="preserve">When resistance is present to one or more components of BPaMZ at baseline, assume only those drugs with no resistance are active. Apply the same model to the observed ratio of logit(2 month culture conversion) from NC-005 or earlier PaMZ trials to estimate the proportion who relapse. And when there is little or no data to support that the efficacy of two regimens are different, assume they share a single efficacy parameter. Sensitivity analyses should be performed for the large uncertainty in these culture-conversion parameters and outcome models. 
</t>
  </si>
  <si>
    <t>Failure or relapse, full course (data from ahuja as presented in who 2016 dr update)</t>
  </si>
  <si>
    <t>Failure or relapse, by month</t>
  </si>
  <si>
    <t>(ZE)</t>
  </si>
  <si>
    <t>BPaZ, PaMZ, or BMZ (based on human BPaZ data)</t>
  </si>
  <si>
    <t>BPaM (based on BPaMZ in Z resistant MDR pts)</t>
  </si>
  <si>
    <t>MDR, FQ-S</t>
  </si>
  <si>
    <t>MDR, FQ-R</t>
  </si>
  <si>
    <t>BPaL</t>
  </si>
  <si>
    <t>BL</t>
  </si>
  <si>
    <t>PaL</t>
  </si>
  <si>
    <t>L</t>
  </si>
  <si>
    <t>Backup regimen, RS, INH-S</t>
  </si>
  <si>
    <t>Backup regimen, RS, INH-R</t>
  </si>
  <si>
    <t>Backup regimen, RR, FQ-S</t>
  </si>
  <si>
    <t>Backup regimen, RR, FQ-R</t>
  </si>
  <si>
    <t xml:space="preserve">Assumptions: </t>
  </si>
  <si>
    <t>Treat death as simply occurring at a background mortality rate once treatment has begun (i.e. 1.3% over 6 months = 2.6%/year = an appropriate 38 year life expectancy among an adult patient population of mean age ~30)/</t>
  </si>
  <si>
    <t xml:space="preserve">Acquired resistance will comprise a portion of the failure/relapses calculated separately. </t>
  </si>
  <si>
    <t xml:space="preserve">The proportion of patients who acquire resistance will be independent of the duration of treatment received. (Because on the one hand, shorter treatment means less selective pressure, but on the other hand, longer treatment provides more opportunity for the remaining active drugs plus immune function to fully clear the resistant organisms). </t>
  </si>
  <si>
    <t xml:space="preserve">If the proportion predicted to acquire resistance is greater than the proportion predicted to fail/relapse by our model, then the proportion who fail/relapse will be increased to allow all the failure/relapses due to acquired resistance to occur. </t>
  </si>
  <si>
    <t xml:space="preserve">Probability of acquiring: </t>
  </si>
  <si>
    <t xml:space="preserve">Drugs in regimen used which had activity at baseline: </t>
  </si>
  <si>
    <t>B-R</t>
  </si>
  <si>
    <t>Pa-R</t>
  </si>
  <si>
    <t>~0.005 to 0.01 for RR acquisition overall in Menzies Plos Med 2009 (duration and intermittency); 0.008 for any ADR if initially pan-S in Lew Annals 2008; ~1% of those without INH monoresitance in Rockwood 2017</t>
  </si>
  <si>
    <t xml:space="preserve">Won't model INH and PZA resistance acquisition due to complicated interdependencies, limited data, and contribution of different historical treatment practices to the current prevalence of resistance </t>
  </si>
  <si>
    <t>In PETTS (Cegielski et al 2016 Table 2, etc), there were: 591 with initial plain MDR who didn't acquire resistance and who were treated successfully, 98 with initial MDR FQ-S (SLI-S) who didn't acquire resistance but who had poor outcomes, 5+2+4=11 with initial MDR FQ-S who acquired FQ resistance but were still treated successfully, 12+8+32=52 with initial MDR FQ-S who acquired FQ resistance and had poor outcomes. So that means that acquired FQ resistance with a poor outcome occurred in 52/752=7% of all MDR patients who didn't have FQ resistance initially. Similarly, 3.6% developed FQ-R in study 213 control arm (with more modern FQs).</t>
  </si>
  <si>
    <t>Chosen to have a combined probability of some resistance acquisition similar to that associated with HRZE, once applied to all 3 drugs (B,Pa,M). Also note ~1% acq-r delamind in study 213.</t>
  </si>
  <si>
    <t>Lew 2009 no difference, and mechanism (not active where most bacilli are)</t>
  </si>
  <si>
    <t xml:space="preserve">&lt;0.03 (0/17) with inh monoresistance acquired RR per Rockwood JID 2017. ADR increased 7-8x when initially resistant to one drug in Lew et al, but some of those were weak regimens with little room for error. </t>
  </si>
  <si>
    <t>adr_r</t>
  </si>
  <si>
    <t>adr_bpamz</t>
  </si>
  <si>
    <t>adr_mdr</t>
  </si>
  <si>
    <t>adrfactor_other</t>
  </si>
  <si>
    <t>adrfactor_z</t>
  </si>
  <si>
    <t>adrfactor_twodrugs</t>
  </si>
  <si>
    <t>adr_bpamz*adrfactor</t>
  </si>
  <si>
    <t>adr_bpamz*adrfactor_z</t>
  </si>
  <si>
    <t>adr_bpamz*adrfactor_other</t>
  </si>
  <si>
    <t>adr_bpamz*adrfactor_other*adrfactor_z</t>
  </si>
  <si>
    <t>adr_bpamz*adrfactor_twodrugs</t>
  </si>
  <si>
    <t>Model PZA as being less important for preventing resistance</t>
  </si>
  <si>
    <t>Assume monotherapy results in acquired resistance 100% of the time</t>
  </si>
  <si>
    <t xml:space="preserve">ADR increased &gt;15% to 14% when initially resistant to two drugs in Lew et al. So again, this is a conservative assumption, given that we're talking about a single drug + PZA. </t>
  </si>
  <si>
    <t>ADR parameter estimates</t>
  </si>
  <si>
    <t>We'll define a limit number of parameters:</t>
  </si>
  <si>
    <t xml:space="preserve">And use them to generate probabilities of acquiring resistance for various drug combinations: </t>
  </si>
  <si>
    <t>Active drugs in regimen:</t>
  </si>
  <si>
    <t>estimate</t>
  </si>
  <si>
    <t>DSTdelay</t>
  </si>
  <si>
    <t>Regimendelay</t>
  </si>
  <si>
    <t xml:space="preserve">Time in months that treatment is delayed, on average, by a requirement for rapid DST before starting treatment. </t>
  </si>
  <si>
    <t>DSTloss</t>
  </si>
  <si>
    <t xml:space="preserve">Fraction of patients who are initially lost due to requirement for rapid DST before starting treatment. If the average time to TB diagnosis is 10 months, then a 10% DSTloss has the same effect on average time to treatment as a 1 month DSTdelay. </t>
  </si>
  <si>
    <t>Regimenloss</t>
  </si>
  <si>
    <t xml:space="preserve">Time in months that treatment is delayed, on average, when a patient requires a non-standard regimen (i.e. a drug combination other than the preferred RS-TB regimen) </t>
  </si>
  <si>
    <t xml:space="preserve">Fraction of patients who are lost before initiating treatment when they require a non-standard regimen. </t>
  </si>
  <si>
    <t>Incidence:prevalence estimates, SEA (e.g. WHO 2016 Global TB report)</t>
  </si>
  <si>
    <t>Source/assumptions</t>
  </si>
  <si>
    <t>Adds minimal time if Xpert is also being used for TB diagnosis; may add two weeks if a send-out to a central lab</t>
  </si>
  <si>
    <t xml:space="preserve">No added loss if DST result available at same time as TB diagnostic result. </t>
  </si>
  <si>
    <t>Raizada Plos One 2018 (pediatric TB diagnosis in India) averaged ~6 days longer when DR was diagnosed. Similar for adults in Kazakhstan in van Kampen Plos One 2015</t>
  </si>
  <si>
    <t xml:space="preserve">Overall loss of 11% among Xpert-diagnosed RR in Kazakhstan, van Kampen 2015 (some of which would have occurred among DS also, presumably). 70% linkage to treatment of MDR diagnoses in Evans Plos One 2017 (JoBurg), but some of those would have been lost/died regardless, and many got LPA or phenotypic DST which may have contributed to the delays. </t>
  </si>
  <si>
    <t>Definition</t>
  </si>
  <si>
    <t xml:space="preserve">Fraction of patients lost to follow up (or accumulating enough nonadherence to experience outcomes equivalent to a loss to follow up) during each month of treatment. </t>
  </si>
  <si>
    <t>Number of additional TB cases generated per month of untreated TB</t>
  </si>
  <si>
    <t>Rate_of_spread</t>
  </si>
  <si>
    <t>Assuming an R_0 slightly less than one, and a 12 month average duration of infectiousness</t>
  </si>
  <si>
    <t>Dorman 2017</t>
  </si>
  <si>
    <t>Fraction of RR detectable by Xpert, among individuals with positive Xpert TB result</t>
  </si>
  <si>
    <t>Sens_FQ_high</t>
  </si>
  <si>
    <t>Fraction of FQ-R (moxi at MIC cutoff of 2.0 ug/ml) detectable by Xpert XDR, among individuals with positive Xpert TB result</t>
  </si>
  <si>
    <t>Xie NEJM 2017</t>
  </si>
  <si>
    <t>Not modeled for now:</t>
  </si>
  <si>
    <t xml:space="preserve">Algorithms for diagnosis and treatment </t>
  </si>
  <si>
    <t>see Moxi and PZA resistance tab calculations, and used R for binomial confidence intervals but then widened to reflect possible regional variation</t>
  </si>
  <si>
    <t>See Moxi and PZA resistance tab; range is binomial confint</t>
  </si>
  <si>
    <t>See Moxi and PZA resistance tab; range is Bangaldesh to Pakistan</t>
  </si>
  <si>
    <t>See Moxi and PZA resistance tab; range is over 3 countries</t>
  </si>
  <si>
    <t>No new regimen (0)</t>
  </si>
  <si>
    <t>New regimen considered for known RR only</t>
  </si>
  <si>
    <t>Without accelerated Xpert scale-up or Xpert XDR (1a)</t>
  </si>
  <si>
    <t>With accelerated Xpert MTB/RIF scale-up, Xpert XDR if RR (and alternative regimen if FQ-R) (1b)</t>
  </si>
  <si>
    <t>New regimen considered for all TB diagnoses</t>
  </si>
  <si>
    <t>Using shorter duration for everyone (2a)</t>
  </si>
  <si>
    <t>Using longer duration for everyone (2b)</t>
  </si>
  <si>
    <t>Would use longer duration only if RIF-R detected</t>
  </si>
  <si>
    <t>With up-front step-wise RIF DST (with accelerated Xpert scale-up), then FQ DST if RIF-R (4)</t>
  </si>
  <si>
    <t xml:space="preserve">Would use longer duration if RIF-R or if no DST, FQ-S; alternative regimen if FQ-R (RIF-R or RIF-S) </t>
  </si>
  <si>
    <t xml:space="preserve">What is the maximal impact of the most extensive novel regimen + DST intervention, (5) above, in a few key settings? </t>
  </si>
  <si>
    <t>How does the impact of (5) vs (0) [no new regimen] and (5) vs (1a) [use in RR only] depend on RR prevalence, Xpert coverage, efficacy of existing RR regimen, BPaMZ efficacy relative to HRZE, Z resistance prevalence, BPaMZ barrier to FQ resistance, use of up-front Xpert XDR, ability to also screen for B and/or Pa resistance within several years of regimen introduction</t>
  </si>
  <si>
    <t>How much of the impact of (5) is lost if certain components are removed (i.e. (4), (3), (2b), (2a))? Under what conditions (of Xpert scale-up, FQ-R and Z-R prevalence, BPaMZ efficacy, BPaMZ barriers to FQ and B/PA resistance, Xpert XDR sensitivity, and performance of BPaMZ when resistance is present), would those have worse outcomes than use for RR only (1b), by one or more of the primary outcome criteria listed below?</t>
  </si>
  <si>
    <t>regimen_s</t>
  </si>
  <si>
    <t>regimen_r</t>
  </si>
  <si>
    <t>Scenario descriptions:</t>
  </si>
  <si>
    <t>Questions from transmission model version of plan:</t>
  </si>
  <si>
    <t>Parameters that define the scenarios:</t>
  </si>
  <si>
    <t>Regimen used if confirmed or assumed to be rifampin-susceptible</t>
  </si>
  <si>
    <t>Regimen used if known to be rifampin-susceptible</t>
  </si>
  <si>
    <t>hrze</t>
  </si>
  <si>
    <t>mdr</t>
  </si>
  <si>
    <t>Xpert_current_new</t>
  </si>
  <si>
    <t>Xpert_current_rerx</t>
  </si>
  <si>
    <t>Fraction of recurrent TB patients getting Xpert before retreatment at baseline</t>
  </si>
  <si>
    <t>Fraction of new TB patients getting Xpert before treatment at baseline</t>
  </si>
  <si>
    <t>1a</t>
  </si>
  <si>
    <t>bpamz6</t>
  </si>
  <si>
    <t>1b</t>
  </si>
  <si>
    <t>2a</t>
  </si>
  <si>
    <t>bpamz4</t>
  </si>
  <si>
    <t>2b</t>
  </si>
  <si>
    <t>Scenarios</t>
  </si>
  <si>
    <t>Recurrence_interval</t>
  </si>
  <si>
    <t>And some notes about the assumed diagnostic and regimen selection process:</t>
  </si>
  <si>
    <t>Our DST and regimen scenarios don't change timing or accuracy of TB diagnosis</t>
  </si>
  <si>
    <t>Kruk 2008; losses accumulate at fairly steady rate. Assumed to be the same rate regardless of the regimen. (supported by similar monthly losses in DS and MDR after accounting for different treatment durations). Global TB Report supports ~6% total for DS-TB (perhaps more in India if many "not evaluated" are lost, or more everywhere if there is significant nonadherence that nevertheless gets documented as treatment success), and about 15-20% for DR-TB (also 1%/month cumulative)</t>
  </si>
  <si>
    <t>Patients who are considered for a novel regimen and found to have FQ-R will be given a novel alternative such as BPaL</t>
  </si>
  <si>
    <t>No DST is performed for BPa, but patients who test FQ-R and have previously received BPaMZ will be given an alternative (such as HRZE or a conventional MDR regimen)</t>
  </si>
  <si>
    <r>
      <t xml:space="preserve">INH resistance: Following the metaanalysis by Gegia et al 2017, we will model a </t>
    </r>
    <r>
      <rPr>
        <sz val="11"/>
        <color rgb="FFFF0000"/>
        <rFont val="Calibri"/>
        <family val="2"/>
        <scheme val="minor"/>
      </rPr>
      <t>3x higher rate of failure or relaps</t>
    </r>
    <r>
      <rPr>
        <sz val="11"/>
        <color theme="1"/>
        <rFont val="Calibri"/>
        <family val="2"/>
        <scheme val="minor"/>
      </rPr>
      <t xml:space="preserve">e after 6 months among those with INH resistance than those who are INH susceptible. Thus, the inh-S estimates for failures/relapse from remox and oflotub will be adjusted downward based on allocating a disproportionate share of adverse outcomes among the fraction of participants with INH-R in those trials. </t>
    </r>
  </si>
  <si>
    <t>Quantitative assumptions, or estimates from data, are highlighted in red</t>
  </si>
  <si>
    <t>Therefore, applying the same model as before:</t>
  </si>
  <si>
    <r>
      <t xml:space="preserve">For MDR treatment, assume the model by Wallis et al does not apply on the same time scales. </t>
    </r>
    <r>
      <rPr>
        <sz val="11"/>
        <color rgb="FFFF0000"/>
        <rFont val="Calibri"/>
        <family val="2"/>
        <scheme val="minor"/>
      </rPr>
      <t>Extend the timeline out by a factor of 3 relative to HRZE</t>
    </r>
    <r>
      <rPr>
        <sz val="11"/>
        <color theme="1"/>
        <rFont val="Calibri"/>
        <family val="2"/>
        <scheme val="minor"/>
      </rPr>
      <t xml:space="preserve">, and use a multiplier to get the same outcomes at the end of 18 months MDR tehrapy as get for DS after 6 months of HRZE. </t>
    </r>
  </si>
  <si>
    <r>
      <rPr>
        <sz val="11"/>
        <color rgb="FFFF0000"/>
        <rFont val="Calibri"/>
        <family val="2"/>
        <scheme val="minor"/>
      </rPr>
      <t>For two active drugs among BPaMZ, assume same outcomes as those of HRZE in INH monoresistance.</t>
    </r>
    <r>
      <rPr>
        <sz val="11"/>
        <color theme="1"/>
        <rFont val="Calibri"/>
        <family val="2"/>
        <scheme val="minor"/>
      </rPr>
      <t xml:space="preserve"> (All we have are mouse data in which 4 mo relapse after BPa looked like 2 mo bpamz relapse, and 1 mo CFU for bpamz was between 2 and 3 mo BPa CFU. )</t>
    </r>
  </si>
  <si>
    <t>(ZE) i.e. HRZE in MDR-TB</t>
  </si>
  <si>
    <r>
      <t xml:space="preserve">Assume that for patients who are considered for BPaMZ but found to have FQ-R, they are given a </t>
    </r>
    <r>
      <rPr>
        <sz val="11"/>
        <color rgb="FFFF0000"/>
        <rFont val="Calibri"/>
        <family val="2"/>
        <scheme val="minor"/>
      </rPr>
      <t xml:space="preserve">BPaL like regimen which has the same outcomes as HRZE (R-S) if both B and Pa susceptible, and which has the same outcomes as BPa or single drugs above, respectively, if only two or one of these three drugs have activity. </t>
    </r>
  </si>
  <si>
    <t>NewRIF-S</t>
  </si>
  <si>
    <t>RetreatmentRIF-S</t>
  </si>
  <si>
    <t>Plus:</t>
  </si>
  <si>
    <t>novelcoverage</t>
  </si>
  <si>
    <t>What fraction of eligible patients are considered for the novel regimen and/or novel DST</t>
  </si>
  <si>
    <t>xpertgap</t>
  </si>
  <si>
    <t>What fraction of the current Xpert gap (1-xpertprob_current_new, or 1-xpertprob_current_rerx) persists in the increased Xpert scenarios?</t>
  </si>
  <si>
    <t>xscaleup</t>
  </si>
  <si>
    <t>Qualitatively, how does xpert coverage after novel regimen and DST implementation compare with current coverage?</t>
  </si>
  <si>
    <t>current</t>
  </si>
  <si>
    <t>increased</t>
  </si>
  <si>
    <t>none</t>
  </si>
  <si>
    <t>xpertxdr</t>
  </si>
  <si>
    <t>stepwise</t>
  </si>
  <si>
    <t>simultaneous</t>
  </si>
  <si>
    <t xml:space="preserve">Is Xpert XDR used for everyone who is being considered for a novel regimen (simultaneous), only when they are known to have RR-TB (stepwise), or not at all? </t>
  </si>
  <si>
    <t>Monthlymortality_TB</t>
  </si>
  <si>
    <t>Monthlymortality_background</t>
  </si>
  <si>
    <t>adr_r*adrfactor_other</t>
  </si>
  <si>
    <t>pooled_INH_fraction</t>
  </si>
  <si>
    <t>See below</t>
  </si>
  <si>
    <t>Fraction of patients who are lost before treatment regardless of the DST or regimen used</t>
  </si>
  <si>
    <t>When the same regimen may select resistance to more than one drug, the probabilities are appied independently, so that the probability of acquiring resistance to drugs A or  B is the product of the probabilities of acquiring resistance to A and resistance to B</t>
  </si>
  <si>
    <t>Relapses will be calculated among those who haven't failed</t>
  </si>
  <si>
    <t>failure : [relapse/(1-failure)] ratio</t>
  </si>
  <si>
    <t>Average ratio failures to relapses</t>
  </si>
  <si>
    <t>Relapses highest rate at 5 mo, median time ~11 months, and mean time around 2 years post-Rx (Marx 2014)</t>
  </si>
  <si>
    <t>In months, average time among those who relapse, from the end of initial treatment to relapsed (not yet diagnosed) TB.</t>
  </si>
  <si>
    <t>Average in months, from start of active TB, for new TB patients who eventually present to care</t>
  </si>
  <si>
    <t>Unavoidableloss</t>
  </si>
  <si>
    <t xml:space="preserve">And assume that if failed/relapsed after BPaMZ or BPaL, they are given either HRZE or a conventional RR regimen depending on their RR status. </t>
  </si>
  <si>
    <t>Probability of relapse, by months completed</t>
  </si>
  <si>
    <t>Effect of partial moxi activity:</t>
  </si>
  <si>
    <t xml:space="preserve">We'll apply the same to odds ratio of recurrence (after checking that odds ratio of recurrence for BPaZ vs BPaMZ is equivalent at 4 and a 6 months in our model, since we are applying this OR to very different durations and regimens than conventioanl MDR treatment). </t>
  </si>
  <si>
    <t>We'll also apply it to conventional MDR regimens, since use of modern fluoroquinolones (or DST And alternative regiens) makes for better than historical outcomes when FQ-R is present in absense of other high level resistance.</t>
  </si>
  <si>
    <r>
      <t xml:space="preserve">  in Menzies LAncet 2018, </t>
    </r>
    <r>
      <rPr>
        <sz val="11"/>
        <color rgb="FFFF0000"/>
        <rFont val="Calibri"/>
        <family val="2"/>
        <scheme val="minor"/>
      </rPr>
      <t>1.7x</t>
    </r>
    <r>
      <rPr>
        <sz val="11"/>
        <color theme="1"/>
        <rFont val="Calibri"/>
        <family val="2"/>
        <scheme val="minor"/>
      </rPr>
      <t xml:space="preserve"> aOR of treatment success with moxi/lvq vs oflox when intermediate fq resistance</t>
    </r>
  </si>
  <si>
    <t xml:space="preserve">And we'll add a parameter for how much partial activity of moxi reduces ADR to other drugs. It should reduce adr_bpamz by less than adrfactor_other (when M or B/Pa are fully resistant) raises it. </t>
  </si>
  <si>
    <t>Sens_FQ_low</t>
  </si>
  <si>
    <t>Fraction of FQ-R (moxi MIC at least 0.5 ug/ml but below 2.0) detectable by Xpert XDR, among individuals with positive Xpert TB result</t>
  </si>
  <si>
    <t>Xie NEJM 2017, (78-51)/(89-53) in table 2, with binomial confidence interval</t>
  </si>
  <si>
    <t>Not modeling different roles for different drugs here, but maybe outcomes should be worse since we're losing sterilizing activity too for most of these</t>
  </si>
  <si>
    <r>
      <t xml:space="preserve">For &lt;=1 active drug among BPaMZ, and for HRZE used in MDR, </t>
    </r>
    <r>
      <rPr>
        <sz val="11"/>
        <color rgb="FFFF0000"/>
        <rFont val="Calibri"/>
        <family val="2"/>
        <scheme val="minor"/>
      </rPr>
      <t xml:space="preserve">use limited historical on MDR outcomes on first-line therapy, to assume only 20% success, which may be self cure. We'll also cap poor outcomes at 80% for all other regimens. </t>
    </r>
  </si>
  <si>
    <t>And there could also be a risk of m-&gt;M (that higher level moxi resistance develops), relative to the risk of MOXI res if MOXI started fully susceptible. But the dynamics of how moxi resistance evolves are complicated, so we will assume for ADR purposes that all new ADR that's selected by TB treatment is high-level resistance, and that the probability of developing it is the same for low-level as for no baseline resistance.</t>
  </si>
  <si>
    <t>say, adrfactor_partialmoxi=0.67, so that the effect is intermediate between full moxi and no moxi</t>
  </si>
  <si>
    <t>HIV</t>
  </si>
  <si>
    <t>HIV+</t>
  </si>
  <si>
    <t>HIV-</t>
  </si>
  <si>
    <t>Smearpos</t>
  </si>
  <si>
    <t>Wood Lawn et al Plos One 2013, Feldacker Trop Med Int Health 2012</t>
  </si>
  <si>
    <t>Wood Lawn et al Plos One 2013, Feldacker Trop Med Int Health 2012, Kunkel BMC Inf Dis 2016</t>
  </si>
  <si>
    <t xml:space="preserve">Dorman 2017.  Assuming same detectability regardless of drug resistance phenotype or treatment history. Modeling pulmonary TB only. Modeling sensitivity not relative to gold standard, but relative to clinical practice including clinician judgment and any culture that is routinely used. </t>
  </si>
  <si>
    <t>Fraction Xpert positive, among smear-positive patients diagnosed with pulmonary TB (i.e. denominator may include nonbacteriologic diagnoses)</t>
  </si>
  <si>
    <t>Fraction Xpert positive, among smear-negative patients diagnosed with pulmonary TB (i.e. denominator may include nonbacteriologic diagnoses)</t>
  </si>
  <si>
    <t>Sens_TB_smearpos</t>
  </si>
  <si>
    <t>Sens_TB_smearneg</t>
  </si>
  <si>
    <t>Monthlymortality_HIV</t>
  </si>
  <si>
    <t>Assumes ~40year remaining life expectancy among adult tb patients</t>
  </si>
  <si>
    <t>Assumes near 25% death at 1 year. Consistent with CFRs and with historical data on natural history (about half alive at 3 years)</t>
  </si>
  <si>
    <t xml:space="preserve">South Africa ~0.0012, India 0.0025, Tanzania 0.0017, etc. UNAIDS data http://www.unaids.org/en/regionscountries/countries/deaths over prevalence. Likely higher among those who develop TB, but we're going to count TB death additionally. Similar (~50% higher) in Tanzania, </t>
  </si>
  <si>
    <t>(data from ahuja as presented in who 2016 dr update)</t>
  </si>
  <si>
    <t>Also assume that H(ZE) results in same outcomes as (ZE) or single novel drug since nothing to sterilize, with acquired INH-R</t>
  </si>
  <si>
    <t>Xpert_max</t>
  </si>
  <si>
    <t>Maximum fraction of pulm TB that can access Xpert</t>
  </si>
  <si>
    <t>Relative time to re-diagnosis, from start of TB recurrence (due to relapse or reinfection), for individuals with a history of TB who are eventually diagnosed again</t>
  </si>
  <si>
    <t>Tbdxtime_recurrenceratio</t>
  </si>
  <si>
    <t>12% in India, &lt;10% in most SEA countries</t>
  </si>
  <si>
    <t>SEA in WHO global report 2018</t>
  </si>
  <si>
    <t>Bangladesh 1.6% 2011, Pakistan 4.2% 2013, India 2.8% (2.3-3.5) in 2014-16 DRS, India 2.2 (1.9-2.6) based on subnationa surveys, ~2006</t>
  </si>
  <si>
    <t>13% (4.3-25) estimate for SEA in WHO 2018</t>
  </si>
  <si>
    <t>29 (22-36) bangladesh 2011 but presumably decreasing since as up-front detection improves; 16 pakistan (2015); 12 (10-13) for India DRS 2014-16</t>
  </si>
  <si>
    <t>Will depend on recent extent of up-front DST, so wide tolerance on the low end but top end coming down with better detection relative to the 25% in 2018 global report</t>
  </si>
  <si>
    <t>probably some correlation with pza-r but Alame IJTLD 2015 suggests it is weak, and small N, so assumed independence for now</t>
  </si>
  <si>
    <t>WHO SEA 2017 notifcation data (see R code, bpamz_cohort_setup.R)</t>
  </si>
  <si>
    <t>villellas…andries JAC 2017, 8/347 MDR (and 0.7% non-MDR) had Rv0678 variants with high MIC</t>
  </si>
  <si>
    <t>WHO global report 2018 for SEA, lower bound is if all 45% unknowns are HIV neg, upper is if their HIV prev is higher.</t>
  </si>
  <si>
    <t>S Af</t>
  </si>
  <si>
    <t>Setting and source, SEA</t>
  </si>
  <si>
    <t>Source, Saf</t>
  </si>
  <si>
    <t>see same R code</t>
  </si>
  <si>
    <t>Zignol, both SA sites</t>
  </si>
  <si>
    <t>Zignol, weighted average of 2 SA sites</t>
  </si>
  <si>
    <t>Zignol, weighted average of 2 SA sites, 0.5ug/ml</t>
  </si>
  <si>
    <t>http://www.nicd.ac.za/assets/files/K-12750%20NICD%20National%20Survey%20Report_Dev_V11-LR.pdf</t>
  </si>
  <si>
    <t>Glboal report 2018</t>
  </si>
  <si>
    <t>as for SEA</t>
  </si>
  <si>
    <t xml:space="preserve">Averages of overnight and spot solid culture results. When no spot culture was performed (BPaM), extrapolates from the difference between overnight and spot sensitivity for other regimens, to a value similarly intermediate between BPaZ and BPaMZ (Z-s) outcomes. </t>
  </si>
  <si>
    <t>Global Report 2018, SEA, with increase since collection of those data</t>
  </si>
  <si>
    <t>Global Report 2018, SEA, with projected increase to 2019 assume 2017-18 trend continues</t>
  </si>
  <si>
    <t>South Africa WHO global report 2018 ~68% of all prev treated tested for RR -&gt; .68/.89/.9 = __ of Xpert+ pulmonary cases. as an example of a country with moderate rosources that has tried to scale up nationally. India has goal of doing the same. Assume can push slightly higher</t>
  </si>
  <si>
    <t xml:space="preserve">Similarly for rifampin monoresistance H(ZE), no sterilizing drug so don't follow same time scales. </t>
  </si>
  <si>
    <t>In Fox W IJTLD 1999 at https://www.ingentaconnect.com/contentone/iuatld/ijtld/1999/00000003/A00210s2/art00001#, 77% 2 mo culture conversion, and 18% relapse after 6 mo rx. i.e. wallis model doesn't apply (no sterilizing drug), so take same approach as for MDR, using relapse rate at 9 months (5%) and scaling duration in log term by 1.5</t>
  </si>
  <si>
    <t>H(ZE)</t>
  </si>
  <si>
    <t>OR-PZA-if-MOXI</t>
  </si>
  <si>
    <t xml:space="preserve">IJTLD 2015 Alame-Emane , among RR 10 PZA only, 12 PZA and FQ, 24 neither, 10 FQ only.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</si>
</sst>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000"/>
  </numFmts>
  <fonts count="16" x14ac:knownFonts="1">
    <font>
      <sz val="11"/>
      <color theme="1"/>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b/>
      <sz val="11"/>
      <color theme="9"/>
      <name val="Calibri"/>
      <family val="2"/>
      <scheme val="minor"/>
    </font>
    <font>
      <sz val="11"/>
      <color theme="9"/>
      <name val="Calibri"/>
      <family val="2"/>
      <scheme val="minor"/>
    </font>
    <font>
      <b/>
      <sz val="10"/>
      <color theme="1"/>
      <name val="Calibri"/>
      <family val="2"/>
      <scheme val="minor"/>
    </font>
    <font>
      <sz val="11"/>
      <color rgb="FF000000"/>
      <name val="Calibri"/>
      <family val="2"/>
      <scheme val="minor"/>
    </font>
    <font>
      <b/>
      <sz val="11"/>
      <color rgb="FFFF0000"/>
      <name val="Calibri"/>
      <family val="2"/>
      <scheme val="minor"/>
    </font>
    <font>
      <sz val="10"/>
      <color rgb="FF000000"/>
      <name val="Calibri"/>
      <family val="2"/>
      <scheme val="minor"/>
    </font>
    <font>
      <b/>
      <i/>
      <sz val="11"/>
      <color theme="1"/>
      <name val="Calibri"/>
      <family val="2"/>
      <scheme val="minor"/>
    </font>
    <font>
      <sz val="11"/>
      <color rgb="FFFF0000"/>
      <name val="Calibri"/>
      <family val="2"/>
      <scheme val="minor"/>
    </font>
    <font>
      <i/>
      <sz val="11"/>
      <color theme="1"/>
      <name val="Calibri"/>
      <family val="2"/>
      <scheme val="minor"/>
    </font>
    <font>
      <b/>
      <sz val="11"/>
      <name val="Calibri"/>
      <family val="2"/>
      <scheme val="minor"/>
    </font>
    <font>
      <sz val="11"/>
      <name val="Calibri"/>
      <family val="2"/>
      <scheme val="minor"/>
    </font>
    <font>
      <sz val="8"/>
      <color rgb="FF3C4043"/>
      <name val="Arial"/>
      <family val="2"/>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tint="-0.249977111117893"/>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84">
    <xf numFmtId="0" fontId="0" fillId="0" borderId="0" xfId="0"/>
    <xf numFmtId="0" fontId="0" fillId="0" borderId="0" xfId="0" applyFill="1"/>
    <xf numFmtId="10" fontId="0" fillId="0" borderId="0" xfId="0" applyNumberFormat="1" applyFill="1"/>
    <xf numFmtId="0" fontId="1" fillId="0" borderId="0" xfId="0" applyFont="1"/>
    <xf numFmtId="0" fontId="1" fillId="0" borderId="0" xfId="0" applyFont="1" applyAlignment="1">
      <alignment vertical="center"/>
    </xf>
    <xf numFmtId="0" fontId="0" fillId="0" borderId="0" xfId="0" applyFill="1" applyBorder="1"/>
    <xf numFmtId="9" fontId="0" fillId="0" borderId="0" xfId="1" applyFont="1" applyFill="1"/>
    <xf numFmtId="0" fontId="3" fillId="0" borderId="0" xfId="0" applyFont="1"/>
    <xf numFmtId="0" fontId="3" fillId="0" borderId="0" xfId="0" applyFont="1" applyBorder="1" applyAlignment="1"/>
    <xf numFmtId="0" fontId="0" fillId="0" borderId="0" xfId="0" applyBorder="1" applyAlignment="1"/>
    <xf numFmtId="0" fontId="6" fillId="2" borderId="1" xfId="0" applyFont="1" applyFill="1" applyBorder="1" applyAlignment="1">
      <alignment horizontal="center" wrapText="1"/>
    </xf>
    <xf numFmtId="0" fontId="3" fillId="0" borderId="0" xfId="0" applyFont="1" applyFill="1" applyBorder="1" applyAlignment="1">
      <alignment horizontal="center" wrapText="1"/>
    </xf>
    <xf numFmtId="0" fontId="0" fillId="0" borderId="0" xfId="0" applyAlignment="1">
      <alignment wrapText="1"/>
    </xf>
    <xf numFmtId="0" fontId="7" fillId="0" borderId="1" xfId="0" applyFont="1" applyBorder="1" applyAlignment="1">
      <alignment horizontal="center" wrapText="1" readingOrder="1"/>
    </xf>
    <xf numFmtId="0" fontId="0" fillId="0" borderId="1" xfId="0" applyFont="1" applyBorder="1" applyAlignment="1">
      <alignment horizontal="center"/>
    </xf>
    <xf numFmtId="164" fontId="7" fillId="0" borderId="1" xfId="0" applyNumberFormat="1" applyFont="1" applyBorder="1" applyAlignment="1">
      <alignment horizontal="center" wrapText="1" readingOrder="1"/>
    </xf>
    <xf numFmtId="1" fontId="0" fillId="0" borderId="1" xfId="0" applyNumberFormat="1" applyFont="1" applyBorder="1" applyAlignment="1">
      <alignment horizontal="center"/>
    </xf>
    <xf numFmtId="164" fontId="1" fillId="0" borderId="1" xfId="1" applyNumberFormat="1" applyFont="1" applyBorder="1" applyAlignment="1">
      <alignment horizontal="left"/>
    </xf>
    <xf numFmtId="0" fontId="0" fillId="0" borderId="0" xfId="0" applyBorder="1" applyAlignment="1">
      <alignment horizontal="center"/>
    </xf>
    <xf numFmtId="0" fontId="3" fillId="3" borderId="1" xfId="0" applyFont="1" applyFill="1" applyBorder="1" applyAlignment="1">
      <alignment horizontal="center"/>
    </xf>
    <xf numFmtId="1" fontId="3" fillId="3" borderId="1" xfId="0" applyNumberFormat="1" applyFont="1" applyFill="1" applyBorder="1" applyAlignment="1">
      <alignment horizontal="center"/>
    </xf>
    <xf numFmtId="164" fontId="8" fillId="3" borderId="1" xfId="1" applyNumberFormat="1" applyFont="1" applyFill="1" applyBorder="1" applyAlignment="1">
      <alignment horizontal="center"/>
    </xf>
    <xf numFmtId="164" fontId="8" fillId="0" borderId="0" xfId="1" applyNumberFormat="1" applyFont="1" applyFill="1" applyBorder="1" applyAlignment="1">
      <alignment horizontal="center"/>
    </xf>
    <xf numFmtId="0" fontId="1" fillId="0" borderId="0" xfId="0" applyFont="1" applyAlignment="1">
      <alignment horizontal="left"/>
    </xf>
    <xf numFmtId="0" fontId="9" fillId="2" borderId="1" xfId="0" applyFont="1" applyFill="1" applyBorder="1" applyAlignment="1">
      <alignment horizontal="left" wrapText="1" readingOrder="1"/>
    </xf>
    <xf numFmtId="0" fontId="1" fillId="2" borderId="1" xfId="0" applyFont="1" applyFill="1" applyBorder="1" applyAlignment="1">
      <alignment horizontal="center"/>
    </xf>
    <xf numFmtId="0" fontId="9" fillId="0" borderId="1" xfId="0" applyFont="1" applyFill="1" applyBorder="1" applyAlignment="1">
      <alignment horizontal="center" wrapText="1" readingOrder="1"/>
    </xf>
    <xf numFmtId="0" fontId="1" fillId="0" borderId="1" xfId="0" applyFont="1" applyBorder="1" applyAlignment="1">
      <alignment horizontal="center"/>
    </xf>
    <xf numFmtId="1" fontId="0" fillId="0" borderId="1" xfId="0" applyNumberFormat="1" applyBorder="1" applyAlignment="1">
      <alignment horizontal="center"/>
    </xf>
    <xf numFmtId="0" fontId="1" fillId="0" borderId="0" xfId="0" applyFont="1" applyBorder="1" applyAlignment="1">
      <alignment horizontal="left"/>
    </xf>
    <xf numFmtId="0" fontId="9" fillId="0" borderId="0" xfId="0" applyFont="1" applyFill="1" applyBorder="1" applyAlignment="1">
      <alignment horizontal="left" wrapText="1" readingOrder="1"/>
    </xf>
    <xf numFmtId="0" fontId="6" fillId="2" borderId="1" xfId="0" applyFont="1" applyFill="1" applyBorder="1" applyAlignment="1">
      <alignment vertical="top" wrapText="1"/>
    </xf>
    <xf numFmtId="0" fontId="6" fillId="2" borderId="1" xfId="0" applyFont="1" applyFill="1" applyBorder="1" applyAlignment="1">
      <alignment horizontal="center" vertical="top" wrapText="1"/>
    </xf>
    <xf numFmtId="164" fontId="0" fillId="0" borderId="1" xfId="1" applyNumberFormat="1" applyFont="1" applyBorder="1"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1" xfId="0" applyBorder="1"/>
    <xf numFmtId="0" fontId="0" fillId="3" borderId="1" xfId="0" applyFill="1" applyBorder="1" applyAlignment="1">
      <alignment horizontal="center"/>
    </xf>
    <xf numFmtId="164" fontId="3" fillId="3" borderId="1" xfId="1" applyNumberFormat="1" applyFont="1" applyFill="1" applyBorder="1" applyAlignment="1">
      <alignment horizontal="center"/>
    </xf>
    <xf numFmtId="1" fontId="3" fillId="3" borderId="1" xfId="1" applyNumberFormat="1" applyFont="1" applyFill="1" applyBorder="1" applyAlignment="1">
      <alignment horizontal="center"/>
    </xf>
    <xf numFmtId="164" fontId="8" fillId="3" borderId="1" xfId="0" applyNumberFormat="1" applyFont="1" applyFill="1" applyBorder="1" applyAlignment="1">
      <alignment horizontal="center"/>
    </xf>
    <xf numFmtId="0" fontId="1" fillId="2" borderId="1" xfId="0" applyFont="1" applyFill="1" applyBorder="1"/>
    <xf numFmtId="0" fontId="3" fillId="0" borderId="1" xfId="0" applyFont="1" applyBorder="1" applyAlignment="1">
      <alignment horizontal="center"/>
    </xf>
    <xf numFmtId="1" fontId="3" fillId="0" borderId="1" xfId="0" applyNumberFormat="1" applyFont="1" applyBorder="1" applyAlignment="1">
      <alignment horizontal="center"/>
    </xf>
    <xf numFmtId="164" fontId="3" fillId="0" borderId="1" xfId="1" applyNumberFormat="1" applyFont="1" applyBorder="1" applyAlignment="1">
      <alignment horizontal="center"/>
    </xf>
    <xf numFmtId="0" fontId="3" fillId="0" borderId="1" xfId="0" applyFont="1" applyBorder="1"/>
    <xf numFmtId="0" fontId="0" fillId="0" borderId="2" xfId="0" applyBorder="1" applyAlignment="1"/>
    <xf numFmtId="1" fontId="0" fillId="0" borderId="0" xfId="0" applyNumberFormat="1"/>
    <xf numFmtId="164" fontId="0" fillId="0" borderId="0" xfId="1" applyNumberFormat="1" applyFont="1"/>
    <xf numFmtId="164" fontId="0" fillId="5" borderId="0" xfId="1" applyNumberFormat="1" applyFont="1" applyFill="1"/>
    <xf numFmtId="10" fontId="0" fillId="0" borderId="0" xfId="1" applyNumberFormat="1" applyFont="1"/>
    <xf numFmtId="164" fontId="3" fillId="0" borderId="0" xfId="1" applyNumberFormat="1" applyFont="1"/>
    <xf numFmtId="164" fontId="0" fillId="0" borderId="0" xfId="1" applyNumberFormat="1" applyFont="1" applyFill="1"/>
    <xf numFmtId="164" fontId="0" fillId="0" borderId="0" xfId="1" applyNumberFormat="1" applyFont="1" applyFill="1" applyBorder="1"/>
    <xf numFmtId="0" fontId="10" fillId="0" borderId="0" xfId="0" applyFont="1"/>
    <xf numFmtId="0" fontId="0" fillId="0" borderId="0" xfId="0" applyAlignment="1">
      <alignment horizontal="left"/>
    </xf>
    <xf numFmtId="0" fontId="0" fillId="0" borderId="0" xfId="0" applyAlignment="1"/>
    <xf numFmtId="165" fontId="0" fillId="0" borderId="3" xfId="0" applyNumberFormat="1" applyBorder="1" applyAlignment="1">
      <alignment vertical="center" wrapText="1"/>
    </xf>
    <xf numFmtId="166" fontId="0" fillId="0" borderId="0" xfId="0" applyNumberFormat="1"/>
    <xf numFmtId="166" fontId="3" fillId="0" borderId="0" xfId="0" applyNumberFormat="1" applyFont="1"/>
    <xf numFmtId="0" fontId="0" fillId="3" borderId="0" xfId="0" applyFill="1"/>
    <xf numFmtId="0" fontId="0" fillId="6" borderId="0" xfId="0" applyFill="1"/>
    <xf numFmtId="0" fontId="12" fillId="0" borderId="0" xfId="0" applyFont="1"/>
    <xf numFmtId="0" fontId="0" fillId="0" borderId="0" xfId="0" applyAlignment="1">
      <alignment vertical="center"/>
    </xf>
    <xf numFmtId="0" fontId="12" fillId="0" borderId="0" xfId="0" applyFont="1" applyAlignment="1">
      <alignment vertical="center"/>
    </xf>
    <xf numFmtId="0" fontId="0" fillId="0" borderId="0" xfId="0" applyFont="1"/>
    <xf numFmtId="0" fontId="11" fillId="3" borderId="0" xfId="0" applyFont="1" applyFill="1"/>
    <xf numFmtId="0" fontId="11" fillId="0" borderId="0" xfId="0" applyFont="1"/>
    <xf numFmtId="9" fontId="11" fillId="0" borderId="0" xfId="1" applyFont="1"/>
    <xf numFmtId="0" fontId="11" fillId="3" borderId="3" xfId="0" applyFont="1" applyFill="1" applyBorder="1" applyAlignment="1">
      <alignment vertical="center" wrapText="1"/>
    </xf>
    <xf numFmtId="0" fontId="13" fillId="3" borderId="0" xfId="0" applyFont="1" applyFill="1"/>
    <xf numFmtId="165" fontId="14" fillId="3" borderId="3" xfId="0" applyNumberFormat="1" applyFont="1" applyFill="1" applyBorder="1" applyAlignment="1">
      <alignment vertical="center" wrapText="1"/>
    </xf>
    <xf numFmtId="0" fontId="14" fillId="0" borderId="0" xfId="0" applyFont="1"/>
    <xf numFmtId="165" fontId="11" fillId="0" borderId="3" xfId="0" applyNumberFormat="1" applyFont="1" applyFill="1" applyBorder="1" applyAlignment="1">
      <alignment vertical="center" wrapText="1"/>
    </xf>
    <xf numFmtId="0" fontId="15" fillId="0" borderId="0" xfId="0" applyFont="1"/>
    <xf numFmtId="0" fontId="4" fillId="0" borderId="1" xfId="0" applyFont="1" applyBorder="1" applyAlignment="1">
      <alignment horizontal="left"/>
    </xf>
    <xf numFmtId="0" fontId="3" fillId="2" borderId="1" xfId="0" applyFont="1" applyFill="1" applyBorder="1" applyAlignment="1"/>
    <xf numFmtId="0" fontId="4" fillId="0" borderId="1" xfId="0" applyFont="1" applyBorder="1" applyAlignment="1"/>
    <xf numFmtId="0" fontId="5" fillId="0" borderId="1" xfId="0" applyFont="1" applyBorder="1" applyAlignment="1"/>
    <xf numFmtId="0" fontId="4" fillId="0" borderId="1" xfId="0" applyFont="1" applyFill="1" applyBorder="1" applyAlignment="1">
      <alignment horizontal="left" wrapText="1" readingOrder="1"/>
    </xf>
    <xf numFmtId="0" fontId="3" fillId="4" borderId="1" xfId="0" applyFont="1" applyFill="1" applyBorder="1" applyAlignment="1"/>
    <xf numFmtId="0" fontId="0" fillId="4" borderId="1" xfId="0" applyFill="1" applyBorder="1" applyAlignment="1"/>
    <xf numFmtId="2" fontId="0" fillId="0" borderId="0" xfId="1" applyNumberFormat="1" applyFont="1"/>
    <xf numFmtId="2" fontId="0" fillId="0" borderId="0" xfId="1" applyNumberFormat="1"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abSelected="1" workbookViewId="0">
      <selection activeCell="B4" sqref="B4"/>
    </sheetView>
  </sheetViews>
  <sheetFormatPr defaultRowHeight="14.4" x14ac:dyDescent="0.3"/>
  <cols>
    <col min="1" max="1" width="15.88671875" customWidth="1"/>
    <col min="2" max="2" width="20.33203125" customWidth="1"/>
    <col min="3" max="3" width="12.88671875" style="48" customWidth="1"/>
    <col min="4" max="7" width="8.33203125" style="48" customWidth="1"/>
    <col min="8" max="8" width="42.109375" customWidth="1"/>
    <col min="9" max="9" width="34.6640625" customWidth="1"/>
    <col min="10" max="10" width="21.44140625" customWidth="1"/>
  </cols>
  <sheetData>
    <row r="1" spans="1:10" s="7" customFormat="1" x14ac:dyDescent="0.3">
      <c r="A1" s="7" t="s">
        <v>5</v>
      </c>
      <c r="B1" s="7" t="s">
        <v>6</v>
      </c>
      <c r="C1" s="51" t="s">
        <v>13</v>
      </c>
      <c r="D1" s="51" t="s">
        <v>15</v>
      </c>
      <c r="E1" s="51" t="s">
        <v>14</v>
      </c>
      <c r="F1" s="51" t="s">
        <v>351</v>
      </c>
      <c r="G1" s="51" t="s">
        <v>353</v>
      </c>
      <c r="H1" s="7" t="s">
        <v>352</v>
      </c>
      <c r="I1" s="7" t="s">
        <v>7</v>
      </c>
      <c r="J1" s="7" t="s">
        <v>8</v>
      </c>
    </row>
    <row r="2" spans="1:10" x14ac:dyDescent="0.3">
      <c r="A2" t="s">
        <v>12</v>
      </c>
      <c r="B2" t="s">
        <v>26</v>
      </c>
      <c r="C2" s="48">
        <v>0.1</v>
      </c>
      <c r="D2" s="48">
        <v>7.0000000000000007E-2</v>
      </c>
      <c r="E2" s="48">
        <v>0.13</v>
      </c>
      <c r="F2" s="48">
        <v>0.9</v>
      </c>
      <c r="G2" s="48" t="s">
        <v>354</v>
      </c>
      <c r="H2" t="s">
        <v>348</v>
      </c>
      <c r="I2" t="s">
        <v>341</v>
      </c>
    </row>
    <row r="3" spans="1:10" x14ac:dyDescent="0.3">
      <c r="A3" s="1" t="s">
        <v>0</v>
      </c>
      <c r="B3" s="2" t="s">
        <v>11</v>
      </c>
      <c r="C3" s="52">
        <v>2.7E-2</v>
      </c>
      <c r="D3" s="52">
        <v>1.7999999999999999E-2</v>
      </c>
      <c r="E3" s="52">
        <v>3.5999999999999997E-2</v>
      </c>
      <c r="F3" s="52">
        <v>3.4000000000000002E-2</v>
      </c>
      <c r="G3" s="52"/>
      <c r="H3" s="1" t="s">
        <v>342</v>
      </c>
      <c r="I3" t="s">
        <v>343</v>
      </c>
    </row>
    <row r="4" spans="1:10" x14ac:dyDescent="0.3">
      <c r="A4" s="1" t="s">
        <v>0</v>
      </c>
      <c r="B4" s="1" t="s">
        <v>12</v>
      </c>
      <c r="C4" s="52">
        <v>0.13</v>
      </c>
      <c r="D4" s="52">
        <v>0.05</v>
      </c>
      <c r="E4" s="52">
        <v>0.2</v>
      </c>
      <c r="F4" s="52">
        <v>7.0999999999999994E-2</v>
      </c>
      <c r="G4" s="52"/>
      <c r="H4" s="1" t="s">
        <v>344</v>
      </c>
      <c r="I4" s="4" t="s">
        <v>345</v>
      </c>
      <c r="J4" s="3" t="s">
        <v>346</v>
      </c>
    </row>
    <row r="5" spans="1:10" x14ac:dyDescent="0.3">
      <c r="A5" s="1" t="s">
        <v>3</v>
      </c>
      <c r="B5" s="1" t="s">
        <v>1</v>
      </c>
      <c r="C5" s="52">
        <v>5.1299507536188622E-2</v>
      </c>
      <c r="D5" s="52">
        <v>5.0000000000000001E-3</v>
      </c>
      <c r="E5" s="52">
        <v>6.5000000000000002E-2</v>
      </c>
      <c r="F5" s="52">
        <v>1.2999999999999999E-2</v>
      </c>
      <c r="G5" s="52" t="s">
        <v>355</v>
      </c>
      <c r="H5" s="1" t="s">
        <v>10</v>
      </c>
      <c r="I5" s="4"/>
      <c r="J5" t="s">
        <v>226</v>
      </c>
    </row>
    <row r="6" spans="1:10" x14ac:dyDescent="0.3">
      <c r="A6" s="1" t="s">
        <v>3</v>
      </c>
      <c r="B6" s="1" t="s">
        <v>0</v>
      </c>
      <c r="C6" s="52">
        <v>0.28999999999999998</v>
      </c>
      <c r="D6" s="52">
        <v>0.2</v>
      </c>
      <c r="E6" s="53">
        <v>0.4</v>
      </c>
      <c r="F6" s="53">
        <f>(0.391*39+0.491*34)/(39+34)</f>
        <v>0.43757534246575341</v>
      </c>
      <c r="G6" s="53" t="s">
        <v>356</v>
      </c>
      <c r="H6" s="5" t="s">
        <v>9</v>
      </c>
      <c r="I6" s="4"/>
      <c r="J6" t="s">
        <v>226</v>
      </c>
    </row>
    <row r="7" spans="1:10" x14ac:dyDescent="0.3">
      <c r="A7" s="1" t="s">
        <v>83</v>
      </c>
      <c r="B7" s="1" t="s">
        <v>1</v>
      </c>
      <c r="C7" s="52">
        <v>3.5656895306859206E-2</v>
      </c>
      <c r="D7" s="52">
        <v>0.02</v>
      </c>
      <c r="E7" s="52">
        <v>0.08</v>
      </c>
      <c r="F7" s="52">
        <v>4.0000000000000001E-3</v>
      </c>
      <c r="G7" s="53" t="s">
        <v>357</v>
      </c>
      <c r="H7" s="5" t="s">
        <v>229</v>
      </c>
      <c r="J7" s="65" t="s">
        <v>347</v>
      </c>
    </row>
    <row r="8" spans="1:10" x14ac:dyDescent="0.3">
      <c r="A8" s="1" t="s">
        <v>83</v>
      </c>
      <c r="B8" s="1" t="s">
        <v>0</v>
      </c>
      <c r="C8" s="52">
        <v>0.15223027718550106</v>
      </c>
      <c r="D8" s="52">
        <v>0.12</v>
      </c>
      <c r="E8" s="52">
        <v>0.19</v>
      </c>
      <c r="F8" s="52">
        <f>(0.084*41+0.122*33)/(41+33)</f>
        <v>0.10094594594594596</v>
      </c>
      <c r="G8" s="53" t="s">
        <v>356</v>
      </c>
      <c r="H8" s="6" t="s">
        <v>227</v>
      </c>
    </row>
    <row r="9" spans="1:10" x14ac:dyDescent="0.3">
      <c r="A9" s="1" t="s">
        <v>82</v>
      </c>
      <c r="B9" s="1" t="s">
        <v>1</v>
      </c>
      <c r="C9" s="52">
        <v>2.6367358909613046E-3</v>
      </c>
      <c r="D9" s="52">
        <v>1E-3</v>
      </c>
      <c r="E9" s="52">
        <v>5.0000000000000001E-3</v>
      </c>
      <c r="F9" s="52">
        <v>2E-3</v>
      </c>
      <c r="G9" s="53" t="s">
        <v>356</v>
      </c>
      <c r="H9" s="6" t="s">
        <v>227</v>
      </c>
    </row>
    <row r="10" spans="1:10" x14ac:dyDescent="0.3">
      <c r="A10" s="1" t="s">
        <v>82</v>
      </c>
      <c r="B10" s="1" t="s">
        <v>0</v>
      </c>
      <c r="C10" s="52">
        <v>2.3624699388559899E-2</v>
      </c>
      <c r="D10" s="52">
        <v>1.4E-2</v>
      </c>
      <c r="E10" s="52">
        <v>3.2000000000000001E-2</v>
      </c>
      <c r="F10" s="52">
        <f>0.038*40/(40+31)</f>
        <v>2.1408450704225351E-2</v>
      </c>
      <c r="G10" s="53" t="s">
        <v>356</v>
      </c>
      <c r="H10" s="6" t="s">
        <v>228</v>
      </c>
    </row>
    <row r="11" spans="1:10" x14ac:dyDescent="0.3">
      <c r="A11" s="1" t="s">
        <v>4</v>
      </c>
      <c r="B11" s="1" t="s">
        <v>276</v>
      </c>
      <c r="C11" s="52">
        <v>8.5000000000000006E-2</v>
      </c>
      <c r="D11" s="52">
        <v>7.0000000000000007E-2</v>
      </c>
      <c r="E11" s="52">
        <v>0.1</v>
      </c>
      <c r="F11" s="48">
        <f>(7.6-2.1)/(100-2.1)</f>
        <v>5.6179775280898875E-2</v>
      </c>
      <c r="G11" s="52" t="s">
        <v>358</v>
      </c>
      <c r="H11" s="6" t="s">
        <v>86</v>
      </c>
    </row>
    <row r="12" spans="1:10" x14ac:dyDescent="0.3">
      <c r="A12" s="1" t="s">
        <v>4</v>
      </c>
      <c r="B12" s="1" t="s">
        <v>277</v>
      </c>
      <c r="C12" s="52">
        <v>0.152</v>
      </c>
      <c r="D12" s="52">
        <v>0.13</v>
      </c>
      <c r="E12" s="52">
        <v>0.18</v>
      </c>
      <c r="F12" s="52">
        <f>(11.1-4.6)/(100-4.6)</f>
        <v>6.8134171907756808E-2</v>
      </c>
      <c r="G12" s="52" t="s">
        <v>358</v>
      </c>
      <c r="H12" s="6" t="s">
        <v>86</v>
      </c>
    </row>
    <row r="13" spans="1:10" x14ac:dyDescent="0.3">
      <c r="A13" s="1" t="s">
        <v>4</v>
      </c>
      <c r="B13" s="1" t="s">
        <v>0</v>
      </c>
      <c r="C13" s="52">
        <v>1</v>
      </c>
      <c r="D13" s="52">
        <v>0.9</v>
      </c>
      <c r="E13" s="52">
        <v>1</v>
      </c>
      <c r="F13" s="52">
        <f>((2.1)/3.4 +4.6/7.1)/2</f>
        <v>0.63276719138359572</v>
      </c>
      <c r="G13" s="52" t="s">
        <v>358</v>
      </c>
      <c r="H13" s="6" t="s">
        <v>86</v>
      </c>
    </row>
    <row r="14" spans="1:10" x14ac:dyDescent="0.3">
      <c r="A14" s="1" t="s">
        <v>22</v>
      </c>
      <c r="B14" s="1" t="s">
        <v>26</v>
      </c>
      <c r="C14" s="52">
        <v>0</v>
      </c>
      <c r="D14" s="52">
        <v>0</v>
      </c>
      <c r="E14" s="52">
        <v>0.02</v>
      </c>
      <c r="F14" s="52">
        <v>0</v>
      </c>
      <c r="G14" s="52"/>
      <c r="H14" s="6" t="s">
        <v>349</v>
      </c>
    </row>
    <row r="15" spans="1:10" x14ac:dyDescent="0.3">
      <c r="A15" s="1" t="s">
        <v>21</v>
      </c>
      <c r="B15" s="1" t="s">
        <v>26</v>
      </c>
      <c r="C15" s="52">
        <v>0</v>
      </c>
      <c r="D15" s="52"/>
      <c r="E15" s="52"/>
      <c r="F15" s="52">
        <v>0</v>
      </c>
      <c r="G15" s="52"/>
      <c r="H15" s="1"/>
    </row>
    <row r="16" spans="1:10" x14ac:dyDescent="0.3">
      <c r="A16" s="1" t="s">
        <v>320</v>
      </c>
      <c r="B16" s="1" t="s">
        <v>26</v>
      </c>
      <c r="C16" s="48">
        <v>4.2000000000000003E-2</v>
      </c>
      <c r="D16" s="52">
        <v>3.5000000000000003E-2</v>
      </c>
      <c r="E16" s="52">
        <v>0.05</v>
      </c>
      <c r="F16" s="52">
        <v>0.6</v>
      </c>
      <c r="G16" s="52" t="s">
        <v>359</v>
      </c>
      <c r="H16" s="6" t="s">
        <v>350</v>
      </c>
    </row>
    <row r="17" spans="1:8" x14ac:dyDescent="0.3">
      <c r="A17" s="1" t="s">
        <v>323</v>
      </c>
      <c r="B17" s="1" t="s">
        <v>321</v>
      </c>
      <c r="C17" s="48">
        <f>(4308+1272)/(13232+1272+3005)</f>
        <v>0.31869324347478439</v>
      </c>
      <c r="D17" s="52">
        <v>0.2</v>
      </c>
      <c r="E17" s="52">
        <v>0.45</v>
      </c>
      <c r="F17" s="52">
        <v>0.45</v>
      </c>
      <c r="G17" s="52" t="s">
        <v>360</v>
      </c>
      <c r="H17" s="6" t="s">
        <v>324</v>
      </c>
    </row>
    <row r="18" spans="1:8" x14ac:dyDescent="0.3">
      <c r="A18" s="1" t="s">
        <v>323</v>
      </c>
      <c r="B18" s="1" t="s">
        <v>322</v>
      </c>
      <c r="C18" s="52">
        <f>(6540+1163)/(12508+1628+1163)</f>
        <v>0.50349696058565918</v>
      </c>
      <c r="D18" s="52">
        <v>0.4</v>
      </c>
      <c r="E18" s="52">
        <v>0.64</v>
      </c>
      <c r="F18" s="52">
        <v>0.64</v>
      </c>
      <c r="G18" s="52" t="s">
        <v>360</v>
      </c>
      <c r="H18" s="6" t="s">
        <v>325</v>
      </c>
    </row>
    <row r="19" spans="1:8" x14ac:dyDescent="0.3">
      <c r="A19" s="1"/>
      <c r="B19" s="1"/>
      <c r="C19" s="52"/>
      <c r="D19" s="52"/>
      <c r="E19" s="52"/>
      <c r="F19" s="52"/>
      <c r="G19" s="52"/>
      <c r="H19" s="6"/>
    </row>
    <row r="20" spans="1:8" x14ac:dyDescent="0.3">
      <c r="A20" s="1" t="s">
        <v>368</v>
      </c>
      <c r="B20" s="1"/>
      <c r="C20" s="82">
        <f>(12*24)/(10*10)</f>
        <v>2.88</v>
      </c>
      <c r="D20" s="83">
        <v>0.01</v>
      </c>
      <c r="E20" s="83">
        <v>0.08</v>
      </c>
      <c r="F20" s="52"/>
      <c r="G20" s="52" t="s">
        <v>369</v>
      </c>
      <c r="H20" s="1"/>
    </row>
    <row r="21" spans="1:8" x14ac:dyDescent="0.3">
      <c r="A21" s="1"/>
      <c r="B21" s="1"/>
      <c r="D21" s="52"/>
      <c r="E21" s="52"/>
      <c r="F21" s="52"/>
      <c r="G21" s="52"/>
      <c r="H21" s="1"/>
    </row>
    <row r="22" spans="1:8" x14ac:dyDescent="0.3">
      <c r="A22" s="1" t="s">
        <v>224</v>
      </c>
      <c r="B22" s="1"/>
      <c r="D22" s="52"/>
      <c r="E22" s="52"/>
      <c r="F22" s="52"/>
      <c r="G22" s="52"/>
      <c r="H22" s="1"/>
    </row>
    <row r="23" spans="1:8" x14ac:dyDescent="0.3">
      <c r="A23" t="s">
        <v>17</v>
      </c>
      <c r="B23" s="1"/>
      <c r="C23" s="52"/>
      <c r="D23" s="52"/>
      <c r="E23" s="52"/>
      <c r="F23" s="52"/>
      <c r="G23" s="52"/>
      <c r="H23" s="1"/>
    </row>
    <row r="24" spans="1:8" x14ac:dyDescent="0.3">
      <c r="A24" t="s">
        <v>18</v>
      </c>
      <c r="B24" s="1"/>
      <c r="C24" s="52"/>
      <c r="D24" s="52"/>
      <c r="E24" s="52"/>
      <c r="F24" s="52"/>
      <c r="G24" s="52"/>
      <c r="H24" s="1"/>
    </row>
    <row r="25" spans="1:8" x14ac:dyDescent="0.3">
      <c r="A25" t="s">
        <v>19</v>
      </c>
      <c r="B25" s="1"/>
      <c r="C25" s="52"/>
      <c r="D25" s="52"/>
      <c r="E25" s="52"/>
      <c r="F25" s="52"/>
      <c r="G25" s="52"/>
      <c r="H25" s="1"/>
    </row>
    <row r="26" spans="1:8" x14ac:dyDescent="0.3">
      <c r="A26"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E24" sqref="E24"/>
    </sheetView>
  </sheetViews>
  <sheetFormatPr defaultRowHeight="14.4" x14ac:dyDescent="0.3"/>
  <cols>
    <col min="1" max="1" width="23.6640625" customWidth="1"/>
    <col min="2" max="2" width="13.44140625" customWidth="1"/>
    <col min="5" max="5" width="25.88671875" customWidth="1"/>
    <col min="6" max="6" width="63.109375" customWidth="1"/>
  </cols>
  <sheetData>
    <row r="1" spans="1:6" x14ac:dyDescent="0.3">
      <c r="A1" s="7" t="s">
        <v>5</v>
      </c>
      <c r="B1" s="51" t="s">
        <v>199</v>
      </c>
      <c r="C1" s="51" t="s">
        <v>15</v>
      </c>
      <c r="D1" s="51" t="s">
        <v>14</v>
      </c>
      <c r="E1" s="51" t="s">
        <v>214</v>
      </c>
      <c r="F1" s="7" t="s">
        <v>209</v>
      </c>
    </row>
    <row r="3" spans="1:6" x14ac:dyDescent="0.3">
      <c r="A3" t="s">
        <v>23</v>
      </c>
      <c r="B3">
        <v>12</v>
      </c>
      <c r="C3">
        <v>8</v>
      </c>
      <c r="D3">
        <v>18</v>
      </c>
      <c r="E3" t="s">
        <v>304</v>
      </c>
      <c r="F3" t="s">
        <v>208</v>
      </c>
    </row>
    <row r="4" spans="1:6" x14ac:dyDescent="0.3">
      <c r="A4" t="s">
        <v>340</v>
      </c>
      <c r="B4">
        <v>0.5</v>
      </c>
      <c r="C4">
        <v>0.25</v>
      </c>
      <c r="D4">
        <v>1</v>
      </c>
      <c r="E4" t="s">
        <v>339</v>
      </c>
    </row>
    <row r="5" spans="1:6" x14ac:dyDescent="0.3">
      <c r="A5" t="s">
        <v>305</v>
      </c>
      <c r="B5">
        <v>0.1</v>
      </c>
      <c r="C5">
        <v>0.05</v>
      </c>
      <c r="D5">
        <v>0.2</v>
      </c>
      <c r="E5" t="s">
        <v>297</v>
      </c>
      <c r="F5" t="s">
        <v>296</v>
      </c>
    </row>
    <row r="6" spans="1:6" x14ac:dyDescent="0.3">
      <c r="A6" t="s">
        <v>200</v>
      </c>
      <c r="B6">
        <v>0</v>
      </c>
      <c r="C6">
        <v>0</v>
      </c>
      <c r="D6">
        <v>0.5</v>
      </c>
      <c r="E6" t="s">
        <v>202</v>
      </c>
      <c r="F6" t="s">
        <v>210</v>
      </c>
    </row>
    <row r="7" spans="1:6" x14ac:dyDescent="0.3">
      <c r="A7" t="s">
        <v>203</v>
      </c>
      <c r="B7">
        <v>0</v>
      </c>
      <c r="C7">
        <v>0</v>
      </c>
      <c r="D7">
        <v>0.1</v>
      </c>
      <c r="E7" t="s">
        <v>204</v>
      </c>
      <c r="F7" t="s">
        <v>211</v>
      </c>
    </row>
    <row r="8" spans="1:6" x14ac:dyDescent="0.3">
      <c r="A8" t="s">
        <v>201</v>
      </c>
      <c r="B8">
        <v>0.25</v>
      </c>
      <c r="C8">
        <v>0.1</v>
      </c>
      <c r="D8">
        <v>3</v>
      </c>
      <c r="E8" t="s">
        <v>206</v>
      </c>
      <c r="F8" t="s">
        <v>212</v>
      </c>
    </row>
    <row r="9" spans="1:6" x14ac:dyDescent="0.3">
      <c r="A9" t="s">
        <v>205</v>
      </c>
      <c r="B9">
        <v>0.05</v>
      </c>
      <c r="C9">
        <v>0</v>
      </c>
      <c r="D9">
        <v>0.2</v>
      </c>
      <c r="E9" t="s">
        <v>207</v>
      </c>
      <c r="F9" t="s">
        <v>213</v>
      </c>
    </row>
    <row r="10" spans="1:6" x14ac:dyDescent="0.3">
      <c r="A10" t="s">
        <v>24</v>
      </c>
      <c r="B10">
        <v>0.01</v>
      </c>
      <c r="C10">
        <v>8.0000000000000002E-3</v>
      </c>
      <c r="D10">
        <v>0.02</v>
      </c>
      <c r="E10" t="s">
        <v>215</v>
      </c>
      <c r="F10" t="s">
        <v>266</v>
      </c>
    </row>
    <row r="11" spans="1:6" x14ac:dyDescent="0.3">
      <c r="A11" t="s">
        <v>292</v>
      </c>
      <c r="B11">
        <f>1/4/12</f>
        <v>2.0833333333333332E-2</v>
      </c>
      <c r="C11">
        <f>1/7/12</f>
        <v>1.1904761904761904E-2</v>
      </c>
      <c r="D11">
        <f>1/3/12</f>
        <v>2.7777777777777776E-2</v>
      </c>
      <c r="E11" t="s">
        <v>333</v>
      </c>
    </row>
    <row r="12" spans="1:6" x14ac:dyDescent="0.3">
      <c r="A12" t="s">
        <v>293</v>
      </c>
      <c r="B12">
        <f>1/40/12</f>
        <v>2.0833333333333333E-3</v>
      </c>
      <c r="C12">
        <f>1/50/12</f>
        <v>1.6666666666666668E-3</v>
      </c>
      <c r="D12">
        <f>1/30/12</f>
        <v>2.7777777777777779E-3</v>
      </c>
      <c r="E12" t="s">
        <v>332</v>
      </c>
    </row>
    <row r="13" spans="1:6" x14ac:dyDescent="0.3">
      <c r="A13" t="s">
        <v>331</v>
      </c>
      <c r="B13">
        <v>2E-3</v>
      </c>
      <c r="C13">
        <v>1E-3</v>
      </c>
      <c r="D13">
        <v>4.0000000000000001E-3</v>
      </c>
      <c r="E13" t="s">
        <v>334</v>
      </c>
    </row>
    <row r="14" spans="1:6" x14ac:dyDescent="0.3">
      <c r="A14" t="s">
        <v>329</v>
      </c>
      <c r="B14">
        <f>(408-86)/(462-137)</f>
        <v>0.99076923076923074</v>
      </c>
      <c r="C14">
        <v>0.98</v>
      </c>
      <c r="D14">
        <v>1</v>
      </c>
      <c r="E14" t="s">
        <v>327</v>
      </c>
      <c r="F14" t="s">
        <v>326</v>
      </c>
    </row>
    <row r="15" spans="1:6" x14ac:dyDescent="0.3">
      <c r="A15" t="s">
        <v>330</v>
      </c>
      <c r="B15">
        <v>0.63</v>
      </c>
      <c r="C15">
        <v>0.54</v>
      </c>
      <c r="D15">
        <v>0.71</v>
      </c>
      <c r="E15" t="s">
        <v>328</v>
      </c>
    </row>
    <row r="16" spans="1:6" x14ac:dyDescent="0.3">
      <c r="A16" t="s">
        <v>25</v>
      </c>
      <c r="B16">
        <v>0.95</v>
      </c>
      <c r="C16">
        <v>0.9</v>
      </c>
      <c r="D16">
        <v>0.99</v>
      </c>
      <c r="E16" t="s">
        <v>220</v>
      </c>
      <c r="F16" t="s">
        <v>219</v>
      </c>
    </row>
    <row r="17" spans="1:6" x14ac:dyDescent="0.3">
      <c r="A17" t="s">
        <v>221</v>
      </c>
      <c r="B17">
        <v>0.96</v>
      </c>
      <c r="C17">
        <v>0.87</v>
      </c>
      <c r="D17">
        <v>0.995</v>
      </c>
      <c r="E17" t="s">
        <v>222</v>
      </c>
      <c r="F17" t="s">
        <v>223</v>
      </c>
    </row>
    <row r="18" spans="1:6" x14ac:dyDescent="0.3">
      <c r="A18" t="s">
        <v>313</v>
      </c>
      <c r="B18">
        <v>0.75</v>
      </c>
      <c r="C18">
        <v>0.59</v>
      </c>
      <c r="D18">
        <v>0.86</v>
      </c>
      <c r="E18" t="s">
        <v>314</v>
      </c>
      <c r="F18" t="s">
        <v>315</v>
      </c>
    </row>
    <row r="19" spans="1:6" x14ac:dyDescent="0.3">
      <c r="A19" t="s">
        <v>252</v>
      </c>
      <c r="B19">
        <v>0.35</v>
      </c>
      <c r="C19">
        <v>0.27</v>
      </c>
      <c r="D19">
        <v>0.6</v>
      </c>
      <c r="E19" t="s">
        <v>255</v>
      </c>
      <c r="F19" t="s">
        <v>363</v>
      </c>
    </row>
    <row r="20" spans="1:6" x14ac:dyDescent="0.3">
      <c r="A20" t="s">
        <v>253</v>
      </c>
      <c r="B20">
        <v>0.9</v>
      </c>
      <c r="C20">
        <v>0.85</v>
      </c>
      <c r="D20">
        <v>0.95</v>
      </c>
      <c r="E20" t="s">
        <v>254</v>
      </c>
      <c r="F20" t="s">
        <v>362</v>
      </c>
    </row>
    <row r="21" spans="1:6" x14ac:dyDescent="0.3">
      <c r="A21" t="s">
        <v>263</v>
      </c>
      <c r="B21">
        <v>11</v>
      </c>
      <c r="C21">
        <v>6</v>
      </c>
      <c r="D21">
        <v>18</v>
      </c>
      <c r="E21" t="s">
        <v>303</v>
      </c>
      <c r="F21" t="s">
        <v>302</v>
      </c>
    </row>
    <row r="22" spans="1:6" x14ac:dyDescent="0.3">
      <c r="A22" t="s">
        <v>217</v>
      </c>
      <c r="B22">
        <f>0.9/12</f>
        <v>7.4999999999999997E-2</v>
      </c>
      <c r="C22">
        <f>0.5/18</f>
        <v>2.7777777777777776E-2</v>
      </c>
      <c r="D22">
        <f>1/6</f>
        <v>0.16666666666666666</v>
      </c>
      <c r="E22" t="s">
        <v>216</v>
      </c>
      <c r="F22" t="s">
        <v>218</v>
      </c>
    </row>
    <row r="23" spans="1:6" x14ac:dyDescent="0.3">
      <c r="A23" t="s">
        <v>337</v>
      </c>
      <c r="B23">
        <v>0.9</v>
      </c>
      <c r="C23">
        <v>0.8</v>
      </c>
      <c r="D23">
        <v>1</v>
      </c>
      <c r="E23" t="s">
        <v>338</v>
      </c>
      <c r="F23" t="s">
        <v>364</v>
      </c>
    </row>
    <row r="25" spans="1:6" x14ac:dyDescent="0.3">
      <c r="A25" s="62" t="s">
        <v>264</v>
      </c>
    </row>
    <row r="26" spans="1:6" x14ac:dyDescent="0.3">
      <c r="A26" t="s">
        <v>265</v>
      </c>
    </row>
    <row r="27" spans="1:6" x14ac:dyDescent="0.3">
      <c r="A27" t="s">
        <v>267</v>
      </c>
    </row>
    <row r="28" spans="1:6" x14ac:dyDescent="0.3">
      <c r="A28" s="65" t="s">
        <v>268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8"/>
  <sheetViews>
    <sheetView topLeftCell="A46" workbookViewId="0">
      <selection activeCell="C76" sqref="C76"/>
    </sheetView>
  </sheetViews>
  <sheetFormatPr defaultRowHeight="14.4" x14ac:dyDescent="0.3"/>
  <cols>
    <col min="1" max="1" width="26.44140625" customWidth="1"/>
    <col min="2" max="2" width="45.44140625" customWidth="1"/>
    <col min="3" max="3" width="22.6640625" customWidth="1"/>
    <col min="12" max="12" width="15.88671875" customWidth="1"/>
    <col min="13" max="15" width="35.109375" customWidth="1"/>
  </cols>
  <sheetData>
    <row r="1" spans="1:9" x14ac:dyDescent="0.3">
      <c r="A1" s="67" t="s">
        <v>270</v>
      </c>
    </row>
    <row r="2" spans="1:9" x14ac:dyDescent="0.3">
      <c r="A2" t="s">
        <v>106</v>
      </c>
    </row>
    <row r="3" spans="1:9" x14ac:dyDescent="0.3">
      <c r="A3" t="s">
        <v>129</v>
      </c>
    </row>
    <row r="4" spans="1:9" x14ac:dyDescent="0.3">
      <c r="B4" t="s">
        <v>127</v>
      </c>
      <c r="C4" s="67">
        <f>(26+53+5)/(502+676+160)</f>
        <v>6.2780269058295965E-2</v>
      </c>
    </row>
    <row r="5" spans="1:9" x14ac:dyDescent="0.3">
      <c r="A5" t="s">
        <v>128</v>
      </c>
    </row>
    <row r="7" spans="1:9" x14ac:dyDescent="0.3">
      <c r="A7" t="s">
        <v>144</v>
      </c>
    </row>
    <row r="8" spans="1:9" x14ac:dyDescent="0.3">
      <c r="B8" s="66" t="s">
        <v>139</v>
      </c>
    </row>
    <row r="10" spans="1:9" x14ac:dyDescent="0.3">
      <c r="B10" t="s">
        <v>140</v>
      </c>
    </row>
    <row r="11" spans="1:9" x14ac:dyDescent="0.3">
      <c r="C11" s="7" t="s">
        <v>122</v>
      </c>
      <c r="D11">
        <v>1</v>
      </c>
      <c r="E11">
        <v>2</v>
      </c>
      <c r="F11">
        <v>3</v>
      </c>
      <c r="G11">
        <v>4</v>
      </c>
      <c r="H11">
        <v>5</v>
      </c>
      <c r="I11">
        <v>6</v>
      </c>
    </row>
    <row r="12" spans="1:9" ht="15" thickBot="1" x14ac:dyDescent="0.35">
      <c r="B12" t="s">
        <v>132</v>
      </c>
      <c r="C12" s="70">
        <f>0.846</f>
        <v>0.84599999999999997</v>
      </c>
      <c r="D12" s="57">
        <f t="shared" ref="D12:I12" si="0">EXP(2.5289-2.5018*LN(D$48)+0.4399*LN((1-$C12)/($C12)))/(1+EXP(2.5289-2.5018*LN(D$48)+0.4399*LN((1-$C12)/($C12))))</f>
        <v>0.85563523654552265</v>
      </c>
      <c r="E12" s="57">
        <f t="shared" si="0"/>
        <v>0.5113443945682169</v>
      </c>
      <c r="F12" s="57">
        <f t="shared" si="0"/>
        <v>0.27507842449803993</v>
      </c>
      <c r="G12" s="57">
        <f t="shared" si="0"/>
        <v>0.15594289770873268</v>
      </c>
      <c r="H12" s="57">
        <f t="shared" si="0"/>
        <v>9.560934978950654E-2</v>
      </c>
      <c r="I12" s="73">
        <f t="shared" si="0"/>
        <v>6.2789334729015683E-2</v>
      </c>
    </row>
    <row r="14" spans="1:9" x14ac:dyDescent="0.3">
      <c r="A14" s="55" t="s">
        <v>141</v>
      </c>
    </row>
    <row r="15" spans="1:9" x14ac:dyDescent="0.3">
      <c r="C15" t="s">
        <v>122</v>
      </c>
      <c r="D15">
        <v>1</v>
      </c>
      <c r="E15">
        <v>2</v>
      </c>
      <c r="F15">
        <v>3</v>
      </c>
      <c r="G15">
        <v>4</v>
      </c>
      <c r="H15">
        <v>5</v>
      </c>
      <c r="I15">
        <v>65</v>
      </c>
    </row>
    <row r="16" spans="1:9" ht="15" thickBot="1" x14ac:dyDescent="0.35">
      <c r="B16" t="s">
        <v>133</v>
      </c>
      <c r="C16">
        <f>1-0.0178</f>
        <v>0.98219999999999996</v>
      </c>
      <c r="D16" s="57">
        <f t="shared" ref="D16:I16" si="1">EXP(2.5289-2.5018*LN(D$48)+0.4399*LN((1-$C16)/($C16)))/(1+EXP(2.5289-2.5018*LN(D$48)+0.4399*LN((1-$C16)/($C16))))</f>
        <v>0.68235997604735432</v>
      </c>
      <c r="E16" s="57">
        <f t="shared" si="1"/>
        <v>0.27498475647595361</v>
      </c>
      <c r="F16" s="57">
        <f t="shared" si="1"/>
        <v>0.12090693798983002</v>
      </c>
      <c r="G16" s="71">
        <f t="shared" si="1"/>
        <v>6.2761695648254429E-2</v>
      </c>
      <c r="H16" s="57">
        <f t="shared" si="1"/>
        <v>3.6903288489202941E-2</v>
      </c>
      <c r="I16" s="57">
        <f t="shared" si="1"/>
        <v>2.3707165354241951E-2</v>
      </c>
    </row>
    <row r="18" spans="1:14" x14ac:dyDescent="0.3">
      <c r="A18" t="s">
        <v>142</v>
      </c>
    </row>
    <row r="19" spans="1:14" x14ac:dyDescent="0.3">
      <c r="A19" t="s">
        <v>299</v>
      </c>
    </row>
    <row r="20" spans="1:14" x14ac:dyDescent="0.3">
      <c r="C20" t="s">
        <v>126</v>
      </c>
      <c r="D20" t="s">
        <v>130</v>
      </c>
      <c r="E20" t="s">
        <v>108</v>
      </c>
      <c r="F20" t="s">
        <v>131</v>
      </c>
      <c r="G20" t="s">
        <v>143</v>
      </c>
    </row>
    <row r="21" spans="1:14" x14ac:dyDescent="0.3">
      <c r="B21" t="s">
        <v>107</v>
      </c>
      <c r="C21">
        <v>0.16400000000000001</v>
      </c>
      <c r="D21">
        <v>510</v>
      </c>
      <c r="E21">
        <f>3+4</f>
        <v>7</v>
      </c>
      <c r="F21">
        <v>5</v>
      </c>
      <c r="G21" s="58">
        <f>F21/D21</f>
        <v>9.8039215686274508E-3</v>
      </c>
    </row>
    <row r="22" spans="1:14" x14ac:dyDescent="0.3">
      <c r="B22" t="s">
        <v>109</v>
      </c>
      <c r="C22">
        <v>0.16700000000000001</v>
      </c>
      <c r="D22">
        <v>601</v>
      </c>
      <c r="E22">
        <v>16</v>
      </c>
      <c r="F22">
        <v>9</v>
      </c>
      <c r="G22" s="58">
        <f>F22/D22</f>
        <v>1.4975041597337771E-2</v>
      </c>
    </row>
    <row r="23" spans="1:14" x14ac:dyDescent="0.3">
      <c r="B23" t="s">
        <v>110</v>
      </c>
      <c r="C23">
        <v>7.5999999999999998E-2</v>
      </c>
      <c r="D23">
        <v>163</v>
      </c>
      <c r="E23">
        <v>2</v>
      </c>
      <c r="F23">
        <v>1</v>
      </c>
      <c r="G23" s="58">
        <f>F23/D23</f>
        <v>6.1349693251533744E-3</v>
      </c>
    </row>
    <row r="24" spans="1:14" x14ac:dyDescent="0.3">
      <c r="B24" t="s">
        <v>111</v>
      </c>
      <c r="C24" s="59">
        <f>SUMPRODUCT(C21:C23,$D21:$D23)/SUM($D21:$D23)</f>
        <v>0.15415620094191523</v>
      </c>
      <c r="G24" s="59">
        <f>SUMPRODUCT(G21:G23,$D21:$D23)/SUM($D21:$D23)</f>
        <v>1.1773940345368918E-2</v>
      </c>
      <c r="K24" s="7"/>
      <c r="L24" s="54"/>
      <c r="N24" s="7"/>
    </row>
    <row r="26" spans="1:14" x14ac:dyDescent="0.3">
      <c r="C26" s="59"/>
      <c r="D26" s="7"/>
      <c r="E26" s="7"/>
      <c r="F26" s="7"/>
      <c r="G26" s="59"/>
    </row>
    <row r="28" spans="1:14" x14ac:dyDescent="0.3">
      <c r="B28" t="s">
        <v>145</v>
      </c>
      <c r="C28">
        <f>C24/E12</f>
        <v>0.30147235909779729</v>
      </c>
      <c r="G28">
        <f>G24/I12</f>
        <v>0.18751497202801296</v>
      </c>
    </row>
    <row r="29" spans="1:14" x14ac:dyDescent="0.3">
      <c r="B29" t="s">
        <v>300</v>
      </c>
      <c r="C29">
        <f>C24/(E12/(1-C24))</f>
        <v>0.25499852553028401</v>
      </c>
      <c r="G29">
        <f>G24/(I12/(1-G24))</f>
        <v>0.1853071819334916</v>
      </c>
    </row>
    <row r="30" spans="1:14" x14ac:dyDescent="0.3">
      <c r="B30" t="s">
        <v>301</v>
      </c>
      <c r="C30" s="67">
        <f>AVERAGE(C28:G28)</f>
        <v>0.24449366556290514</v>
      </c>
    </row>
    <row r="32" spans="1:14" x14ac:dyDescent="0.3">
      <c r="A32" t="s">
        <v>269</v>
      </c>
    </row>
    <row r="33" spans="1:9" x14ac:dyDescent="0.3">
      <c r="F33" t="s">
        <v>146</v>
      </c>
    </row>
    <row r="34" spans="1:9" x14ac:dyDescent="0.3">
      <c r="C34" t="s">
        <v>117</v>
      </c>
      <c r="D34" t="s">
        <v>148</v>
      </c>
      <c r="F34" t="s">
        <v>147</v>
      </c>
      <c r="G34" t="s">
        <v>4</v>
      </c>
    </row>
    <row r="35" spans="1:9" x14ac:dyDescent="0.3">
      <c r="B35" t="s">
        <v>107</v>
      </c>
      <c r="C35">
        <f>29/(470+29)</f>
        <v>5.8116232464929862E-2</v>
      </c>
      <c r="D35">
        <v>510</v>
      </c>
      <c r="F35">
        <f>1/(1+2*C35)</f>
        <v>0.89587073608617607</v>
      </c>
      <c r="G35">
        <f>3*F35</f>
        <v>2.6876122082585283</v>
      </c>
    </row>
    <row r="36" spans="1:9" x14ac:dyDescent="0.3">
      <c r="B36" t="s">
        <v>109</v>
      </c>
      <c r="C36">
        <f>53/622</f>
        <v>8.5209003215434079E-2</v>
      </c>
      <c r="D36">
        <v>601</v>
      </c>
      <c r="F36">
        <f>1/(1+2*C36)</f>
        <v>0.85439560439560436</v>
      </c>
      <c r="G36">
        <f>3*F36</f>
        <v>2.563186813186813</v>
      </c>
    </row>
    <row r="37" spans="1:9" x14ac:dyDescent="0.3">
      <c r="B37" t="s">
        <v>110</v>
      </c>
      <c r="C37">
        <v>0</v>
      </c>
      <c r="D37">
        <v>163</v>
      </c>
      <c r="F37">
        <f>1/(1+2*C37)</f>
        <v>1</v>
      </c>
      <c r="G37">
        <f>3*F37</f>
        <v>3</v>
      </c>
    </row>
    <row r="38" spans="1:9" x14ac:dyDescent="0.3">
      <c r="B38" t="s">
        <v>295</v>
      </c>
      <c r="C38" s="67">
        <f>SUMPRODUCT(C35:C37,D35:D37)/SUM(D35:D37)</f>
        <v>6.3461451718673553E-2</v>
      </c>
      <c r="E38" s="7"/>
      <c r="F38" s="7">
        <f>SUMPRODUCT(F35:F37,$D35:$D37)/SUM($D35:$D37)</f>
        <v>0.88962781290871906</v>
      </c>
      <c r="G38" s="7">
        <f>SUMPRODUCT(G35:G37,$D35:$D37)/SUM($D35:$D37)</f>
        <v>2.6688834387261569</v>
      </c>
    </row>
    <row r="40" spans="1:9" x14ac:dyDescent="0.3">
      <c r="A40" t="s">
        <v>118</v>
      </c>
      <c r="B40" t="s">
        <v>119</v>
      </c>
      <c r="C40" s="72">
        <f>F38*I12</f>
        <v>5.5859138528967699E-2</v>
      </c>
    </row>
    <row r="41" spans="1:9" x14ac:dyDescent="0.3">
      <c r="B41" t="s">
        <v>120</v>
      </c>
      <c r="C41" s="72">
        <f>G38*I12</f>
        <v>0.16757741558690309</v>
      </c>
    </row>
    <row r="43" spans="1:9" x14ac:dyDescent="0.3">
      <c r="A43" t="s">
        <v>149</v>
      </c>
    </row>
    <row r="46" spans="1:9" x14ac:dyDescent="0.3">
      <c r="B46" t="s">
        <v>121</v>
      </c>
    </row>
    <row r="47" spans="1:9" x14ac:dyDescent="0.3">
      <c r="D47" t="s">
        <v>125</v>
      </c>
    </row>
    <row r="48" spans="1:9" x14ac:dyDescent="0.3">
      <c r="C48" t="s">
        <v>122</v>
      </c>
      <c r="D48">
        <v>1</v>
      </c>
      <c r="E48">
        <v>2</v>
      </c>
      <c r="F48">
        <v>3</v>
      </c>
      <c r="G48">
        <v>4</v>
      </c>
      <c r="H48">
        <v>5</v>
      </c>
      <c r="I48">
        <v>6</v>
      </c>
    </row>
    <row r="49" spans="1:9" ht="15" thickBot="1" x14ac:dyDescent="0.35">
      <c r="B49" t="s">
        <v>123</v>
      </c>
      <c r="C49">
        <v>0.87939999999999996</v>
      </c>
      <c r="D49" s="57">
        <f t="shared" ref="D49:I49" si="2">EXP(2.5289-2.5018*LN(D$48)+0.4399*LN((1-$C49)/($C49)))/(1+EXP(2.5289-2.5018*LN(D$48)+0.4399*LN((1-$C49)/($C49))))</f>
        <v>0.83955543634544316</v>
      </c>
      <c r="E49" s="57">
        <f t="shared" si="2"/>
        <v>0.48021244203879848</v>
      </c>
      <c r="F49" s="57">
        <f t="shared" si="2"/>
        <v>0.25094395127702745</v>
      </c>
      <c r="G49" s="57">
        <f t="shared" si="2"/>
        <v>0.14023889452616714</v>
      </c>
      <c r="H49" s="57">
        <f t="shared" si="2"/>
        <v>8.5366651572206589E-2</v>
      </c>
      <c r="I49" s="57">
        <f t="shared" si="2"/>
        <v>5.5845555508945446E-2</v>
      </c>
    </row>
    <row r="50" spans="1:9" ht="15" thickBot="1" x14ac:dyDescent="0.35">
      <c r="B50" t="s">
        <v>124</v>
      </c>
      <c r="D50" s="57">
        <f>MIN(1,3*D49)</f>
        <v>1</v>
      </c>
      <c r="E50" s="57">
        <f t="shared" ref="E50:I50" si="3">MIN(1,3*E49)</f>
        <v>1</v>
      </c>
      <c r="F50" s="57">
        <f t="shared" si="3"/>
        <v>0.75283185383108231</v>
      </c>
      <c r="G50" s="57">
        <f t="shared" si="3"/>
        <v>0.42071668357850145</v>
      </c>
      <c r="H50" s="57">
        <f t="shared" si="3"/>
        <v>0.25609995471661978</v>
      </c>
      <c r="I50" s="57">
        <f t="shared" si="3"/>
        <v>0.16753666652683635</v>
      </c>
    </row>
    <row r="52" spans="1:9" x14ac:dyDescent="0.3">
      <c r="A52" s="67" t="s">
        <v>167</v>
      </c>
    </row>
    <row r="54" spans="1:9" x14ac:dyDescent="0.3">
      <c r="A54" s="56" t="s">
        <v>150</v>
      </c>
    </row>
    <row r="55" spans="1:9" x14ac:dyDescent="0.3">
      <c r="C55" t="s">
        <v>112</v>
      </c>
      <c r="D55" t="s">
        <v>113</v>
      </c>
    </row>
    <row r="56" spans="1:9" x14ac:dyDescent="0.3">
      <c r="B56" t="s">
        <v>92</v>
      </c>
      <c r="C56" s="68">
        <v>0.94</v>
      </c>
      <c r="D56" t="s">
        <v>361</v>
      </c>
    </row>
    <row r="57" spans="1:9" x14ac:dyDescent="0.3">
      <c r="B57" t="s">
        <v>93</v>
      </c>
      <c r="C57" s="68">
        <v>0.88500000000000001</v>
      </c>
      <c r="D57" t="s">
        <v>114</v>
      </c>
    </row>
    <row r="58" spans="1:9" x14ac:dyDescent="0.3">
      <c r="B58" t="s">
        <v>95</v>
      </c>
      <c r="C58" s="68">
        <f>C57</f>
        <v>0.88500000000000001</v>
      </c>
      <c r="D58" t="s">
        <v>115</v>
      </c>
    </row>
    <row r="59" spans="1:9" x14ac:dyDescent="0.3">
      <c r="B59" t="s">
        <v>94</v>
      </c>
      <c r="C59" s="68">
        <f>C57</f>
        <v>0.88500000000000001</v>
      </c>
      <c r="D59" t="s">
        <v>116</v>
      </c>
    </row>
    <row r="61" spans="1:9" x14ac:dyDescent="0.3">
      <c r="B61" t="s">
        <v>271</v>
      </c>
      <c r="D61" t="s">
        <v>125</v>
      </c>
    </row>
    <row r="62" spans="1:9" x14ac:dyDescent="0.3">
      <c r="C62" t="s">
        <v>122</v>
      </c>
      <c r="D62">
        <v>1</v>
      </c>
      <c r="E62">
        <v>2</v>
      </c>
      <c r="F62">
        <v>3</v>
      </c>
      <c r="G62">
        <v>4</v>
      </c>
      <c r="H62">
        <v>5</v>
      </c>
      <c r="I62">
        <v>6</v>
      </c>
    </row>
    <row r="63" spans="1:9" ht="15" thickBot="1" x14ac:dyDescent="0.35">
      <c r="B63" t="s">
        <v>155</v>
      </c>
      <c r="C63">
        <v>0.94</v>
      </c>
      <c r="D63" s="57">
        <f t="shared" ref="D63:I64" si="4">EXP(2.5289-2.5018*LN(D$48)+0.4399*LN((1-$C63)/($C63)))/(1+EXP(2.5289-2.5018*LN(D$48)+0.4399*LN((1-$C63)/($C63))))</f>
        <v>0.78893197338099375</v>
      </c>
      <c r="E63" s="57">
        <f t="shared" si="4"/>
        <v>0.39756627716180176</v>
      </c>
      <c r="F63" s="57">
        <f t="shared" si="4"/>
        <v>0.19309734301112133</v>
      </c>
      <c r="G63" s="57">
        <f t="shared" si="4"/>
        <v>0.10435630517230174</v>
      </c>
      <c r="H63" s="57">
        <f t="shared" si="4"/>
        <v>6.2503401311031909E-2</v>
      </c>
      <c r="I63" s="57">
        <f t="shared" si="4"/>
        <v>4.0538337629079137E-2</v>
      </c>
    </row>
    <row r="64" spans="1:9" ht="15" thickBot="1" x14ac:dyDescent="0.35">
      <c r="B64" t="s">
        <v>154</v>
      </c>
      <c r="C64">
        <v>0.89</v>
      </c>
      <c r="D64" s="57">
        <f t="shared" si="4"/>
        <v>0.83329792463370922</v>
      </c>
      <c r="E64" s="57">
        <f t="shared" si="4"/>
        <v>0.46880740481994454</v>
      </c>
      <c r="F64" s="57">
        <f t="shared" si="4"/>
        <v>0.24244427069245447</v>
      </c>
      <c r="G64" s="57">
        <f t="shared" si="4"/>
        <v>0.13481402576270049</v>
      </c>
      <c r="H64" s="57">
        <f t="shared" si="4"/>
        <v>8.1862302561686542E-2</v>
      </c>
      <c r="I64" s="57">
        <f t="shared" si="4"/>
        <v>5.3482202008838665E-2</v>
      </c>
    </row>
    <row r="67" spans="1:11" x14ac:dyDescent="0.3">
      <c r="A67" t="s">
        <v>272</v>
      </c>
    </row>
    <row r="68" spans="1:11" x14ac:dyDescent="0.3">
      <c r="C68" t="s">
        <v>151</v>
      </c>
      <c r="D68" t="s">
        <v>152</v>
      </c>
    </row>
    <row r="69" spans="1:11" x14ac:dyDescent="0.3">
      <c r="D69">
        <v>2</v>
      </c>
      <c r="E69">
        <v>3</v>
      </c>
      <c r="F69">
        <v>4</v>
      </c>
      <c r="G69">
        <v>5</v>
      </c>
      <c r="H69">
        <v>6</v>
      </c>
      <c r="I69">
        <v>9</v>
      </c>
      <c r="J69">
        <v>12</v>
      </c>
      <c r="K69">
        <v>18</v>
      </c>
    </row>
    <row r="70" spans="1:11" ht="15" thickBot="1" x14ac:dyDescent="0.35">
      <c r="B70" t="s">
        <v>89</v>
      </c>
      <c r="C70" s="69">
        <f>(1-(890+840)/(979+962))</f>
        <v>0.10870685213807318</v>
      </c>
      <c r="D70">
        <f t="shared" ref="D70:K70" si="5">MIN(1,$C70/$I$49*(EXP(2.5289-2.5018*LN(D$69/3)+0.4399*LN((1-$C49)/($C49)))/(1+EXP(2.5289-2.5018*LN(D$69/3)+0.4399*LN((1-$C49)/($C49))))))</f>
        <v>1</v>
      </c>
      <c r="E70">
        <f t="shared" si="5"/>
        <v>1</v>
      </c>
      <c r="F70">
        <f t="shared" si="5"/>
        <v>1</v>
      </c>
      <c r="G70">
        <f t="shared" si="5"/>
        <v>1</v>
      </c>
      <c r="H70">
        <f t="shared" si="5"/>
        <v>0.93476342845605376</v>
      </c>
      <c r="I70">
        <f t="shared" si="5"/>
        <v>0.48847803120242955</v>
      </c>
      <c r="J70">
        <f t="shared" si="5"/>
        <v>0.27298374297343914</v>
      </c>
      <c r="K70">
        <f t="shared" si="5"/>
        <v>0.10870685213807318</v>
      </c>
    </row>
    <row r="71" spans="1:11" ht="15" thickBot="1" x14ac:dyDescent="0.35">
      <c r="B71" t="s">
        <v>90</v>
      </c>
      <c r="C71" s="69">
        <f>(1-(72+81)/(95+112))</f>
        <v>0.26086956521739135</v>
      </c>
      <c r="D71">
        <f t="shared" ref="D71:K71" si="6">MIN(1,$C71/$I$49*(EXP(2.5289-2.5018*LN(D$69/3)+0.4399*LN((1-$C49)/($C49)))/(1+EXP(2.5289-2.5018*LN(D$69/3)+0.4399*LN((1-$C49)/($C49))))))</f>
        <v>1</v>
      </c>
      <c r="E71">
        <f t="shared" si="6"/>
        <v>1</v>
      </c>
      <c r="F71">
        <f t="shared" si="6"/>
        <v>1</v>
      </c>
      <c r="G71">
        <f t="shared" si="6"/>
        <v>1</v>
      </c>
      <c r="H71">
        <f t="shared" si="6"/>
        <v>1</v>
      </c>
      <c r="I71">
        <f t="shared" si="6"/>
        <v>1</v>
      </c>
      <c r="J71">
        <f t="shared" si="6"/>
        <v>0.65509348251981703</v>
      </c>
      <c r="K71">
        <f t="shared" si="6"/>
        <v>0.26086956521739135</v>
      </c>
    </row>
    <row r="72" spans="1:11" x14ac:dyDescent="0.3">
      <c r="C72" t="s">
        <v>335</v>
      </c>
    </row>
    <row r="73" spans="1:11" x14ac:dyDescent="0.3">
      <c r="A73" t="s">
        <v>365</v>
      </c>
    </row>
    <row r="74" spans="1:11" x14ac:dyDescent="0.3">
      <c r="B74" s="74" t="s">
        <v>366</v>
      </c>
    </row>
    <row r="75" spans="1:11" x14ac:dyDescent="0.3">
      <c r="B75" t="s">
        <v>367</v>
      </c>
      <c r="C75" s="67">
        <v>0.05</v>
      </c>
      <c r="D75">
        <f t="shared" ref="D75:I75" si="7">MIN(1,$C75/$I$49*(EXP(2.5289-2.5018*LN(D$69/1.5)+0.4399*LN((1-$C49)/($C49)))/(1+EXP(2.5289-2.5018*LN(D$69/1.5)+0.4399*LN((1-$C49)/($C49))))))</f>
        <v>0.64296008864774701</v>
      </c>
      <c r="E75">
        <f t="shared" si="7"/>
        <v>0.42994687550549765</v>
      </c>
      <c r="F75">
        <f t="shared" si="7"/>
        <v>0.27778194815653057</v>
      </c>
      <c r="G75">
        <f t="shared" si="7"/>
        <v>0.18327313441093826</v>
      </c>
      <c r="H75">
        <f t="shared" si="7"/>
        <v>0.12555958414963159</v>
      </c>
      <c r="I75">
        <f t="shared" si="7"/>
        <v>0.05</v>
      </c>
    </row>
    <row r="79" spans="1:11" x14ac:dyDescent="0.3">
      <c r="A79" t="s">
        <v>273</v>
      </c>
    </row>
    <row r="80" spans="1:11" x14ac:dyDescent="0.3">
      <c r="A80" t="s">
        <v>316</v>
      </c>
      <c r="D80" t="s">
        <v>152</v>
      </c>
    </row>
    <row r="81" spans="1:9" x14ac:dyDescent="0.3">
      <c r="D81">
        <v>1</v>
      </c>
      <c r="E81">
        <v>2</v>
      </c>
      <c r="F81">
        <v>3</v>
      </c>
      <c r="G81">
        <v>4</v>
      </c>
      <c r="H81">
        <v>5</v>
      </c>
      <c r="I81">
        <v>6</v>
      </c>
    </row>
    <row r="82" spans="1:9" x14ac:dyDescent="0.3">
      <c r="B82" t="s">
        <v>96</v>
      </c>
      <c r="D82">
        <v>1</v>
      </c>
      <c r="E82">
        <v>1</v>
      </c>
      <c r="F82">
        <v>0.75283185383108231</v>
      </c>
      <c r="G82">
        <v>0.42071668357850145</v>
      </c>
      <c r="H82">
        <v>0.25609995471661978</v>
      </c>
      <c r="I82">
        <v>0.16753666652683635</v>
      </c>
    </row>
    <row r="83" spans="1:9" x14ac:dyDescent="0.3">
      <c r="B83" t="s">
        <v>97</v>
      </c>
      <c r="D83">
        <v>1</v>
      </c>
      <c r="E83">
        <v>1</v>
      </c>
      <c r="F83">
        <v>0.75283185383108231</v>
      </c>
      <c r="G83">
        <v>0.42071668357850145</v>
      </c>
      <c r="H83">
        <v>0.25609995471661978</v>
      </c>
      <c r="I83">
        <v>0.16753666652683635</v>
      </c>
    </row>
    <row r="84" spans="1:9" x14ac:dyDescent="0.3">
      <c r="B84" t="s">
        <v>98</v>
      </c>
      <c r="D84">
        <v>1</v>
      </c>
      <c r="E84">
        <v>1</v>
      </c>
      <c r="F84">
        <v>0.75283185383108231</v>
      </c>
      <c r="G84">
        <v>0.42071668357850145</v>
      </c>
      <c r="H84">
        <v>0.25609995471661978</v>
      </c>
      <c r="I84">
        <v>0.16753666652683635</v>
      </c>
    </row>
    <row r="85" spans="1:9" x14ac:dyDescent="0.3">
      <c r="B85" t="s">
        <v>100</v>
      </c>
      <c r="D85">
        <v>1</v>
      </c>
      <c r="E85">
        <v>1</v>
      </c>
      <c r="F85">
        <v>0.75283185383108231</v>
      </c>
      <c r="G85">
        <v>0.42071668357850145</v>
      </c>
      <c r="H85">
        <v>0.25609995471661978</v>
      </c>
      <c r="I85">
        <v>0.16753666652683635</v>
      </c>
    </row>
    <row r="86" spans="1:9" x14ac:dyDescent="0.3">
      <c r="B86" t="s">
        <v>101</v>
      </c>
      <c r="D86">
        <v>1</v>
      </c>
      <c r="E86">
        <v>1</v>
      </c>
      <c r="F86">
        <v>0.75283185383108231</v>
      </c>
      <c r="G86">
        <v>0.42071668357850145</v>
      </c>
      <c r="H86">
        <v>0.25609995471661978</v>
      </c>
      <c r="I86">
        <v>0.16753666652683635</v>
      </c>
    </row>
    <row r="87" spans="1:9" x14ac:dyDescent="0.3">
      <c r="B87" t="s">
        <v>99</v>
      </c>
      <c r="D87">
        <v>1</v>
      </c>
      <c r="E87">
        <v>1</v>
      </c>
      <c r="F87">
        <v>0.75283185383108231</v>
      </c>
      <c r="G87">
        <v>0.42071668357850145</v>
      </c>
      <c r="H87">
        <v>0.25609995471661978</v>
      </c>
      <c r="I87">
        <v>0.16753666652683635</v>
      </c>
    </row>
    <row r="89" spans="1:9" x14ac:dyDescent="0.3">
      <c r="A89" t="s">
        <v>317</v>
      </c>
    </row>
    <row r="90" spans="1:9" x14ac:dyDescent="0.3">
      <c r="D90" t="s">
        <v>152</v>
      </c>
    </row>
    <row r="91" spans="1:9" x14ac:dyDescent="0.3">
      <c r="D91">
        <v>1</v>
      </c>
      <c r="E91">
        <v>2</v>
      </c>
      <c r="F91">
        <v>3</v>
      </c>
      <c r="G91">
        <v>4</v>
      </c>
      <c r="H91">
        <v>5</v>
      </c>
      <c r="I91">
        <v>6</v>
      </c>
    </row>
    <row r="92" spans="1:9" x14ac:dyDescent="0.3">
      <c r="B92" t="s">
        <v>102</v>
      </c>
      <c r="D92" s="67">
        <v>0.8</v>
      </c>
      <c r="E92" s="67">
        <v>0.8</v>
      </c>
      <c r="F92" s="67">
        <v>0.8</v>
      </c>
      <c r="G92" s="67">
        <v>0.8</v>
      </c>
      <c r="H92" s="67">
        <v>0.8</v>
      </c>
      <c r="I92" s="67">
        <v>0.8</v>
      </c>
    </row>
    <row r="93" spans="1:9" x14ac:dyDescent="0.3">
      <c r="B93" t="s">
        <v>103</v>
      </c>
      <c r="D93" s="67">
        <v>0.8</v>
      </c>
      <c r="E93" s="67">
        <v>0.8</v>
      </c>
      <c r="F93" s="67">
        <v>0.8</v>
      </c>
      <c r="G93" s="67">
        <v>0.8</v>
      </c>
      <c r="H93" s="67">
        <v>0.8</v>
      </c>
      <c r="I93" s="67">
        <v>0.8</v>
      </c>
    </row>
    <row r="94" spans="1:9" x14ac:dyDescent="0.3">
      <c r="B94" t="s">
        <v>104</v>
      </c>
      <c r="D94" s="67">
        <v>0.8</v>
      </c>
      <c r="E94" s="67">
        <v>0.8</v>
      </c>
      <c r="F94" s="67">
        <v>0.8</v>
      </c>
      <c r="G94" s="67">
        <v>0.8</v>
      </c>
      <c r="H94" s="67">
        <v>0.8</v>
      </c>
      <c r="I94" s="67">
        <v>0.8</v>
      </c>
    </row>
    <row r="95" spans="1:9" x14ac:dyDescent="0.3">
      <c r="B95" t="s">
        <v>105</v>
      </c>
      <c r="D95" s="67">
        <v>0.8</v>
      </c>
      <c r="E95" s="67">
        <v>0.8</v>
      </c>
      <c r="F95" s="67">
        <v>0.8</v>
      </c>
      <c r="G95" s="67">
        <v>0.8</v>
      </c>
      <c r="H95" s="67">
        <v>0.8</v>
      </c>
      <c r="I95" s="67">
        <v>0.8</v>
      </c>
    </row>
    <row r="96" spans="1:9" x14ac:dyDescent="0.3">
      <c r="B96" t="s">
        <v>274</v>
      </c>
      <c r="D96" s="67">
        <v>0.8</v>
      </c>
      <c r="E96" s="67">
        <v>0.8</v>
      </c>
      <c r="F96" s="67">
        <v>0.8</v>
      </c>
      <c r="G96" s="67">
        <v>0.8</v>
      </c>
      <c r="H96" s="67">
        <v>0.8</v>
      </c>
      <c r="I96" s="67">
        <v>0.8</v>
      </c>
    </row>
    <row r="97" spans="1:15" x14ac:dyDescent="0.3">
      <c r="B97" s="67" t="s">
        <v>336</v>
      </c>
    </row>
    <row r="99" spans="1:15" x14ac:dyDescent="0.3">
      <c r="A99" t="s">
        <v>275</v>
      </c>
    </row>
    <row r="100" spans="1:15" x14ac:dyDescent="0.3">
      <c r="A100" t="s">
        <v>306</v>
      </c>
    </row>
    <row r="104" spans="1:15" x14ac:dyDescent="0.3">
      <c r="A104" t="s">
        <v>308</v>
      </c>
    </row>
    <row r="105" spans="1:15" x14ac:dyDescent="0.3">
      <c r="A105" t="s">
        <v>311</v>
      </c>
    </row>
    <row r="106" spans="1:15" x14ac:dyDescent="0.3">
      <c r="A106" t="s">
        <v>309</v>
      </c>
    </row>
    <row r="107" spans="1:15" x14ac:dyDescent="0.3">
      <c r="A107" t="s">
        <v>310</v>
      </c>
    </row>
    <row r="109" spans="1:15" x14ac:dyDescent="0.3">
      <c r="L109" s="7"/>
    </row>
    <row r="110" spans="1:15" x14ac:dyDescent="0.3">
      <c r="L110" s="62"/>
      <c r="M110" s="62"/>
      <c r="N110" s="62"/>
      <c r="O110" s="62"/>
    </row>
    <row r="111" spans="1:15" x14ac:dyDescent="0.3">
      <c r="L111" s="62"/>
      <c r="M111" s="62"/>
      <c r="N111" s="62"/>
      <c r="O111" s="62"/>
    </row>
    <row r="112" spans="1:15" x14ac:dyDescent="0.3">
      <c r="L112" s="62"/>
      <c r="M112" s="62"/>
      <c r="N112" s="62"/>
      <c r="O112" s="62"/>
    </row>
    <row r="113" spans="12:15" x14ac:dyDescent="0.3">
      <c r="L113" s="62"/>
      <c r="M113" s="62"/>
      <c r="N113" s="62"/>
      <c r="O113" s="62"/>
    </row>
    <row r="114" spans="12:15" x14ac:dyDescent="0.3">
      <c r="L114" s="62"/>
      <c r="M114" s="62"/>
      <c r="N114" s="62"/>
      <c r="O114" s="62"/>
    </row>
    <row r="115" spans="12:15" x14ac:dyDescent="0.3">
      <c r="L115" s="62"/>
      <c r="M115" s="62"/>
      <c r="N115" s="62"/>
      <c r="O115" s="62"/>
    </row>
    <row r="116" spans="12:15" x14ac:dyDescent="0.3">
      <c r="L116" s="62"/>
      <c r="M116" s="62"/>
      <c r="N116" s="62"/>
      <c r="O116" s="62"/>
    </row>
    <row r="117" spans="12:15" x14ac:dyDescent="0.3">
      <c r="L117" s="62"/>
      <c r="M117" s="62"/>
      <c r="N117" s="62"/>
      <c r="O117" s="62"/>
    </row>
    <row r="118" spans="12:15" x14ac:dyDescent="0.3">
      <c r="L118" s="62"/>
      <c r="M118" s="62"/>
      <c r="N118" s="62"/>
      <c r="O118" s="62"/>
    </row>
    <row r="119" spans="12:15" x14ac:dyDescent="0.3">
      <c r="L119" s="62"/>
      <c r="M119" s="62"/>
      <c r="N119" s="62"/>
      <c r="O119" s="62"/>
    </row>
    <row r="120" spans="12:15" x14ac:dyDescent="0.3">
      <c r="L120" s="62"/>
      <c r="M120" s="62"/>
      <c r="N120" s="62"/>
      <c r="O120" s="62"/>
    </row>
    <row r="121" spans="12:15" x14ac:dyDescent="0.3">
      <c r="L121" s="62"/>
      <c r="M121" s="62"/>
      <c r="N121" s="62"/>
      <c r="O121" s="62"/>
    </row>
    <row r="122" spans="12:15" x14ac:dyDescent="0.3">
      <c r="L122" s="62"/>
      <c r="M122" s="62"/>
      <c r="N122" s="62"/>
      <c r="O122" s="62"/>
    </row>
    <row r="123" spans="12:15" x14ac:dyDescent="0.3">
      <c r="L123" s="62"/>
      <c r="M123" s="62"/>
      <c r="N123" s="62"/>
      <c r="O123" s="62"/>
    </row>
    <row r="124" spans="12:15" x14ac:dyDescent="0.3">
      <c r="L124" s="62"/>
      <c r="M124" s="62"/>
      <c r="N124" s="62"/>
      <c r="O124" s="62"/>
    </row>
    <row r="125" spans="12:15" x14ac:dyDescent="0.3">
      <c r="L125" s="62"/>
      <c r="M125" s="62"/>
      <c r="N125" s="62"/>
      <c r="O125" s="62"/>
    </row>
    <row r="126" spans="12:15" x14ac:dyDescent="0.3">
      <c r="L126" s="62"/>
      <c r="M126" s="62"/>
      <c r="N126" s="62"/>
      <c r="O126" s="62"/>
    </row>
    <row r="127" spans="12:15" x14ac:dyDescent="0.3">
      <c r="L127" s="62"/>
      <c r="M127" s="62"/>
      <c r="N127" s="62"/>
      <c r="O127" s="62"/>
    </row>
    <row r="128" spans="12:15" x14ac:dyDescent="0.3">
      <c r="L128" s="62"/>
      <c r="M128" s="62"/>
      <c r="N128" s="62"/>
      <c r="O128" s="62"/>
    </row>
    <row r="129" spans="12:15" x14ac:dyDescent="0.3">
      <c r="L129" s="62"/>
      <c r="M129" s="62"/>
      <c r="N129" s="62"/>
      <c r="O129" s="62"/>
    </row>
    <row r="130" spans="12:15" x14ac:dyDescent="0.3">
      <c r="L130" s="62"/>
      <c r="M130" s="62"/>
      <c r="N130" s="62"/>
      <c r="O130" s="62"/>
    </row>
    <row r="131" spans="12:15" x14ac:dyDescent="0.3">
      <c r="L131" s="62"/>
      <c r="M131" s="62"/>
      <c r="N131" s="62"/>
      <c r="O131" s="62"/>
    </row>
    <row r="132" spans="12:15" x14ac:dyDescent="0.3">
      <c r="L132" s="62"/>
      <c r="M132" s="62"/>
      <c r="N132" s="62"/>
      <c r="O132" s="62"/>
    </row>
    <row r="133" spans="12:15" x14ac:dyDescent="0.3">
      <c r="L133" s="62"/>
      <c r="M133" s="62"/>
      <c r="N133" s="62"/>
      <c r="O133" s="62"/>
    </row>
    <row r="134" spans="12:15" x14ac:dyDescent="0.3">
      <c r="L134" s="62"/>
      <c r="M134" s="62"/>
      <c r="N134" s="62"/>
      <c r="O134" s="62"/>
    </row>
    <row r="135" spans="12:15" x14ac:dyDescent="0.3">
      <c r="L135" s="62"/>
      <c r="M135" s="62"/>
      <c r="N135" s="62"/>
      <c r="O135" s="62"/>
    </row>
    <row r="136" spans="12:15" x14ac:dyDescent="0.3">
      <c r="L136" s="62"/>
      <c r="M136" s="62"/>
      <c r="N136" s="62"/>
      <c r="O136" s="62"/>
    </row>
    <row r="137" spans="12:15" x14ac:dyDescent="0.3">
      <c r="L137" s="62"/>
      <c r="M137" s="62"/>
      <c r="N137" s="62"/>
      <c r="O137" s="62"/>
    </row>
    <row r="138" spans="12:15" x14ac:dyDescent="0.3">
      <c r="L138" s="62"/>
      <c r="M138" s="62"/>
      <c r="N138" s="62"/>
      <c r="O138" s="6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selection activeCell="G27" sqref="G27"/>
    </sheetView>
  </sheetViews>
  <sheetFormatPr defaultRowHeight="14.4" x14ac:dyDescent="0.3"/>
  <sheetData>
    <row r="1" spans="1:21" x14ac:dyDescent="0.3">
      <c r="B1" s="7" t="s">
        <v>307</v>
      </c>
    </row>
    <row r="2" spans="1:21" x14ac:dyDescent="0.3">
      <c r="A2" s="7" t="s">
        <v>198</v>
      </c>
      <c r="B2" s="62">
        <v>1</v>
      </c>
      <c r="C2" s="62">
        <v>2</v>
      </c>
      <c r="D2" s="62">
        <v>3</v>
      </c>
      <c r="E2" s="62">
        <v>4</v>
      </c>
      <c r="F2" s="62">
        <v>5</v>
      </c>
      <c r="G2" s="62">
        <v>6</v>
      </c>
      <c r="H2" s="62">
        <v>9</v>
      </c>
      <c r="I2" s="62">
        <v>12</v>
      </c>
      <c r="J2" s="62">
        <v>18</v>
      </c>
      <c r="L2" s="7"/>
      <c r="M2" s="62"/>
      <c r="N2" s="62"/>
      <c r="O2" s="62"/>
      <c r="P2" s="62"/>
      <c r="Q2" s="62"/>
      <c r="R2" s="62"/>
      <c r="S2" s="62"/>
      <c r="T2" s="62"/>
      <c r="U2" s="62"/>
    </row>
    <row r="3" spans="1:21" x14ac:dyDescent="0.3">
      <c r="A3" t="s">
        <v>87</v>
      </c>
      <c r="B3">
        <v>0.83955543634544316</v>
      </c>
      <c r="C3">
        <v>0.48021244203879848</v>
      </c>
      <c r="D3">
        <v>0.25094395127702745</v>
      </c>
      <c r="E3">
        <v>0.14023889452616714</v>
      </c>
      <c r="F3">
        <v>8.5366651572206589E-2</v>
      </c>
      <c r="G3">
        <v>5.5845555508945446E-2</v>
      </c>
    </row>
    <row r="4" spans="1:21" x14ac:dyDescent="0.3">
      <c r="A4" t="s">
        <v>88</v>
      </c>
      <c r="B4">
        <v>1</v>
      </c>
      <c r="C4">
        <v>1</v>
      </c>
      <c r="D4">
        <v>0.75283185383108231</v>
      </c>
      <c r="E4">
        <v>0.42071668357850145</v>
      </c>
      <c r="F4">
        <v>0.25609995471661978</v>
      </c>
      <c r="G4">
        <v>0.16753666652683635</v>
      </c>
    </row>
    <row r="5" spans="1:21" x14ac:dyDescent="0.3">
      <c r="A5" t="s">
        <v>153</v>
      </c>
      <c r="B5">
        <v>1</v>
      </c>
      <c r="C5">
        <v>1</v>
      </c>
      <c r="D5">
        <v>1</v>
      </c>
      <c r="E5">
        <v>1</v>
      </c>
      <c r="F5">
        <v>0.9</v>
      </c>
      <c r="G5">
        <v>0.8</v>
      </c>
    </row>
    <row r="6" spans="1:21" x14ac:dyDescent="0.3">
      <c r="A6" t="s">
        <v>156</v>
      </c>
      <c r="B6">
        <v>1</v>
      </c>
      <c r="C6">
        <v>1</v>
      </c>
      <c r="D6">
        <v>1</v>
      </c>
      <c r="E6">
        <v>1</v>
      </c>
      <c r="F6">
        <v>1</v>
      </c>
      <c r="G6">
        <v>0.93476342845605376</v>
      </c>
      <c r="H6">
        <v>0.48847803120242955</v>
      </c>
      <c r="I6">
        <v>0.27298374297343914</v>
      </c>
      <c r="J6">
        <v>0.10870685213807318</v>
      </c>
    </row>
    <row r="7" spans="1:21" x14ac:dyDescent="0.3">
      <c r="A7" t="s">
        <v>157</v>
      </c>
      <c r="B7">
        <v>1</v>
      </c>
      <c r="C7">
        <v>1</v>
      </c>
      <c r="D7">
        <v>1</v>
      </c>
      <c r="E7">
        <v>1</v>
      </c>
      <c r="F7">
        <v>1</v>
      </c>
      <c r="G7">
        <v>1</v>
      </c>
      <c r="H7">
        <v>1</v>
      </c>
      <c r="I7">
        <v>0.65509348251981703</v>
      </c>
      <c r="J7">
        <v>0.26086956521739135</v>
      </c>
    </row>
    <row r="8" spans="1:21" x14ac:dyDescent="0.3">
      <c r="A8" t="s">
        <v>91</v>
      </c>
      <c r="B8">
        <v>0.85294997005919293</v>
      </c>
      <c r="C8">
        <v>0.34373094559494199</v>
      </c>
      <c r="D8">
        <v>0.15113367248728751</v>
      </c>
      <c r="E8">
        <v>7.8452119560318029E-2</v>
      </c>
      <c r="F8">
        <v>4.6129110611503675E-2</v>
      </c>
      <c r="G8">
        <v>2.9633956692802436E-2</v>
      </c>
    </row>
    <row r="9" spans="1:21" x14ac:dyDescent="0.3">
      <c r="A9" t="s">
        <v>92</v>
      </c>
      <c r="B9">
        <v>0.98616496672624221</v>
      </c>
      <c r="C9">
        <v>0.49695784645225222</v>
      </c>
      <c r="D9">
        <v>0.24137167876390167</v>
      </c>
      <c r="E9">
        <v>0.13044538146537718</v>
      </c>
      <c r="F9">
        <v>7.8129251638789893E-2</v>
      </c>
      <c r="G9">
        <v>5.0672922036348919E-2</v>
      </c>
    </row>
    <row r="10" spans="1:21" x14ac:dyDescent="0.3">
      <c r="A10" t="s">
        <v>93</v>
      </c>
      <c r="B10">
        <v>1</v>
      </c>
      <c r="C10">
        <v>0.5860092560249307</v>
      </c>
      <c r="D10">
        <v>0.30305533836556808</v>
      </c>
      <c r="E10">
        <v>0.16851753220337562</v>
      </c>
      <c r="F10">
        <v>0.10232787820210817</v>
      </c>
      <c r="G10">
        <v>6.685275251104833E-2</v>
      </c>
    </row>
    <row r="11" spans="1:21" x14ac:dyDescent="0.3">
      <c r="A11" t="s">
        <v>94</v>
      </c>
      <c r="B11">
        <v>1</v>
      </c>
      <c r="C11">
        <v>0.5860092560249307</v>
      </c>
      <c r="D11">
        <v>0.30305533836556808</v>
      </c>
      <c r="E11">
        <v>0.16851753220337562</v>
      </c>
      <c r="F11">
        <v>0.10232787820210817</v>
      </c>
      <c r="G11">
        <v>6.685275251104833E-2</v>
      </c>
    </row>
    <row r="12" spans="1:21" x14ac:dyDescent="0.3">
      <c r="A12" t="s">
        <v>95</v>
      </c>
      <c r="B12">
        <v>1</v>
      </c>
      <c r="C12">
        <v>0.5860092560249307</v>
      </c>
      <c r="D12">
        <v>0.30305533836556808</v>
      </c>
      <c r="E12">
        <v>0.16851753220337562</v>
      </c>
      <c r="F12">
        <v>0.10232787820210817</v>
      </c>
      <c r="G12">
        <v>6.685275251104833E-2</v>
      </c>
    </row>
    <row r="13" spans="1:21" x14ac:dyDescent="0.3">
      <c r="A13" t="s">
        <v>96</v>
      </c>
      <c r="B13">
        <v>1</v>
      </c>
      <c r="C13">
        <v>1</v>
      </c>
      <c r="D13">
        <v>0.75283185383108231</v>
      </c>
      <c r="E13">
        <v>0.42071668357850145</v>
      </c>
      <c r="F13">
        <v>0.25609995471661978</v>
      </c>
      <c r="G13">
        <v>0.16753666652683635</v>
      </c>
    </row>
    <row r="14" spans="1:21" x14ac:dyDescent="0.3">
      <c r="A14" t="s">
        <v>97</v>
      </c>
      <c r="B14">
        <v>1</v>
      </c>
      <c r="C14">
        <v>1</v>
      </c>
      <c r="D14">
        <v>0.75283185383108231</v>
      </c>
      <c r="E14">
        <v>0.42071668357850145</v>
      </c>
      <c r="F14">
        <v>0.25609995471661978</v>
      </c>
      <c r="G14">
        <v>0.16753666652683635</v>
      </c>
    </row>
    <row r="15" spans="1:21" x14ac:dyDescent="0.3">
      <c r="A15" t="s">
        <v>98</v>
      </c>
      <c r="B15">
        <v>1</v>
      </c>
      <c r="C15">
        <v>1</v>
      </c>
      <c r="D15">
        <v>0.75283185383108231</v>
      </c>
      <c r="E15">
        <v>0.42071668357850145</v>
      </c>
      <c r="F15">
        <v>0.25609995471661978</v>
      </c>
      <c r="G15">
        <v>0.16753666652683635</v>
      </c>
    </row>
    <row r="16" spans="1:21" x14ac:dyDescent="0.3">
      <c r="A16" t="s">
        <v>100</v>
      </c>
      <c r="B16">
        <v>1</v>
      </c>
      <c r="C16">
        <v>1</v>
      </c>
      <c r="D16">
        <v>0.75283185383108231</v>
      </c>
      <c r="E16">
        <v>0.42071668357850145</v>
      </c>
      <c r="F16">
        <v>0.25609995471661978</v>
      </c>
      <c r="G16">
        <v>0.16753666652683635</v>
      </c>
    </row>
    <row r="17" spans="1:10" x14ac:dyDescent="0.3">
      <c r="A17" t="s">
        <v>101</v>
      </c>
      <c r="B17">
        <v>1</v>
      </c>
      <c r="C17">
        <v>1</v>
      </c>
      <c r="D17">
        <v>0.75283185383108231</v>
      </c>
      <c r="E17">
        <v>0.42071668357850145</v>
      </c>
      <c r="F17">
        <v>0.25609995471661978</v>
      </c>
      <c r="G17">
        <v>0.16753666652683635</v>
      </c>
    </row>
    <row r="18" spans="1:10" x14ac:dyDescent="0.3">
      <c r="A18" t="s">
        <v>99</v>
      </c>
      <c r="B18">
        <v>1</v>
      </c>
      <c r="C18">
        <v>1</v>
      </c>
      <c r="D18">
        <v>0.75283185383108231</v>
      </c>
      <c r="E18">
        <v>0.42071668357850145</v>
      </c>
      <c r="F18">
        <v>0.25609995471661978</v>
      </c>
      <c r="G18">
        <v>0.16753666652683635</v>
      </c>
    </row>
    <row r="19" spans="1:10" x14ac:dyDescent="0.3">
      <c r="A19" t="s">
        <v>102</v>
      </c>
      <c r="B19">
        <v>1</v>
      </c>
      <c r="C19">
        <v>1</v>
      </c>
      <c r="D19">
        <v>1</v>
      </c>
      <c r="E19">
        <v>1</v>
      </c>
      <c r="F19">
        <v>0.9</v>
      </c>
      <c r="G19">
        <v>0.8</v>
      </c>
    </row>
    <row r="20" spans="1:10" x14ac:dyDescent="0.3">
      <c r="A20" t="s">
        <v>103</v>
      </c>
      <c r="B20">
        <v>1</v>
      </c>
      <c r="C20">
        <v>1</v>
      </c>
      <c r="D20">
        <v>1</v>
      </c>
      <c r="E20">
        <v>1</v>
      </c>
      <c r="F20">
        <v>0.9</v>
      </c>
      <c r="G20">
        <v>0.8</v>
      </c>
    </row>
    <row r="21" spans="1:10" x14ac:dyDescent="0.3">
      <c r="A21" t="s">
        <v>104</v>
      </c>
      <c r="B21">
        <v>1</v>
      </c>
      <c r="C21">
        <v>1</v>
      </c>
      <c r="D21">
        <v>1</v>
      </c>
      <c r="E21">
        <v>1</v>
      </c>
      <c r="F21">
        <v>0.9</v>
      </c>
      <c r="G21">
        <v>0.8</v>
      </c>
    </row>
    <row r="22" spans="1:10" x14ac:dyDescent="0.3">
      <c r="A22" t="s">
        <v>105</v>
      </c>
      <c r="B22">
        <v>1</v>
      </c>
      <c r="C22">
        <v>1</v>
      </c>
      <c r="D22">
        <v>1</v>
      </c>
      <c r="E22">
        <v>1</v>
      </c>
      <c r="F22">
        <v>0.9</v>
      </c>
      <c r="G22">
        <v>0.8</v>
      </c>
    </row>
    <row r="23" spans="1:10" x14ac:dyDescent="0.3">
      <c r="A23" t="s">
        <v>158</v>
      </c>
      <c r="B23">
        <v>0.83955543634544316</v>
      </c>
      <c r="C23">
        <v>0.48021244203879848</v>
      </c>
      <c r="D23">
        <v>0.25094395127702745</v>
      </c>
      <c r="E23">
        <v>0.14023889452616714</v>
      </c>
      <c r="F23">
        <v>8.5366651572206589E-2</v>
      </c>
      <c r="G23">
        <v>5.5845555508945446E-2</v>
      </c>
    </row>
    <row r="24" spans="1:10" x14ac:dyDescent="0.3">
      <c r="A24" t="s">
        <v>159</v>
      </c>
      <c r="B24">
        <v>1</v>
      </c>
      <c r="C24">
        <v>1</v>
      </c>
      <c r="D24">
        <v>0.75283185383108231</v>
      </c>
      <c r="E24">
        <v>0.42071668357850145</v>
      </c>
      <c r="F24">
        <v>0.25609995471661978</v>
      </c>
      <c r="G24">
        <v>0.16753666652683635</v>
      </c>
    </row>
    <row r="25" spans="1:10" x14ac:dyDescent="0.3">
      <c r="A25" t="s">
        <v>160</v>
      </c>
      <c r="B25">
        <v>1</v>
      </c>
      <c r="C25">
        <v>1</v>
      </c>
      <c r="D25">
        <v>0.75283185383108231</v>
      </c>
      <c r="E25">
        <v>0.42071668357850145</v>
      </c>
      <c r="F25">
        <v>0.25609995471661978</v>
      </c>
      <c r="G25">
        <v>0.16753666652683635</v>
      </c>
    </row>
    <row r="26" spans="1:10" x14ac:dyDescent="0.3">
      <c r="A26" t="s">
        <v>161</v>
      </c>
      <c r="B26">
        <v>1</v>
      </c>
      <c r="C26">
        <v>1</v>
      </c>
      <c r="D26">
        <v>1</v>
      </c>
      <c r="E26">
        <v>1</v>
      </c>
      <c r="F26">
        <v>0.9</v>
      </c>
      <c r="G26">
        <v>0.8</v>
      </c>
    </row>
    <row r="27" spans="1:10" x14ac:dyDescent="0.3">
      <c r="A27" t="s">
        <v>162</v>
      </c>
      <c r="B27">
        <v>0.83955543634544316</v>
      </c>
      <c r="C27">
        <v>0.48021244203879848</v>
      </c>
      <c r="D27">
        <v>0.25094395127702745</v>
      </c>
      <c r="E27">
        <v>0.14023889452616714</v>
      </c>
      <c r="F27">
        <v>8.5366651572206589E-2</v>
      </c>
      <c r="G27">
        <v>5.5845555508945446E-2</v>
      </c>
    </row>
    <row r="28" spans="1:10" x14ac:dyDescent="0.3">
      <c r="A28" t="s">
        <v>163</v>
      </c>
      <c r="B28">
        <v>1</v>
      </c>
      <c r="C28">
        <v>1</v>
      </c>
      <c r="D28">
        <v>0.75283185383108231</v>
      </c>
      <c r="E28">
        <v>0.42071668357850145</v>
      </c>
      <c r="F28">
        <v>0.25609995471661978</v>
      </c>
      <c r="G28">
        <v>0.16753666652683635</v>
      </c>
    </row>
    <row r="29" spans="1:10" x14ac:dyDescent="0.3">
      <c r="A29" t="s">
        <v>164</v>
      </c>
      <c r="B29">
        <v>1</v>
      </c>
      <c r="C29">
        <v>1</v>
      </c>
      <c r="D29">
        <v>1</v>
      </c>
      <c r="E29">
        <v>1</v>
      </c>
      <c r="F29">
        <v>1</v>
      </c>
      <c r="G29">
        <v>0.93476342845605376</v>
      </c>
      <c r="H29">
        <v>0.48847803120242955</v>
      </c>
      <c r="I29">
        <v>0.27298374297343914</v>
      </c>
      <c r="J29">
        <v>0.10870685213807318</v>
      </c>
    </row>
    <row r="30" spans="1:10" x14ac:dyDescent="0.3">
      <c r="A30" t="s">
        <v>165</v>
      </c>
      <c r="B30">
        <v>1</v>
      </c>
      <c r="C30">
        <v>1</v>
      </c>
      <c r="D30">
        <v>1</v>
      </c>
      <c r="E30">
        <v>1</v>
      </c>
      <c r="F30">
        <v>1</v>
      </c>
      <c r="G30">
        <v>1</v>
      </c>
      <c r="H30">
        <v>1</v>
      </c>
      <c r="I30">
        <v>0.65509348251981703</v>
      </c>
      <c r="J30">
        <v>0.26086956521739135</v>
      </c>
    </row>
    <row r="31" spans="1:10" x14ac:dyDescent="0.3">
      <c r="B31">
        <v>1</v>
      </c>
      <c r="C31">
        <v>1</v>
      </c>
      <c r="D31">
        <v>1</v>
      </c>
      <c r="E31">
        <v>1</v>
      </c>
      <c r="F31">
        <v>1</v>
      </c>
      <c r="G3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opLeftCell="A22" workbookViewId="0">
      <selection activeCell="B55" sqref="B55"/>
    </sheetView>
  </sheetViews>
  <sheetFormatPr defaultRowHeight="14.4" x14ac:dyDescent="0.3"/>
  <cols>
    <col min="1" max="1" width="65.6640625" customWidth="1"/>
    <col min="2" max="5" width="41.109375" customWidth="1"/>
  </cols>
  <sheetData>
    <row r="1" spans="1:4" x14ac:dyDescent="0.3">
      <c r="A1" s="62" t="s">
        <v>166</v>
      </c>
    </row>
    <row r="3" spans="1:4" x14ac:dyDescent="0.3">
      <c r="A3" t="s">
        <v>168</v>
      </c>
    </row>
    <row r="4" spans="1:4" x14ac:dyDescent="0.3">
      <c r="A4" t="s">
        <v>169</v>
      </c>
    </row>
    <row r="5" spans="1:4" x14ac:dyDescent="0.3">
      <c r="A5" t="s">
        <v>170</v>
      </c>
    </row>
    <row r="7" spans="1:4" x14ac:dyDescent="0.3">
      <c r="A7" t="s">
        <v>298</v>
      </c>
    </row>
    <row r="8" spans="1:4" x14ac:dyDescent="0.3">
      <c r="A8" t="s">
        <v>176</v>
      </c>
    </row>
    <row r="9" spans="1:4" x14ac:dyDescent="0.3">
      <c r="A9" t="s">
        <v>192</v>
      </c>
    </row>
    <row r="10" spans="1:4" x14ac:dyDescent="0.3">
      <c r="A10" t="s">
        <v>193</v>
      </c>
    </row>
    <row r="12" spans="1:4" x14ac:dyDescent="0.3">
      <c r="A12" s="62" t="s">
        <v>196</v>
      </c>
    </row>
    <row r="13" spans="1:4" x14ac:dyDescent="0.3">
      <c r="A13" s="7" t="s">
        <v>195</v>
      </c>
    </row>
    <row r="14" spans="1:4" x14ac:dyDescent="0.3">
      <c r="A14" t="s">
        <v>181</v>
      </c>
      <c r="B14">
        <v>5.0000000000000001E-3</v>
      </c>
      <c r="D14" t="s">
        <v>175</v>
      </c>
    </row>
    <row r="15" spans="1:4" x14ac:dyDescent="0.3">
      <c r="A15" s="1" t="s">
        <v>182</v>
      </c>
      <c r="B15" s="1">
        <v>2E-3</v>
      </c>
      <c r="D15" t="s">
        <v>178</v>
      </c>
    </row>
    <row r="16" spans="1:4" x14ac:dyDescent="0.3">
      <c r="A16" s="1" t="s">
        <v>183</v>
      </c>
      <c r="B16" s="1">
        <v>0.04</v>
      </c>
      <c r="D16" t="s">
        <v>177</v>
      </c>
    </row>
    <row r="17" spans="1:5" x14ac:dyDescent="0.3">
      <c r="A17" t="s">
        <v>184</v>
      </c>
      <c r="B17" s="1">
        <v>3</v>
      </c>
      <c r="D17" t="s">
        <v>180</v>
      </c>
    </row>
    <row r="18" spans="1:5" x14ac:dyDescent="0.3">
      <c r="A18" t="s">
        <v>185</v>
      </c>
      <c r="B18" s="1">
        <v>1</v>
      </c>
      <c r="D18" t="s">
        <v>179</v>
      </c>
    </row>
    <row r="19" spans="1:5" x14ac:dyDescent="0.3">
      <c r="A19" t="s">
        <v>186</v>
      </c>
      <c r="B19" s="1">
        <v>10</v>
      </c>
      <c r="D19" t="s">
        <v>194</v>
      </c>
    </row>
    <row r="21" spans="1:5" x14ac:dyDescent="0.3">
      <c r="A21" s="62" t="s">
        <v>197</v>
      </c>
    </row>
    <row r="22" spans="1:5" x14ac:dyDescent="0.3">
      <c r="B22" t="s">
        <v>171</v>
      </c>
    </row>
    <row r="23" spans="1:5" x14ac:dyDescent="0.3">
      <c r="A23" t="s">
        <v>172</v>
      </c>
      <c r="B23" t="s">
        <v>75</v>
      </c>
      <c r="C23" t="s">
        <v>2</v>
      </c>
      <c r="D23" t="s">
        <v>173</v>
      </c>
      <c r="E23" t="s">
        <v>174</v>
      </c>
    </row>
    <row r="24" spans="1:5" x14ac:dyDescent="0.3">
      <c r="A24" t="s">
        <v>87</v>
      </c>
      <c r="B24" t="s">
        <v>181</v>
      </c>
      <c r="C24" s="61"/>
      <c r="D24" s="61"/>
      <c r="E24" s="61"/>
    </row>
    <row r="25" spans="1:5" x14ac:dyDescent="0.3">
      <c r="A25" t="s">
        <v>88</v>
      </c>
      <c r="B25" t="s">
        <v>294</v>
      </c>
      <c r="C25" s="61"/>
      <c r="D25" s="61"/>
      <c r="E25" s="61"/>
    </row>
    <row r="26" spans="1:5" x14ac:dyDescent="0.3">
      <c r="A26" t="s">
        <v>153</v>
      </c>
      <c r="B26" s="61"/>
      <c r="C26" s="61"/>
      <c r="D26" s="61"/>
      <c r="E26" s="61"/>
    </row>
    <row r="27" spans="1:5" x14ac:dyDescent="0.3">
      <c r="A27" t="s">
        <v>156</v>
      </c>
      <c r="B27" s="61"/>
      <c r="C27" s="60" t="s">
        <v>183</v>
      </c>
      <c r="D27" s="61"/>
      <c r="E27" s="61"/>
    </row>
    <row r="28" spans="1:5" x14ac:dyDescent="0.3">
      <c r="A28" t="s">
        <v>157</v>
      </c>
      <c r="B28" s="61"/>
      <c r="C28" s="61"/>
      <c r="D28" s="61"/>
      <c r="E28" s="61"/>
    </row>
    <row r="29" spans="1:5" x14ac:dyDescent="0.3">
      <c r="A29" t="s">
        <v>91</v>
      </c>
      <c r="B29" s="61"/>
      <c r="C29" t="s">
        <v>182</v>
      </c>
      <c r="D29" t="s">
        <v>182</v>
      </c>
      <c r="E29" t="s">
        <v>182</v>
      </c>
    </row>
    <row r="30" spans="1:5" x14ac:dyDescent="0.3">
      <c r="A30" t="s">
        <v>92</v>
      </c>
      <c r="B30" s="61"/>
      <c r="C30" t="s">
        <v>188</v>
      </c>
      <c r="D30" t="s">
        <v>188</v>
      </c>
      <c r="E30" t="s">
        <v>188</v>
      </c>
    </row>
    <row r="31" spans="1:5" x14ac:dyDescent="0.3">
      <c r="A31" t="s">
        <v>93</v>
      </c>
      <c r="B31" s="61"/>
      <c r="C31" s="61"/>
      <c r="D31" t="s">
        <v>189</v>
      </c>
      <c r="E31" t="s">
        <v>187</v>
      </c>
    </row>
    <row r="32" spans="1:5" x14ac:dyDescent="0.3">
      <c r="A32" t="s">
        <v>94</v>
      </c>
      <c r="B32" s="61"/>
      <c r="C32" t="s">
        <v>189</v>
      </c>
      <c r="D32" t="s">
        <v>189</v>
      </c>
      <c r="E32" s="61"/>
    </row>
    <row r="33" spans="1:5" x14ac:dyDescent="0.3">
      <c r="A33" t="s">
        <v>95</v>
      </c>
      <c r="B33" s="61"/>
      <c r="C33" t="s">
        <v>189</v>
      </c>
      <c r="D33" s="61"/>
      <c r="E33" t="s">
        <v>189</v>
      </c>
    </row>
    <row r="34" spans="1:5" x14ac:dyDescent="0.3">
      <c r="A34" t="s">
        <v>96</v>
      </c>
      <c r="B34" s="61"/>
      <c r="C34" s="61"/>
      <c r="D34" t="s">
        <v>190</v>
      </c>
      <c r="E34" t="s">
        <v>190</v>
      </c>
    </row>
    <row r="35" spans="1:5" x14ac:dyDescent="0.3">
      <c r="A35" t="s">
        <v>97</v>
      </c>
      <c r="B35" s="61"/>
      <c r="C35" s="61"/>
      <c r="D35" t="s">
        <v>191</v>
      </c>
      <c r="E35" s="61"/>
    </row>
    <row r="36" spans="1:5" x14ac:dyDescent="0.3">
      <c r="A36" t="s">
        <v>98</v>
      </c>
      <c r="B36" s="61"/>
      <c r="C36" t="s">
        <v>190</v>
      </c>
      <c r="D36" t="s">
        <v>190</v>
      </c>
      <c r="E36" s="61"/>
    </row>
    <row r="37" spans="1:5" x14ac:dyDescent="0.3">
      <c r="A37" t="s">
        <v>100</v>
      </c>
      <c r="B37" s="61"/>
      <c r="C37" s="61"/>
      <c r="D37" s="61"/>
      <c r="E37" t="s">
        <v>191</v>
      </c>
    </row>
    <row r="38" spans="1:5" x14ac:dyDescent="0.3">
      <c r="A38" t="s">
        <v>101</v>
      </c>
      <c r="B38" s="61"/>
      <c r="C38" t="s">
        <v>190</v>
      </c>
      <c r="D38" s="61"/>
      <c r="E38" t="s">
        <v>190</v>
      </c>
    </row>
    <row r="39" spans="1:5" x14ac:dyDescent="0.3">
      <c r="A39" t="s">
        <v>99</v>
      </c>
      <c r="B39" s="61"/>
      <c r="C39" t="s">
        <v>191</v>
      </c>
      <c r="D39" s="61"/>
      <c r="E39" s="61"/>
    </row>
    <row r="40" spans="1:5" x14ac:dyDescent="0.3">
      <c r="A40" t="s">
        <v>102</v>
      </c>
      <c r="B40" s="61"/>
      <c r="C40" s="61"/>
      <c r="D40" s="60">
        <v>1</v>
      </c>
      <c r="E40" s="61"/>
    </row>
    <row r="41" spans="1:5" x14ac:dyDescent="0.3">
      <c r="A41" t="s">
        <v>103</v>
      </c>
      <c r="B41" s="61"/>
      <c r="C41" s="61"/>
      <c r="D41" s="61"/>
      <c r="E41" s="60">
        <v>1</v>
      </c>
    </row>
    <row r="42" spans="1:5" x14ac:dyDescent="0.3">
      <c r="A42" t="s">
        <v>104</v>
      </c>
      <c r="B42" s="61"/>
      <c r="C42" s="60">
        <v>1</v>
      </c>
      <c r="D42" s="61"/>
      <c r="E42" s="61"/>
    </row>
    <row r="43" spans="1:5" x14ac:dyDescent="0.3">
      <c r="A43" t="s">
        <v>105</v>
      </c>
      <c r="B43" s="61"/>
      <c r="C43" s="61"/>
      <c r="D43" s="61"/>
      <c r="E43" s="61"/>
    </row>
    <row r="44" spans="1:5" x14ac:dyDescent="0.3">
      <c r="A44" t="s">
        <v>158</v>
      </c>
      <c r="B44" s="61"/>
      <c r="C44" s="61"/>
      <c r="D44" t="s">
        <v>182</v>
      </c>
      <c r="E44" t="s">
        <v>182</v>
      </c>
    </row>
    <row r="45" spans="1:5" x14ac:dyDescent="0.3">
      <c r="A45" t="s">
        <v>159</v>
      </c>
      <c r="B45" s="61"/>
      <c r="C45" s="61"/>
      <c r="D45" t="s">
        <v>189</v>
      </c>
      <c r="E45" s="61"/>
    </row>
    <row r="46" spans="1:5" x14ac:dyDescent="0.3">
      <c r="A46" t="s">
        <v>160</v>
      </c>
      <c r="B46" s="61"/>
      <c r="C46" s="61"/>
      <c r="D46" s="61"/>
      <c r="E46" t="s">
        <v>189</v>
      </c>
    </row>
    <row r="47" spans="1:5" x14ac:dyDescent="0.3">
      <c r="A47" t="s">
        <v>161</v>
      </c>
      <c r="B47" s="61"/>
      <c r="C47" s="61"/>
      <c r="D47" s="61"/>
      <c r="E47" s="61"/>
    </row>
    <row r="48" spans="1:5" x14ac:dyDescent="0.3">
      <c r="A48" t="s">
        <v>162</v>
      </c>
      <c r="B48" t="s">
        <v>181</v>
      </c>
      <c r="C48" s="61"/>
      <c r="D48" s="61"/>
      <c r="E48" s="61"/>
    </row>
    <row r="49" spans="1:5" x14ac:dyDescent="0.3">
      <c r="A49" t="s">
        <v>163</v>
      </c>
      <c r="B49" t="s">
        <v>294</v>
      </c>
      <c r="C49" s="61"/>
      <c r="D49" s="61"/>
      <c r="E49" s="61"/>
    </row>
    <row r="50" spans="1:5" x14ac:dyDescent="0.3">
      <c r="A50" t="s">
        <v>164</v>
      </c>
      <c r="B50" s="61"/>
      <c r="C50" s="60" t="s">
        <v>183</v>
      </c>
      <c r="D50" s="61"/>
      <c r="E50" s="61"/>
    </row>
    <row r="51" spans="1:5" x14ac:dyDescent="0.3">
      <c r="A51" t="s">
        <v>165</v>
      </c>
      <c r="B51" s="61"/>
      <c r="C51" s="61"/>
      <c r="D51" s="61"/>
      <c r="E51" s="61"/>
    </row>
    <row r="54" spans="1:5" x14ac:dyDescent="0.3">
      <c r="A54" t="s">
        <v>312</v>
      </c>
    </row>
    <row r="55" spans="1:5" x14ac:dyDescent="0.3">
      <c r="A55" s="67" t="s">
        <v>319</v>
      </c>
    </row>
    <row r="56" spans="1:5" x14ac:dyDescent="0.3">
      <c r="A56" t="s">
        <v>318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13" workbookViewId="0">
      <selection activeCell="C31" sqref="B30:C31"/>
    </sheetView>
  </sheetViews>
  <sheetFormatPr defaultRowHeight="14.4" x14ac:dyDescent="0.3"/>
  <cols>
    <col min="2" max="2" width="15.33203125" customWidth="1"/>
    <col min="3" max="3" width="13.44140625" customWidth="1"/>
    <col min="4" max="5" width="28" customWidth="1"/>
    <col min="6" max="7" width="14.88671875" customWidth="1"/>
    <col min="8" max="8" width="20.109375" customWidth="1"/>
  </cols>
  <sheetData>
    <row r="1" spans="1:3" x14ac:dyDescent="0.3">
      <c r="A1" t="s">
        <v>225</v>
      </c>
    </row>
    <row r="3" spans="1:3" x14ac:dyDescent="0.3">
      <c r="A3" s="62" t="s">
        <v>245</v>
      </c>
    </row>
    <row r="4" spans="1:3" x14ac:dyDescent="0.3">
      <c r="A4" s="62"/>
      <c r="B4" s="63" t="s">
        <v>230</v>
      </c>
    </row>
    <row r="5" spans="1:3" x14ac:dyDescent="0.3">
      <c r="B5" s="63" t="s">
        <v>231</v>
      </c>
    </row>
    <row r="6" spans="1:3" x14ac:dyDescent="0.3">
      <c r="B6" s="63" t="s">
        <v>232</v>
      </c>
    </row>
    <row r="7" spans="1:3" x14ac:dyDescent="0.3">
      <c r="B7" s="63" t="s">
        <v>233</v>
      </c>
    </row>
    <row r="8" spans="1:3" x14ac:dyDescent="0.3">
      <c r="B8" s="63" t="s">
        <v>234</v>
      </c>
    </row>
    <row r="10" spans="1:3" x14ac:dyDescent="0.3">
      <c r="C10" s="63" t="s">
        <v>235</v>
      </c>
    </row>
    <row r="11" spans="1:3" x14ac:dyDescent="0.3">
      <c r="C11" s="63" t="s">
        <v>236</v>
      </c>
    </row>
    <row r="13" spans="1:3" x14ac:dyDescent="0.3">
      <c r="C13" s="63" t="s">
        <v>237</v>
      </c>
    </row>
    <row r="14" spans="1:3" x14ac:dyDescent="0.3">
      <c r="B14" s="63" t="s">
        <v>238</v>
      </c>
    </row>
    <row r="17" spans="1:3" x14ac:dyDescent="0.3">
      <c r="C17" s="63" t="s">
        <v>239</v>
      </c>
    </row>
    <row r="18" spans="1:3" x14ac:dyDescent="0.3">
      <c r="A18" s="64" t="s">
        <v>246</v>
      </c>
    </row>
    <row r="19" spans="1:3" x14ac:dyDescent="0.3">
      <c r="B19" s="63" t="s">
        <v>240</v>
      </c>
    </row>
    <row r="20" spans="1:3" x14ac:dyDescent="0.3">
      <c r="B20" s="63" t="s">
        <v>241</v>
      </c>
    </row>
    <row r="21" spans="1:3" x14ac:dyDescent="0.3">
      <c r="B21" s="63" t="s">
        <v>242</v>
      </c>
    </row>
    <row r="23" spans="1:3" x14ac:dyDescent="0.3">
      <c r="A23" s="62"/>
    </row>
    <row r="24" spans="1:3" x14ac:dyDescent="0.3">
      <c r="A24" t="s">
        <v>247</v>
      </c>
    </row>
    <row r="25" spans="1:3" x14ac:dyDescent="0.3">
      <c r="B25" t="s">
        <v>243</v>
      </c>
      <c r="C25" t="s">
        <v>248</v>
      </c>
    </row>
    <row r="26" spans="1:3" x14ac:dyDescent="0.3">
      <c r="B26" t="s">
        <v>244</v>
      </c>
      <c r="C26" t="s">
        <v>249</v>
      </c>
    </row>
    <row r="27" spans="1:3" x14ac:dyDescent="0.3">
      <c r="B27" t="s">
        <v>283</v>
      </c>
      <c r="C27" t="s">
        <v>284</v>
      </c>
    </row>
    <row r="28" spans="1:3" x14ac:dyDescent="0.3">
      <c r="B28" t="s">
        <v>288</v>
      </c>
      <c r="C28" t="s">
        <v>291</v>
      </c>
    </row>
    <row r="30" spans="1:3" x14ac:dyDescent="0.3">
      <c r="A30" t="s">
        <v>278</v>
      </c>
      <c r="B30" t="s">
        <v>279</v>
      </c>
      <c r="C30" t="s">
        <v>280</v>
      </c>
    </row>
    <row r="31" spans="1:3" x14ac:dyDescent="0.3">
      <c r="B31" t="s">
        <v>281</v>
      </c>
      <c r="C31" t="s">
        <v>282</v>
      </c>
    </row>
    <row r="33" spans="1:5" x14ac:dyDescent="0.3">
      <c r="A33" s="7" t="s">
        <v>262</v>
      </c>
    </row>
    <row r="34" spans="1:5" x14ac:dyDescent="0.3">
      <c r="B34" t="s">
        <v>243</v>
      </c>
      <c r="C34" t="s">
        <v>244</v>
      </c>
      <c r="D34" t="s">
        <v>283</v>
      </c>
      <c r="E34" t="s">
        <v>288</v>
      </c>
    </row>
    <row r="35" spans="1:5" x14ac:dyDescent="0.3">
      <c r="A35" s="55">
        <v>0</v>
      </c>
      <c r="B35" t="s">
        <v>250</v>
      </c>
      <c r="C35" t="s">
        <v>251</v>
      </c>
      <c r="D35" t="s">
        <v>285</v>
      </c>
      <c r="E35" t="s">
        <v>287</v>
      </c>
    </row>
    <row r="36" spans="1:5" x14ac:dyDescent="0.3">
      <c r="A36" s="55" t="s">
        <v>256</v>
      </c>
      <c r="B36" t="s">
        <v>250</v>
      </c>
      <c r="C36" t="s">
        <v>257</v>
      </c>
      <c r="D36" t="s">
        <v>285</v>
      </c>
      <c r="E36" t="s">
        <v>287</v>
      </c>
    </row>
    <row r="37" spans="1:5" x14ac:dyDescent="0.3">
      <c r="A37" s="55" t="s">
        <v>258</v>
      </c>
      <c r="B37" t="s">
        <v>250</v>
      </c>
      <c r="C37" t="s">
        <v>257</v>
      </c>
      <c r="D37" t="s">
        <v>286</v>
      </c>
      <c r="E37" t="s">
        <v>289</v>
      </c>
    </row>
    <row r="38" spans="1:5" x14ac:dyDescent="0.3">
      <c r="A38" s="55" t="s">
        <v>259</v>
      </c>
      <c r="B38" t="s">
        <v>260</v>
      </c>
      <c r="C38" t="s">
        <v>260</v>
      </c>
      <c r="D38" t="s">
        <v>287</v>
      </c>
      <c r="E38" t="s">
        <v>287</v>
      </c>
    </row>
    <row r="39" spans="1:5" x14ac:dyDescent="0.3">
      <c r="A39" s="55" t="s">
        <v>261</v>
      </c>
      <c r="B39" t="s">
        <v>257</v>
      </c>
      <c r="C39" t="s">
        <v>257</v>
      </c>
      <c r="D39" t="s">
        <v>287</v>
      </c>
      <c r="E39" t="s">
        <v>287</v>
      </c>
    </row>
    <row r="40" spans="1:5" x14ac:dyDescent="0.3">
      <c r="A40" s="55">
        <v>3</v>
      </c>
      <c r="B40" t="s">
        <v>260</v>
      </c>
      <c r="C40" t="s">
        <v>257</v>
      </c>
      <c r="D40" t="s">
        <v>285</v>
      </c>
      <c r="E40" t="s">
        <v>287</v>
      </c>
    </row>
    <row r="41" spans="1:5" x14ac:dyDescent="0.3">
      <c r="A41" s="55">
        <v>4</v>
      </c>
      <c r="B41" t="s">
        <v>260</v>
      </c>
      <c r="C41" t="s">
        <v>257</v>
      </c>
      <c r="D41" t="s">
        <v>286</v>
      </c>
      <c r="E41" t="s">
        <v>289</v>
      </c>
    </row>
    <row r="42" spans="1:5" x14ac:dyDescent="0.3">
      <c r="A42" s="55">
        <v>5</v>
      </c>
      <c r="B42" t="s">
        <v>260</v>
      </c>
      <c r="C42" t="s">
        <v>257</v>
      </c>
      <c r="D42" t="s">
        <v>286</v>
      </c>
      <c r="E42"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topLeftCell="A33" workbookViewId="0">
      <selection activeCell="C57" sqref="C57"/>
    </sheetView>
  </sheetViews>
  <sheetFormatPr defaultRowHeight="14.4" x14ac:dyDescent="0.3"/>
  <cols>
    <col min="1" max="2" width="10.88671875" customWidth="1"/>
    <col min="3" max="3" width="9.109375" customWidth="1"/>
    <col min="4" max="4" width="12.5546875" customWidth="1"/>
    <col min="5" max="5" width="16.44140625" customWidth="1"/>
    <col min="6" max="6" width="10.5546875" customWidth="1"/>
    <col min="7" max="7" width="11.109375" customWidth="1"/>
    <col min="8" max="8" width="8.44140625" customWidth="1"/>
    <col min="9" max="9" width="11.6640625" customWidth="1"/>
    <col min="10" max="10" width="12" customWidth="1"/>
    <col min="11" max="11" width="17.88671875" customWidth="1"/>
    <col min="13" max="13" width="20.44140625" bestFit="1" customWidth="1"/>
  </cols>
  <sheetData>
    <row r="1" spans="1:13" x14ac:dyDescent="0.3">
      <c r="A1" s="76" t="s">
        <v>27</v>
      </c>
      <c r="B1" s="76"/>
      <c r="C1" s="76"/>
      <c r="D1" s="76"/>
      <c r="E1" s="76"/>
      <c r="F1" s="8"/>
    </row>
    <row r="2" spans="1:13" x14ac:dyDescent="0.3">
      <c r="A2" s="77" t="s">
        <v>28</v>
      </c>
      <c r="B2" s="78"/>
      <c r="C2" s="78"/>
      <c r="D2" s="78"/>
      <c r="E2" s="78"/>
      <c r="F2" s="9"/>
    </row>
    <row r="3" spans="1:13" s="12" customFormat="1" ht="37.5" customHeight="1" x14ac:dyDescent="0.3">
      <c r="A3" s="10"/>
      <c r="B3" s="10" t="s">
        <v>29</v>
      </c>
      <c r="C3" s="10" t="s">
        <v>30</v>
      </c>
      <c r="D3" s="10" t="s">
        <v>31</v>
      </c>
      <c r="E3" s="10" t="s">
        <v>32</v>
      </c>
      <c r="F3" s="11"/>
    </row>
    <row r="4" spans="1:13" ht="16.5" customHeight="1" x14ac:dyDescent="0.3">
      <c r="A4" s="13" t="s">
        <v>33</v>
      </c>
      <c r="B4" s="14">
        <v>751</v>
      </c>
      <c r="C4" s="15">
        <v>2.3E-2</v>
      </c>
      <c r="D4" s="16">
        <f>B4*C4</f>
        <v>17.273</v>
      </c>
      <c r="E4" s="17">
        <f>D4/B4</f>
        <v>2.3E-2</v>
      </c>
      <c r="F4" s="18"/>
    </row>
    <row r="5" spans="1:13" x14ac:dyDescent="0.3">
      <c r="A5" s="13" t="s">
        <v>34</v>
      </c>
      <c r="B5" s="14">
        <v>1299</v>
      </c>
      <c r="C5" s="15">
        <v>1.4999999999999999E-2</v>
      </c>
      <c r="D5" s="16">
        <f>B5*C5</f>
        <v>19.484999999999999</v>
      </c>
      <c r="E5" s="17">
        <f>D5/B5</f>
        <v>1.4999999999999999E-2</v>
      </c>
      <c r="F5" s="18"/>
    </row>
    <row r="6" spans="1:13" x14ac:dyDescent="0.3">
      <c r="A6" s="19" t="s">
        <v>35</v>
      </c>
      <c r="B6" s="19">
        <f>SUM(B4:B5)</f>
        <v>2050</v>
      </c>
      <c r="C6" s="19"/>
      <c r="D6" s="20">
        <f>SUM(D4:D5)</f>
        <v>36.757999999999996</v>
      </c>
      <c r="E6" s="21">
        <f>D6/B6</f>
        <v>1.7930731707317071E-2</v>
      </c>
      <c r="F6" s="22"/>
    </row>
    <row r="7" spans="1:13" x14ac:dyDescent="0.3">
      <c r="A7" s="79" t="s">
        <v>36</v>
      </c>
      <c r="B7" s="75"/>
      <c r="C7" s="75"/>
      <c r="D7" s="75"/>
      <c r="E7" s="75"/>
      <c r="F7" s="23"/>
      <c r="G7" s="79" t="s">
        <v>37</v>
      </c>
      <c r="H7" s="75"/>
      <c r="I7" s="75"/>
      <c r="J7" s="75"/>
      <c r="K7" s="75"/>
    </row>
    <row r="8" spans="1:13" ht="38.25" customHeight="1" x14ac:dyDescent="0.3">
      <c r="A8" s="24"/>
      <c r="B8" s="10" t="s">
        <v>38</v>
      </c>
      <c r="C8" s="25"/>
      <c r="D8" s="10" t="s">
        <v>39</v>
      </c>
      <c r="E8" s="10" t="s">
        <v>40</v>
      </c>
      <c r="F8" s="11"/>
      <c r="G8" s="24"/>
      <c r="H8" s="10" t="s">
        <v>41</v>
      </c>
      <c r="I8" s="25"/>
      <c r="J8" s="10" t="s">
        <v>39</v>
      </c>
      <c r="K8" s="10" t="s">
        <v>40</v>
      </c>
    </row>
    <row r="9" spans="1:13" ht="18.75" customHeight="1" x14ac:dyDescent="0.3">
      <c r="A9" s="13" t="s">
        <v>33</v>
      </c>
      <c r="B9" s="26">
        <v>63</v>
      </c>
      <c r="C9" s="27"/>
      <c r="D9" s="28">
        <v>23</v>
      </c>
      <c r="E9" s="17">
        <f>D9/B9</f>
        <v>0.36507936507936506</v>
      </c>
      <c r="F9" s="29"/>
      <c r="G9" s="13" t="s">
        <v>33</v>
      </c>
      <c r="H9" s="26">
        <v>892</v>
      </c>
      <c r="I9" s="27"/>
      <c r="J9" s="28">
        <f>0.025*892</f>
        <v>22.3</v>
      </c>
      <c r="K9" s="17">
        <f>J9/H9</f>
        <v>2.5000000000000001E-2</v>
      </c>
    </row>
    <row r="10" spans="1:13" x14ac:dyDescent="0.3">
      <c r="A10" s="13" t="s">
        <v>34</v>
      </c>
      <c r="B10" s="26">
        <v>103</v>
      </c>
      <c r="C10" s="27"/>
      <c r="D10" s="28">
        <v>41</v>
      </c>
      <c r="E10" s="17">
        <f>D10/B10</f>
        <v>0.39805825242718446</v>
      </c>
      <c r="F10" s="29"/>
      <c r="G10" s="13" t="s">
        <v>34</v>
      </c>
      <c r="H10" s="26">
        <v>1397</v>
      </c>
      <c r="I10" s="27"/>
      <c r="J10" s="28">
        <f>0.005*1397</f>
        <v>6.9850000000000003</v>
      </c>
      <c r="K10" s="17">
        <f>J10/H10</f>
        <v>5.0000000000000001E-3</v>
      </c>
    </row>
    <row r="11" spans="1:13" x14ac:dyDescent="0.3">
      <c r="A11" s="19" t="s">
        <v>35</v>
      </c>
      <c r="B11" s="20">
        <f t="shared" ref="B11:C11" si="0">SUM(B9:B10)</f>
        <v>166</v>
      </c>
      <c r="C11" s="20">
        <f t="shared" si="0"/>
        <v>0</v>
      </c>
      <c r="D11" s="20">
        <f>SUM(D9:D10)</f>
        <v>64</v>
      </c>
      <c r="E11" s="21">
        <f>D11/B11</f>
        <v>0.38554216867469882</v>
      </c>
      <c r="F11" s="22"/>
      <c r="G11" s="19" t="s">
        <v>35</v>
      </c>
      <c r="H11" s="20">
        <f t="shared" ref="H11" si="1">SUM(H9:H10)</f>
        <v>2289</v>
      </c>
      <c r="I11" s="20"/>
      <c r="J11" s="20">
        <f>SUM(J9:J10)</f>
        <v>29.285</v>
      </c>
      <c r="K11" s="21">
        <f>J11/H11</f>
        <v>1.2793796417649628E-2</v>
      </c>
    </row>
    <row r="12" spans="1:13" x14ac:dyDescent="0.3">
      <c r="A12" s="30"/>
      <c r="B12" s="23"/>
      <c r="C12" s="23"/>
      <c r="D12" s="23"/>
      <c r="E12" s="23"/>
      <c r="F12" s="23"/>
    </row>
    <row r="13" spans="1:13" x14ac:dyDescent="0.3">
      <c r="A13" s="80" t="s">
        <v>42</v>
      </c>
      <c r="B13" s="81"/>
      <c r="C13" s="81"/>
      <c r="D13" s="81"/>
      <c r="E13" s="81"/>
      <c r="F13" s="81"/>
      <c r="G13" s="81"/>
      <c r="H13" s="81"/>
      <c r="I13" s="81"/>
      <c r="J13" s="81"/>
      <c r="K13" s="81"/>
      <c r="M13" t="s">
        <v>76</v>
      </c>
    </row>
    <row r="14" spans="1:13" x14ac:dyDescent="0.3">
      <c r="A14" s="77" t="s">
        <v>28</v>
      </c>
      <c r="B14" s="78"/>
      <c r="C14" s="78"/>
      <c r="D14" s="78"/>
      <c r="E14" s="78"/>
      <c r="F14" s="78"/>
      <c r="G14" s="78"/>
      <c r="H14" s="78"/>
      <c r="I14" s="78"/>
      <c r="J14" s="78"/>
      <c r="K14" s="78"/>
    </row>
    <row r="15" spans="1:13" s="12" customFormat="1" ht="42" customHeight="1" x14ac:dyDescent="0.3">
      <c r="A15" s="31"/>
      <c r="B15" s="32" t="s">
        <v>43</v>
      </c>
      <c r="C15" s="32" t="s">
        <v>134</v>
      </c>
      <c r="D15" s="32" t="s">
        <v>44</v>
      </c>
      <c r="E15" s="32" t="s">
        <v>45</v>
      </c>
      <c r="F15" s="32"/>
      <c r="G15" s="32" t="s">
        <v>29</v>
      </c>
      <c r="H15" s="32" t="s">
        <v>46</v>
      </c>
      <c r="I15" s="32" t="s">
        <v>47</v>
      </c>
      <c r="J15" s="32" t="s">
        <v>48</v>
      </c>
      <c r="K15" s="32" t="s">
        <v>49</v>
      </c>
    </row>
    <row r="16" spans="1:13" x14ac:dyDescent="0.3">
      <c r="A16" s="13" t="s">
        <v>33</v>
      </c>
      <c r="B16" s="14">
        <v>732</v>
      </c>
      <c r="C16" s="33">
        <v>4.0000000000000001E-3</v>
      </c>
      <c r="D16" s="28">
        <f>B16*C16</f>
        <v>2.9279999999999999</v>
      </c>
      <c r="E16" s="34"/>
      <c r="F16" s="34"/>
      <c r="G16" s="14">
        <v>736</v>
      </c>
      <c r="H16" s="35">
        <v>3.7999999999999999E-2</v>
      </c>
      <c r="I16" s="28">
        <f>B16*H16</f>
        <v>27.815999999999999</v>
      </c>
      <c r="J16" s="34"/>
      <c r="K16" s="36"/>
    </row>
    <row r="17" spans="1:13" x14ac:dyDescent="0.3">
      <c r="A17" s="13" t="s">
        <v>34</v>
      </c>
      <c r="B17" s="14">
        <v>1299</v>
      </c>
      <c r="C17" s="33">
        <v>4.0000000000000001E-3</v>
      </c>
      <c r="D17" s="28">
        <f>B17*C17</f>
        <v>5.1959999999999997</v>
      </c>
      <c r="E17" s="34"/>
      <c r="F17" s="34"/>
      <c r="G17" s="14">
        <v>1301</v>
      </c>
      <c r="H17" s="35">
        <v>7.4999999999999997E-2</v>
      </c>
      <c r="I17" s="28">
        <f>B17*H17</f>
        <v>97.424999999999997</v>
      </c>
      <c r="J17" s="34"/>
      <c r="K17" s="36"/>
    </row>
    <row r="18" spans="1:13" x14ac:dyDescent="0.3">
      <c r="A18" s="19" t="s">
        <v>50</v>
      </c>
      <c r="B18" s="19">
        <f>SUM(B16:B17)</f>
        <v>2031</v>
      </c>
      <c r="C18" s="37"/>
      <c r="D18" s="20">
        <f>SUM(D16:D17)</f>
        <v>8.1239999999999988</v>
      </c>
      <c r="E18" s="38">
        <f>D18/B18</f>
        <v>3.9999999999999992E-3</v>
      </c>
      <c r="F18" s="38"/>
      <c r="G18" s="39">
        <f>SUM(G16:G17)</f>
        <v>2037</v>
      </c>
      <c r="H18" s="37"/>
      <c r="I18" s="20">
        <f>SUM(I16:I17)</f>
        <v>125.241</v>
      </c>
      <c r="J18" s="38">
        <f>I18/B18</f>
        <v>6.1664697193500741E-2</v>
      </c>
      <c r="K18" s="40">
        <f>(I18+D18)/(B18+G18)</f>
        <v>3.2783923303834811E-2</v>
      </c>
      <c r="M18" s="50">
        <f>E18/J18</f>
        <v>6.4866936546338641E-2</v>
      </c>
    </row>
    <row r="19" spans="1:13" x14ac:dyDescent="0.3">
      <c r="A19" s="75" t="s">
        <v>51</v>
      </c>
      <c r="B19" s="75"/>
      <c r="C19" s="75"/>
      <c r="D19" s="75"/>
      <c r="E19" s="75"/>
      <c r="F19" s="75"/>
      <c r="G19" s="75"/>
      <c r="H19" s="75"/>
      <c r="I19" s="75"/>
      <c r="J19" s="75"/>
      <c r="K19" s="75"/>
      <c r="M19" s="50"/>
    </row>
    <row r="20" spans="1:13" ht="42.75" customHeight="1" x14ac:dyDescent="0.3">
      <c r="A20" s="41"/>
      <c r="B20" s="32" t="s">
        <v>52</v>
      </c>
      <c r="C20" s="32" t="s">
        <v>53</v>
      </c>
      <c r="D20" s="32" t="s">
        <v>54</v>
      </c>
      <c r="E20" s="32" t="s">
        <v>55</v>
      </c>
      <c r="F20" s="32"/>
      <c r="G20" s="32" t="s">
        <v>52</v>
      </c>
      <c r="H20" s="32" t="s">
        <v>46</v>
      </c>
      <c r="I20" s="32" t="s">
        <v>54</v>
      </c>
      <c r="J20" s="32" t="s">
        <v>48</v>
      </c>
      <c r="K20" s="32" t="s">
        <v>56</v>
      </c>
      <c r="M20" s="50"/>
    </row>
    <row r="21" spans="1:13" ht="16.5" customHeight="1" x14ac:dyDescent="0.3">
      <c r="A21" s="13" t="s">
        <v>33</v>
      </c>
      <c r="B21" s="34">
        <v>869</v>
      </c>
      <c r="C21" s="35">
        <v>4.0000000000000001E-3</v>
      </c>
      <c r="D21" s="28">
        <f>B21*C21</f>
        <v>3.476</v>
      </c>
      <c r="E21" s="34"/>
      <c r="F21" s="34"/>
      <c r="G21" s="34">
        <v>873</v>
      </c>
      <c r="H21" s="35">
        <v>3.9E-2</v>
      </c>
      <c r="I21" s="28">
        <f>G21*H21</f>
        <v>34.046999999999997</v>
      </c>
      <c r="J21" s="36"/>
      <c r="K21" s="36"/>
      <c r="M21" s="50"/>
    </row>
    <row r="22" spans="1:13" x14ac:dyDescent="0.3">
      <c r="A22" s="13" t="s">
        <v>34</v>
      </c>
      <c r="B22" s="34">
        <v>1401</v>
      </c>
      <c r="C22" s="35">
        <v>5.0000000000000001E-3</v>
      </c>
      <c r="D22" s="28">
        <f>B22*C22</f>
        <v>7.0049999999999999</v>
      </c>
      <c r="E22" s="34"/>
      <c r="F22" s="34"/>
      <c r="G22" s="34">
        <v>1401</v>
      </c>
      <c r="H22" s="35">
        <v>7.6999999999999999E-2</v>
      </c>
      <c r="I22" s="28">
        <f>G22*H22</f>
        <v>107.877</v>
      </c>
      <c r="J22" s="36"/>
      <c r="K22" s="36"/>
      <c r="M22" s="50"/>
    </row>
    <row r="23" spans="1:13" x14ac:dyDescent="0.3">
      <c r="A23" s="19" t="s">
        <v>50</v>
      </c>
      <c r="B23" s="42">
        <f>SUM(B21:B22)</f>
        <v>2270</v>
      </c>
      <c r="C23" s="42"/>
      <c r="D23" s="43">
        <f>SUM(D21:D22)</f>
        <v>10.481</v>
      </c>
      <c r="E23" s="44">
        <f>D23/B23</f>
        <v>4.6171806167400881E-3</v>
      </c>
      <c r="F23" s="44"/>
      <c r="G23" s="42">
        <f>SUM(G21:G22)</f>
        <v>2274</v>
      </c>
      <c r="H23" s="45"/>
      <c r="I23" s="43">
        <f>SUM(I21:I22)</f>
        <v>141.92399999999998</v>
      </c>
      <c r="J23" s="44">
        <f>I23/G23</f>
        <v>6.2411609498680728E-2</v>
      </c>
      <c r="K23" s="40">
        <f>(I23+D23)/(B23+G23)</f>
        <v>3.353983274647887E-2</v>
      </c>
      <c r="M23" s="50">
        <f>E23/J23</f>
        <v>7.3979515250887529E-2</v>
      </c>
    </row>
    <row r="24" spans="1:13" x14ac:dyDescent="0.3">
      <c r="A24" s="75" t="s">
        <v>57</v>
      </c>
      <c r="B24" s="75"/>
      <c r="C24" s="75"/>
      <c r="D24" s="75"/>
      <c r="E24" s="75"/>
      <c r="F24" s="75"/>
      <c r="G24" s="75"/>
      <c r="H24" s="75"/>
      <c r="I24" s="75"/>
      <c r="J24" s="75"/>
      <c r="K24" s="75"/>
      <c r="M24" s="50"/>
    </row>
    <row r="25" spans="1:13" ht="42.75" customHeight="1" x14ac:dyDescent="0.3">
      <c r="A25" s="41"/>
      <c r="B25" s="32" t="s">
        <v>58</v>
      </c>
      <c r="C25" s="32" t="s">
        <v>53</v>
      </c>
      <c r="D25" s="32" t="s">
        <v>54</v>
      </c>
      <c r="E25" s="32" t="s">
        <v>55</v>
      </c>
      <c r="F25" s="32"/>
      <c r="G25" s="32" t="s">
        <v>38</v>
      </c>
      <c r="H25" s="32" t="s">
        <v>46</v>
      </c>
      <c r="I25" s="32" t="s">
        <v>54</v>
      </c>
      <c r="J25" s="32" t="s">
        <v>48</v>
      </c>
      <c r="K25" s="32" t="s">
        <v>56</v>
      </c>
      <c r="M25" s="50"/>
    </row>
    <row r="26" spans="1:13" ht="16.5" customHeight="1" x14ac:dyDescent="0.3">
      <c r="A26" s="13" t="s">
        <v>33</v>
      </c>
      <c r="B26" s="34">
        <v>56</v>
      </c>
      <c r="C26" s="35">
        <v>3.2000000000000001E-2</v>
      </c>
      <c r="D26" s="28">
        <f>B26*C26</f>
        <v>1.792</v>
      </c>
      <c r="E26" s="34"/>
      <c r="F26" s="34"/>
      <c r="G26" s="34">
        <v>60</v>
      </c>
      <c r="H26" s="35">
        <v>0.122</v>
      </c>
      <c r="I26" s="28">
        <f>G26*H26</f>
        <v>7.32</v>
      </c>
      <c r="J26" s="36"/>
      <c r="K26" s="36"/>
      <c r="M26" s="50"/>
    </row>
    <row r="27" spans="1:13" x14ac:dyDescent="0.3">
      <c r="A27" s="13" t="s">
        <v>34</v>
      </c>
      <c r="B27" s="34">
        <v>100</v>
      </c>
      <c r="C27" s="35">
        <v>1.4E-2</v>
      </c>
      <c r="D27" s="28">
        <f>B27*C27</f>
        <v>1.4000000000000001</v>
      </c>
      <c r="E27" s="34"/>
      <c r="F27" s="34"/>
      <c r="G27" s="34">
        <v>102</v>
      </c>
      <c r="H27" s="35">
        <v>0.13800000000000001</v>
      </c>
      <c r="I27" s="28">
        <f>G27*H27</f>
        <v>14.076000000000001</v>
      </c>
      <c r="J27" s="36"/>
      <c r="K27" s="36"/>
      <c r="M27" s="50"/>
    </row>
    <row r="28" spans="1:13" x14ac:dyDescent="0.3">
      <c r="A28" s="19" t="s">
        <v>50</v>
      </c>
      <c r="B28" s="42">
        <f>SUM(B26:B27)</f>
        <v>156</v>
      </c>
      <c r="C28" s="42"/>
      <c r="D28" s="43">
        <f>SUM(D26:D27)</f>
        <v>3.1920000000000002</v>
      </c>
      <c r="E28" s="44">
        <f>D28/B28</f>
        <v>2.0461538461538462E-2</v>
      </c>
      <c r="F28" s="44"/>
      <c r="G28" s="42">
        <f>SUM(G26:G27)</f>
        <v>162</v>
      </c>
      <c r="H28" s="45"/>
      <c r="I28" s="43">
        <f>SUM(I26:I27)</f>
        <v>21.396000000000001</v>
      </c>
      <c r="J28" s="44">
        <f>I28/G28</f>
        <v>0.13207407407407407</v>
      </c>
      <c r="K28" s="40">
        <f>(I28+D28)/(B28+G28)</f>
        <v>7.7320754716981133E-2</v>
      </c>
      <c r="M28" s="50">
        <f>E28/J28</f>
        <v>0.15492471633806465</v>
      </c>
    </row>
    <row r="29" spans="1:13" x14ac:dyDescent="0.3">
      <c r="A29" s="46" t="s">
        <v>59</v>
      </c>
      <c r="B29" s="46"/>
      <c r="C29" s="46"/>
      <c r="D29" s="46"/>
      <c r="E29" s="46"/>
      <c r="F29" s="46"/>
      <c r="G29" s="46"/>
      <c r="H29" s="46"/>
      <c r="I29" s="46"/>
      <c r="J29" s="46"/>
      <c r="K29" s="46"/>
    </row>
    <row r="30" spans="1:13" x14ac:dyDescent="0.3">
      <c r="G30" s="18"/>
    </row>
    <row r="31" spans="1:13" x14ac:dyDescent="0.3">
      <c r="G31" s="18"/>
    </row>
    <row r="32" spans="1:13" x14ac:dyDescent="0.3">
      <c r="G32" s="18"/>
    </row>
    <row r="33" spans="1:11" x14ac:dyDescent="0.3">
      <c r="A33" t="s">
        <v>60</v>
      </c>
      <c r="K33" s="47">
        <f>I23+D23</f>
        <v>152.40499999999997</v>
      </c>
    </row>
    <row r="35" spans="1:11" x14ac:dyDescent="0.3">
      <c r="A35" t="s">
        <v>61</v>
      </c>
    </row>
    <row r="36" spans="1:11" x14ac:dyDescent="0.3">
      <c r="A36" t="s">
        <v>62</v>
      </c>
    </row>
    <row r="37" spans="1:11" x14ac:dyDescent="0.3">
      <c r="B37" t="s">
        <v>63</v>
      </c>
      <c r="E37" t="s">
        <v>64</v>
      </c>
      <c r="I37" t="s">
        <v>35</v>
      </c>
    </row>
    <row r="38" spans="1:11" x14ac:dyDescent="0.3">
      <c r="B38" t="s">
        <v>65</v>
      </c>
      <c r="C38" t="s">
        <v>66</v>
      </c>
      <c r="D38" t="s">
        <v>67</v>
      </c>
      <c r="E38" t="s">
        <v>65</v>
      </c>
      <c r="F38" t="s">
        <v>66</v>
      </c>
      <c r="G38" t="s">
        <v>67</v>
      </c>
      <c r="I38" t="s">
        <v>65</v>
      </c>
      <c r="J38" t="s">
        <v>66</v>
      </c>
      <c r="K38" t="s">
        <v>67</v>
      </c>
    </row>
    <row r="39" spans="1:11" x14ac:dyDescent="0.3">
      <c r="A39" t="s">
        <v>68</v>
      </c>
      <c r="B39">
        <f>C39+D39</f>
        <v>307</v>
      </c>
      <c r="C39">
        <v>87</v>
      </c>
      <c r="D39">
        <v>220</v>
      </c>
      <c r="E39">
        <f>I39-B39</f>
        <v>4651</v>
      </c>
      <c r="F39">
        <f t="shared" ref="F39:G39" si="2">J39-C39</f>
        <v>2978</v>
      </c>
      <c r="G39">
        <f t="shared" si="2"/>
        <v>1673</v>
      </c>
      <c r="I39">
        <f>J39+K39</f>
        <v>4958</v>
      </c>
      <c r="J39">
        <v>3065</v>
      </c>
      <c r="K39">
        <v>1893</v>
      </c>
    </row>
    <row r="40" spans="1:11" x14ac:dyDescent="0.3">
      <c r="A40" t="s">
        <v>16</v>
      </c>
      <c r="B40">
        <f>C40+D40</f>
        <v>307</v>
      </c>
      <c r="C40">
        <v>87</v>
      </c>
      <c r="D40">
        <v>220</v>
      </c>
      <c r="E40">
        <v>0</v>
      </c>
      <c r="F40">
        <v>0</v>
      </c>
      <c r="G40">
        <v>1</v>
      </c>
      <c r="I40">
        <f>J40+K40</f>
        <v>308</v>
      </c>
      <c r="J40">
        <v>87</v>
      </c>
      <c r="K40">
        <v>221</v>
      </c>
    </row>
    <row r="41" spans="1:11" x14ac:dyDescent="0.3">
      <c r="A41" t="s">
        <v>69</v>
      </c>
      <c r="B41">
        <f>C41+D41</f>
        <v>307</v>
      </c>
      <c r="C41">
        <v>87</v>
      </c>
      <c r="D41">
        <v>220</v>
      </c>
      <c r="E41">
        <f>I41-B41</f>
        <v>507</v>
      </c>
      <c r="F41">
        <f>J41-C41</f>
        <v>252</v>
      </c>
      <c r="G41">
        <f>K41-D41</f>
        <v>255</v>
      </c>
      <c r="I41">
        <f>J41+K41</f>
        <v>814</v>
      </c>
      <c r="J41">
        <f>ROUND(0.1106*J39,0)</f>
        <v>339</v>
      </c>
      <c r="K41">
        <f>ROUND(0.2509*K39,0)</f>
        <v>475</v>
      </c>
    </row>
    <row r="42" spans="1:11" x14ac:dyDescent="0.3">
      <c r="A42" t="s">
        <v>70</v>
      </c>
      <c r="B42">
        <f>C42+D42</f>
        <v>72</v>
      </c>
      <c r="C42">
        <f>ROUND(0.3103*C39,0)</f>
        <v>27</v>
      </c>
      <c r="D42">
        <f>ROUND(0.2045*D39,0)</f>
        <v>45</v>
      </c>
      <c r="E42">
        <f>F42+G42</f>
        <v>307</v>
      </c>
      <c r="F42">
        <f>J42-C42</f>
        <v>186</v>
      </c>
      <c r="G42">
        <f>K42-D42</f>
        <v>121</v>
      </c>
      <c r="I42">
        <f>J42+K42</f>
        <v>379</v>
      </c>
      <c r="J42">
        <f>ROUND(0.0695*J39,0)</f>
        <v>213</v>
      </c>
      <c r="K42">
        <f>ROUND(0.0877*K39,0)</f>
        <v>166</v>
      </c>
    </row>
    <row r="43" spans="1:11" x14ac:dyDescent="0.3">
      <c r="A43" t="s">
        <v>71</v>
      </c>
      <c r="B43">
        <f>C43+D43</f>
        <v>50</v>
      </c>
      <c r="C43">
        <f>ROUND(0.1839*C39,0)</f>
        <v>16</v>
      </c>
      <c r="D43">
        <f>ROUND(0.1545*D39,0)</f>
        <v>34</v>
      </c>
      <c r="E43">
        <f>F43+G43</f>
        <v>105</v>
      </c>
      <c r="F43">
        <f>J43-C43</f>
        <v>63</v>
      </c>
      <c r="G43">
        <f>K43-D43</f>
        <v>42</v>
      </c>
      <c r="I43">
        <f>J43+K43</f>
        <v>155</v>
      </c>
      <c r="J43">
        <f>ROUND(0.0258*J39,0)</f>
        <v>79</v>
      </c>
      <c r="K43">
        <f>ROUND(0.0401*K39,0)</f>
        <v>76</v>
      </c>
    </row>
    <row r="44" spans="1:11" x14ac:dyDescent="0.3">
      <c r="A44" t="s">
        <v>137</v>
      </c>
      <c r="B44">
        <f>M28*B43</f>
        <v>7.7462358169032326</v>
      </c>
      <c r="E44">
        <f>M23*E43</f>
        <v>7.7678491013431907</v>
      </c>
    </row>
    <row r="45" spans="1:11" x14ac:dyDescent="0.3">
      <c r="A45" t="s">
        <v>78</v>
      </c>
      <c r="B45">
        <f>(B44+B43)/2</f>
        <v>28.873117908451615</v>
      </c>
      <c r="E45">
        <f>(E44+E43)/2</f>
        <v>56.383924550671594</v>
      </c>
    </row>
    <row r="46" spans="1:11" x14ac:dyDescent="0.3">
      <c r="B46" t="s">
        <v>63</v>
      </c>
      <c r="E46" t="s">
        <v>64</v>
      </c>
      <c r="I46" t="s">
        <v>35</v>
      </c>
    </row>
    <row r="47" spans="1:11" x14ac:dyDescent="0.3">
      <c r="A47" t="s">
        <v>72</v>
      </c>
      <c r="B47" t="s">
        <v>65</v>
      </c>
      <c r="C47" t="s">
        <v>66</v>
      </c>
      <c r="D47" t="s">
        <v>67</v>
      </c>
      <c r="E47" t="s">
        <v>65</v>
      </c>
      <c r="F47" t="s">
        <v>66</v>
      </c>
      <c r="G47" t="s">
        <v>67</v>
      </c>
      <c r="I47" t="s">
        <v>65</v>
      </c>
      <c r="J47" t="s">
        <v>66</v>
      </c>
      <c r="K47" t="s">
        <v>67</v>
      </c>
    </row>
    <row r="48" spans="1:11" x14ac:dyDescent="0.3">
      <c r="A48" t="s">
        <v>16</v>
      </c>
      <c r="B48" s="48">
        <f t="shared" ref="B48:G52" si="3">B40/B$39</f>
        <v>1</v>
      </c>
      <c r="C48" s="48">
        <f t="shared" si="3"/>
        <v>1</v>
      </c>
      <c r="D48" s="48">
        <f t="shared" si="3"/>
        <v>1</v>
      </c>
      <c r="E48" s="48">
        <f t="shared" si="3"/>
        <v>0</v>
      </c>
      <c r="F48" s="48">
        <f t="shared" si="3"/>
        <v>0</v>
      </c>
      <c r="G48" s="48">
        <f t="shared" si="3"/>
        <v>5.977286312014345E-4</v>
      </c>
      <c r="H48" s="48"/>
      <c r="I48" s="48">
        <f t="shared" ref="I48:K51" si="4">I40/I$39</f>
        <v>6.212182331585317E-2</v>
      </c>
      <c r="J48" s="48">
        <f t="shared" si="4"/>
        <v>2.8384991843393149E-2</v>
      </c>
      <c r="K48" s="48">
        <f t="shared" si="4"/>
        <v>0.1167459059693608</v>
      </c>
    </row>
    <row r="49" spans="1:11" x14ac:dyDescent="0.3">
      <c r="A49" t="s">
        <v>69</v>
      </c>
      <c r="B49" s="48">
        <f t="shared" si="3"/>
        <v>1</v>
      </c>
      <c r="C49" s="48">
        <f t="shared" si="3"/>
        <v>1</v>
      </c>
      <c r="D49" s="48">
        <f t="shared" si="3"/>
        <v>1</v>
      </c>
      <c r="E49" s="49">
        <f t="shared" si="3"/>
        <v>0.1090088153085358</v>
      </c>
      <c r="F49" s="49">
        <f t="shared" si="3"/>
        <v>8.4620550705171257E-2</v>
      </c>
      <c r="G49" s="49">
        <f t="shared" si="3"/>
        <v>0.15242080095636582</v>
      </c>
      <c r="H49" s="48"/>
      <c r="I49" s="48">
        <f t="shared" si="4"/>
        <v>0.16417910447761194</v>
      </c>
      <c r="J49" s="48">
        <f t="shared" si="4"/>
        <v>0.11060358890701469</v>
      </c>
      <c r="K49" s="48">
        <f t="shared" si="4"/>
        <v>0.25092445853143158</v>
      </c>
    </row>
    <row r="50" spans="1:11" x14ac:dyDescent="0.3">
      <c r="A50" t="s">
        <v>70</v>
      </c>
      <c r="B50" s="48">
        <f t="shared" si="3"/>
        <v>0.23452768729641693</v>
      </c>
      <c r="C50" s="48">
        <f t="shared" si="3"/>
        <v>0.31034482758620691</v>
      </c>
      <c r="D50" s="48">
        <f t="shared" si="3"/>
        <v>0.20454545454545456</v>
      </c>
      <c r="E50" s="49">
        <f t="shared" si="3"/>
        <v>6.6007310255858959E-2</v>
      </c>
      <c r="F50" s="49">
        <f t="shared" si="3"/>
        <v>6.2458025520483546E-2</v>
      </c>
      <c r="G50" s="49">
        <f t="shared" si="3"/>
        <v>7.2325164375373577E-2</v>
      </c>
      <c r="H50" s="48"/>
      <c r="I50" s="48">
        <f t="shared" si="4"/>
        <v>7.644211375554659E-2</v>
      </c>
      <c r="J50" s="48">
        <f t="shared" si="4"/>
        <v>6.949429037520391E-2</v>
      </c>
      <c r="K50" s="48">
        <f t="shared" si="4"/>
        <v>8.7691494981510826E-2</v>
      </c>
    </row>
    <row r="51" spans="1:11" x14ac:dyDescent="0.3">
      <c r="A51" t="s">
        <v>71</v>
      </c>
      <c r="B51" s="48">
        <f t="shared" si="3"/>
        <v>0.16286644951140064</v>
      </c>
      <c r="C51" s="48">
        <f t="shared" si="3"/>
        <v>0.18390804597701149</v>
      </c>
      <c r="D51" s="48">
        <f t="shared" si="3"/>
        <v>0.15454545454545454</v>
      </c>
      <c r="E51" s="49">
        <f t="shared" si="3"/>
        <v>2.2575790152655342E-2</v>
      </c>
      <c r="F51" s="49">
        <f t="shared" si="3"/>
        <v>2.1155137676292814E-2</v>
      </c>
      <c r="G51" s="49">
        <f t="shared" si="3"/>
        <v>2.5104602510460251E-2</v>
      </c>
      <c r="H51" s="48"/>
      <c r="I51" s="48">
        <f t="shared" si="4"/>
        <v>3.1262605889471558E-2</v>
      </c>
      <c r="J51" s="48">
        <f t="shared" si="4"/>
        <v>2.5774877650897227E-2</v>
      </c>
      <c r="K51" s="48">
        <f t="shared" si="4"/>
        <v>4.0147913365029056E-2</v>
      </c>
    </row>
    <row r="52" spans="1:11" x14ac:dyDescent="0.3">
      <c r="A52" t="s">
        <v>77</v>
      </c>
      <c r="B52" s="48">
        <f t="shared" si="3"/>
        <v>2.5232038491541476E-2</v>
      </c>
      <c r="C52" s="48"/>
      <c r="D52" s="48"/>
      <c r="E52" s="49">
        <f t="shared" si="3"/>
        <v>1.6701460118992025E-3</v>
      </c>
      <c r="F52" s="49"/>
      <c r="G52" s="49"/>
    </row>
    <row r="53" spans="1:11" x14ac:dyDescent="0.3">
      <c r="A53" t="s">
        <v>78</v>
      </c>
    </row>
    <row r="56" spans="1:11" x14ac:dyDescent="0.3">
      <c r="A56" t="s">
        <v>73</v>
      </c>
      <c r="C56" t="s">
        <v>80</v>
      </c>
      <c r="D56" t="s">
        <v>81</v>
      </c>
    </row>
    <row r="57" spans="1:11" x14ac:dyDescent="0.3">
      <c r="A57" t="s">
        <v>70</v>
      </c>
      <c r="B57" t="s">
        <v>74</v>
      </c>
      <c r="C57" s="47">
        <f>(D4+D5+E42)</f>
        <v>343.75799999999998</v>
      </c>
      <c r="D57">
        <f>(B4+B5+E39)</f>
        <v>6701</v>
      </c>
      <c r="E57" s="48">
        <f t="shared" ref="E57:E61" si="5">C57/D57</f>
        <v>5.1299507536188622E-2</v>
      </c>
    </row>
    <row r="58" spans="1:11" x14ac:dyDescent="0.3">
      <c r="B58" t="s">
        <v>75</v>
      </c>
      <c r="C58" s="47">
        <f>(D9+D10+B42)</f>
        <v>136</v>
      </c>
      <c r="D58">
        <f>(B9+B10+B39)</f>
        <v>473</v>
      </c>
      <c r="E58" s="48">
        <f t="shared" si="5"/>
        <v>0.28752642706131076</v>
      </c>
    </row>
    <row r="59" spans="1:11" x14ac:dyDescent="0.3">
      <c r="A59" t="s">
        <v>79</v>
      </c>
      <c r="B59" t="s">
        <v>74</v>
      </c>
      <c r="C59" s="47">
        <f>(I23+E43)</f>
        <v>246.92399999999998</v>
      </c>
      <c r="D59">
        <f>(G23+E39)</f>
        <v>6925</v>
      </c>
      <c r="E59" s="48">
        <f t="shared" si="5"/>
        <v>3.5656895306859206E-2</v>
      </c>
    </row>
    <row r="60" spans="1:11" x14ac:dyDescent="0.3">
      <c r="B60" t="s">
        <v>75</v>
      </c>
      <c r="C60" s="47">
        <f>(I28+B43)</f>
        <v>71.396000000000001</v>
      </c>
      <c r="D60">
        <f>(G28+B39)</f>
        <v>469</v>
      </c>
      <c r="E60" s="48">
        <f t="shared" si="5"/>
        <v>0.15223027718550106</v>
      </c>
    </row>
    <row r="61" spans="1:11" x14ac:dyDescent="0.3">
      <c r="A61" t="s">
        <v>138</v>
      </c>
      <c r="B61" t="s">
        <v>74</v>
      </c>
      <c r="C61">
        <f>(D23+M23*E43)</f>
        <v>18.24884910134319</v>
      </c>
      <c r="D61">
        <f>(B23+E39)</f>
        <v>6921</v>
      </c>
      <c r="E61" s="48">
        <f t="shared" si="5"/>
        <v>2.6367358909613046E-3</v>
      </c>
      <c r="F61" t="s">
        <v>135</v>
      </c>
    </row>
    <row r="62" spans="1:11" x14ac:dyDescent="0.3">
      <c r="B62" t="s">
        <v>75</v>
      </c>
      <c r="C62">
        <f>(D28+M28*B43)</f>
        <v>10.938235816903234</v>
      </c>
      <c r="D62">
        <f>(B28+B39)</f>
        <v>463</v>
      </c>
      <c r="E62" s="48">
        <f>C62/D62</f>
        <v>2.3624699388559899E-2</v>
      </c>
      <c r="F62" t="s">
        <v>136</v>
      </c>
    </row>
    <row r="63" spans="1:11" x14ac:dyDescent="0.3">
      <c r="A63" t="s">
        <v>69</v>
      </c>
      <c r="B63" t="s">
        <v>84</v>
      </c>
      <c r="C63" s="47">
        <f>F41</f>
        <v>252</v>
      </c>
      <c r="D63">
        <f>F39</f>
        <v>2978</v>
      </c>
      <c r="E63" s="48">
        <f t="shared" ref="E63:E64" si="6">C63/D63</f>
        <v>8.4620550705171257E-2</v>
      </c>
    </row>
    <row r="64" spans="1:11" x14ac:dyDescent="0.3">
      <c r="B64" t="s">
        <v>85</v>
      </c>
      <c r="C64">
        <f>G41</f>
        <v>255</v>
      </c>
      <c r="D64">
        <f>G39</f>
        <v>1673</v>
      </c>
      <c r="E64" s="48">
        <f t="shared" si="6"/>
        <v>0.15242080095636582</v>
      </c>
    </row>
  </sheetData>
  <mergeCells count="8">
    <mergeCell ref="A19:K19"/>
    <mergeCell ref="A24:K24"/>
    <mergeCell ref="A1:E1"/>
    <mergeCell ref="A2:E2"/>
    <mergeCell ref="A7:E7"/>
    <mergeCell ref="G7:K7"/>
    <mergeCell ref="A13:K13"/>
    <mergeCell ref="A14:K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Patient characteristics</vt:lpstr>
      <vt:lpstr>TB epi and clinical practice</vt:lpstr>
      <vt:lpstr>Treatment outcomes assumptions</vt:lpstr>
      <vt:lpstr>Relapseprobs</vt:lpstr>
      <vt:lpstr>Resistance outcomes</vt:lpstr>
      <vt:lpstr>Diagnosis and regimen selection</vt:lpstr>
      <vt:lpstr>Moxi and PZA resistance data 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EAK</dc:creator>
  <cp:lastModifiedBy>Emily Kendall</cp:lastModifiedBy>
  <cp:lastPrinted>2019-01-07T18:59:26Z</cp:lastPrinted>
  <dcterms:created xsi:type="dcterms:W3CDTF">2018-04-05T18:55:50Z</dcterms:created>
  <dcterms:modified xsi:type="dcterms:W3CDTF">2019-01-08T20:06:33Z</dcterms:modified>
</cp:coreProperties>
</file>