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SE\doc\"/>
    </mc:Choice>
  </mc:AlternateContent>
  <xr:revisionPtr revIDLastSave="0" documentId="13_ncr:1_{558A7AC4-3175-4BA5-8ABD-6F3A532BBCF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осмос" sheetId="1" r:id="rId1"/>
    <sheet name="планеты" sheetId="2" r:id="rId2"/>
    <sheet name="планеты - развернутая версия" sheetId="3" r:id="rId3"/>
    <sheet name="Лист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H10" i="4"/>
  <c r="C11" i="4"/>
  <c r="C10" i="4"/>
  <c r="E10" i="1"/>
  <c r="E11" i="1" s="1"/>
  <c r="E29" i="2"/>
  <c r="E28" i="2" s="1"/>
  <c r="E91" i="3"/>
  <c r="E92" i="3" s="1"/>
  <c r="E89" i="3"/>
  <c r="E90" i="3" s="1"/>
  <c r="E88" i="3"/>
  <c r="E77" i="3"/>
  <c r="E64" i="3"/>
  <c r="R51" i="3"/>
  <c r="R50" i="3"/>
  <c r="R49" i="3"/>
  <c r="R48" i="3"/>
  <c r="R47" i="3"/>
  <c r="R46" i="3"/>
  <c r="R43" i="3"/>
  <c r="R42" i="3"/>
  <c r="R41" i="3"/>
  <c r="R40" i="3"/>
  <c r="R39" i="3"/>
  <c r="R38" i="3"/>
  <c r="K38" i="3"/>
  <c r="E31" i="3"/>
  <c r="E32" i="3" s="1"/>
  <c r="E29" i="3"/>
  <c r="E28" i="3" s="1"/>
  <c r="E16" i="3"/>
  <c r="E15" i="3"/>
  <c r="Q48" i="3" s="1"/>
  <c r="I48" i="3" s="1"/>
  <c r="E14" i="3"/>
  <c r="P47" i="3" s="1"/>
  <c r="H47" i="3" s="1"/>
  <c r="E13" i="3"/>
  <c r="E12" i="3"/>
  <c r="O47" i="3" s="1"/>
  <c r="E11" i="3"/>
  <c r="E10" i="3"/>
  <c r="E9" i="3"/>
  <c r="K42" i="3" s="1"/>
  <c r="F8" i="3"/>
  <c r="R47" i="2"/>
  <c r="R46" i="2"/>
  <c r="R45" i="2"/>
  <c r="R44" i="2"/>
  <c r="R43" i="2"/>
  <c r="Q43" i="2"/>
  <c r="I43" i="2" s="1"/>
  <c r="R42" i="2"/>
  <c r="R39" i="2"/>
  <c r="R38" i="2"/>
  <c r="R37" i="2"/>
  <c r="R36" i="2"/>
  <c r="R35" i="2"/>
  <c r="O35" i="2"/>
  <c r="R34" i="2"/>
  <c r="E16" i="2"/>
  <c r="E15" i="2"/>
  <c r="Q47" i="2" s="1"/>
  <c r="I47" i="2" s="1"/>
  <c r="E13" i="2"/>
  <c r="E12" i="2"/>
  <c r="O43" i="2" s="1"/>
  <c r="E11" i="2"/>
  <c r="E14" i="2" s="1"/>
  <c r="E10" i="2"/>
  <c r="E9" i="2"/>
  <c r="K34" i="2" s="1"/>
  <c r="F8" i="2"/>
  <c r="F37" i="1"/>
  <c r="F36" i="1"/>
  <c r="I35" i="1"/>
  <c r="I36" i="1" s="1"/>
  <c r="F35" i="1"/>
  <c r="F39" i="1" s="1"/>
  <c r="J34" i="1"/>
  <c r="J38" i="1" s="1"/>
  <c r="J40" i="1" s="1"/>
  <c r="I34" i="1"/>
  <c r="I38" i="1" s="1"/>
  <c r="I40" i="1" s="1"/>
  <c r="H34" i="1"/>
  <c r="H38" i="1" s="1"/>
  <c r="H40" i="1" s="1"/>
  <c r="G34" i="1"/>
  <c r="G35" i="1" s="1"/>
  <c r="F34" i="1"/>
  <c r="F38" i="1" s="1"/>
  <c r="F40" i="1" s="1"/>
  <c r="E34" i="1"/>
  <c r="E38" i="1" s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J11" i="1" s="1"/>
  <c r="I6" i="1"/>
  <c r="H6" i="1"/>
  <c r="G6" i="1"/>
  <c r="G11" i="1" s="1"/>
  <c r="G12" i="1" s="1"/>
  <c r="F6" i="1"/>
  <c r="O43" i="3" l="1"/>
  <c r="Q46" i="3"/>
  <c r="I46" i="3" s="1"/>
  <c r="Q49" i="3"/>
  <c r="I49" i="3" s="1"/>
  <c r="O41" i="3"/>
  <c r="G41" i="3" s="1"/>
  <c r="O50" i="3"/>
  <c r="O40" i="3"/>
  <c r="G40" i="3" s="1"/>
  <c r="Q40" i="3"/>
  <c r="I40" i="3" s="1"/>
  <c r="O49" i="3"/>
  <c r="G49" i="3" s="1"/>
  <c r="O42" i="3"/>
  <c r="G42" i="3" s="1"/>
  <c r="Q50" i="3"/>
  <c r="I50" i="3" s="1"/>
  <c r="Q47" i="3"/>
  <c r="I47" i="3" s="1"/>
  <c r="O34" i="2"/>
  <c r="O38" i="2"/>
  <c r="Q38" i="2"/>
  <c r="I38" i="2" s="1"/>
  <c r="O39" i="2"/>
  <c r="O37" i="2"/>
  <c r="G37" i="2" s="1"/>
  <c r="Q37" i="2"/>
  <c r="I37" i="2" s="1"/>
  <c r="Q42" i="2"/>
  <c r="I42" i="2" s="1"/>
  <c r="H14" i="1"/>
  <c r="G14" i="1"/>
  <c r="J14" i="1"/>
  <c r="J15" i="1" s="1"/>
  <c r="J16" i="1" s="1"/>
  <c r="I14" i="1"/>
  <c r="F14" i="1"/>
  <c r="G39" i="1"/>
  <c r="G36" i="1"/>
  <c r="G37" i="1"/>
  <c r="K43" i="2"/>
  <c r="G43" i="2" s="1"/>
  <c r="K42" i="2"/>
  <c r="K35" i="2"/>
  <c r="G35" i="2" s="1"/>
  <c r="G34" i="2"/>
  <c r="K51" i="3"/>
  <c r="K50" i="3"/>
  <c r="K43" i="3"/>
  <c r="G43" i="3" s="1"/>
  <c r="J12" i="1"/>
  <c r="J13" i="1" s="1"/>
  <c r="E12" i="1"/>
  <c r="E13" i="1" s="1"/>
  <c r="P44" i="2"/>
  <c r="H44" i="2" s="1"/>
  <c r="P35" i="2"/>
  <c r="H35" i="2" s="1"/>
  <c r="P34" i="2"/>
  <c r="H34" i="2" s="1"/>
  <c r="P47" i="2"/>
  <c r="H47" i="2" s="1"/>
  <c r="P46" i="2"/>
  <c r="H46" i="2" s="1"/>
  <c r="P45" i="2"/>
  <c r="H45" i="2" s="1"/>
  <c r="P36" i="2"/>
  <c r="H36" i="2" s="1"/>
  <c r="P39" i="2"/>
  <c r="H39" i="2" s="1"/>
  <c r="P38" i="2"/>
  <c r="H38" i="2" s="1"/>
  <c r="P37" i="2"/>
  <c r="H37" i="2" s="1"/>
  <c r="P43" i="2"/>
  <c r="H43" i="2" s="1"/>
  <c r="P42" i="2"/>
  <c r="H42" i="2" s="1"/>
  <c r="E14" i="1"/>
  <c r="G15" i="1"/>
  <c r="G16" i="1" s="1"/>
  <c r="G38" i="1"/>
  <c r="G40" i="1" s="1"/>
  <c r="F11" i="1"/>
  <c r="H35" i="1"/>
  <c r="Q34" i="2"/>
  <c r="I34" i="2" s="1"/>
  <c r="Q35" i="2"/>
  <c r="I35" i="2" s="1"/>
  <c r="Q44" i="2"/>
  <c r="I44" i="2" s="1"/>
  <c r="I48" i="2" s="1"/>
  <c r="F26" i="2" s="1"/>
  <c r="K39" i="3"/>
  <c r="P41" i="3"/>
  <c r="H41" i="3" s="1"/>
  <c r="P42" i="3"/>
  <c r="H42" i="3" s="1"/>
  <c r="P43" i="3"/>
  <c r="H43" i="3" s="1"/>
  <c r="O51" i="3"/>
  <c r="H11" i="1"/>
  <c r="J35" i="1"/>
  <c r="I11" i="1"/>
  <c r="K38" i="2"/>
  <c r="O38" i="3"/>
  <c r="G38" i="3" s="1"/>
  <c r="O39" i="3"/>
  <c r="P40" i="3"/>
  <c r="H40" i="3" s="1"/>
  <c r="Q41" i="3"/>
  <c r="I41" i="3" s="1"/>
  <c r="Q42" i="3"/>
  <c r="I42" i="3" s="1"/>
  <c r="Q43" i="3"/>
  <c r="I43" i="3" s="1"/>
  <c r="K46" i="3"/>
  <c r="K47" i="3"/>
  <c r="G47" i="3" s="1"/>
  <c r="O48" i="3"/>
  <c r="G48" i="3" s="1"/>
  <c r="P49" i="3"/>
  <c r="H49" i="3" s="1"/>
  <c r="P50" i="3"/>
  <c r="H50" i="3" s="1"/>
  <c r="P51" i="3"/>
  <c r="H51" i="3" s="1"/>
  <c r="P38" i="3"/>
  <c r="H38" i="3" s="1"/>
  <c r="P39" i="3"/>
  <c r="H39" i="3" s="1"/>
  <c r="O46" i="3"/>
  <c r="P48" i="3"/>
  <c r="H48" i="3" s="1"/>
  <c r="Q51" i="3"/>
  <c r="I51" i="3" s="1"/>
  <c r="G13" i="1"/>
  <c r="E35" i="1"/>
  <c r="I37" i="1"/>
  <c r="O36" i="2"/>
  <c r="G36" i="2" s="1"/>
  <c r="O45" i="2"/>
  <c r="G45" i="2" s="1"/>
  <c r="O46" i="2"/>
  <c r="O47" i="2"/>
  <c r="Q38" i="3"/>
  <c r="I38" i="3" s="1"/>
  <c r="Q39" i="3"/>
  <c r="I39" i="3" s="1"/>
  <c r="P46" i="3"/>
  <c r="H46" i="3" s="1"/>
  <c r="Q39" i="2"/>
  <c r="I39" i="2" s="1"/>
  <c r="O44" i="2"/>
  <c r="G44" i="2" s="1"/>
  <c r="I39" i="1"/>
  <c r="Q36" i="2"/>
  <c r="I36" i="2" s="1"/>
  <c r="O42" i="2"/>
  <c r="Q45" i="2"/>
  <c r="I45" i="2" s="1"/>
  <c r="Q46" i="2"/>
  <c r="I46" i="2" s="1"/>
  <c r="I52" i="3" l="1"/>
  <c r="F26" i="3" s="1"/>
  <c r="I44" i="3"/>
  <c r="E26" i="3" s="1"/>
  <c r="G39" i="3"/>
  <c r="G50" i="3"/>
  <c r="H44" i="3"/>
  <c r="E24" i="3" s="1"/>
  <c r="K46" i="2"/>
  <c r="G46" i="2" s="1"/>
  <c r="K47" i="2"/>
  <c r="G47" i="2" s="1"/>
  <c r="K39" i="2"/>
  <c r="G39" i="2" s="1"/>
  <c r="G38" i="2"/>
  <c r="G46" i="3"/>
  <c r="J37" i="1"/>
  <c r="J39" i="1"/>
  <c r="J36" i="1"/>
  <c r="H15" i="1"/>
  <c r="H16" i="1" s="1"/>
  <c r="H12" i="1"/>
  <c r="H13" i="1" s="1"/>
  <c r="I40" i="2"/>
  <c r="E26" i="2" s="1"/>
  <c r="H48" i="2"/>
  <c r="F24" i="2" s="1"/>
  <c r="G51" i="3"/>
  <c r="I12" i="1"/>
  <c r="I13" i="1" s="1"/>
  <c r="I15" i="1"/>
  <c r="I16" i="1" s="1"/>
  <c r="E15" i="1"/>
  <c r="E16" i="1" s="1"/>
  <c r="H36" i="1"/>
  <c r="H37" i="1"/>
  <c r="H39" i="1"/>
  <c r="H40" i="2"/>
  <c r="E24" i="2" s="1"/>
  <c r="G40" i="2"/>
  <c r="E23" i="2" s="1"/>
  <c r="H52" i="3"/>
  <c r="F24" i="3" s="1"/>
  <c r="E39" i="1"/>
  <c r="E40" i="1" s="1"/>
  <c r="E36" i="1"/>
  <c r="E37" i="1" s="1"/>
  <c r="F12" i="1"/>
  <c r="F13" i="1" s="1"/>
  <c r="F15" i="1"/>
  <c r="F16" i="1" s="1"/>
  <c r="G44" i="3"/>
  <c r="E23" i="3" s="1"/>
  <c r="G42" i="2"/>
  <c r="G48" i="2" s="1"/>
  <c r="F23" i="2" s="1"/>
  <c r="G52" i="3" l="1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5" authorId="0" shapeId="0" xr:uid="{00000000-0006-0000-0000-000001000000}">
      <text>
        <r>
          <rPr>
            <sz val="10"/>
            <color rgb="FF000000"/>
            <rFont val="Arimo"/>
          </rPr>
          <t>1
	-Олександр Глазньов
_Помечено как решенное_
	-Олександр Глазньов
_Открыто повторно_
	-Valli Vollkov
_Помечено как решенное_
	-Valli Vollkov
_Открыто повторно_
	-Valli Vollkov
1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6" authorId="0" shapeId="0" xr:uid="{00000000-0006-0000-0100-000001000000}">
      <text>
        <r>
          <rPr>
            <sz val="10"/>
            <color rgb="FF000000"/>
            <rFont val="Arimo"/>
          </rPr>
          <t>2
	-Влад Чередайко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1" authorId="0" shapeId="0" xr:uid="{00000000-0006-0000-0200-000001000000}">
      <text>
        <r>
          <rPr>
            <sz val="10"/>
            <color rgb="FF000000"/>
            <rFont val="Arimo"/>
          </rPr>
          <t>2
	-Филипп Тур
_Помечено как решенное_
	-Anonymous
_Открыто повторно_
	-Сергей Коваленко
Осталось теперь как-то понять что такое все эти таблицы и как ими воодще пользоваться. Ибо в офисных программах и прочих приложениях и таблицах я ни сображаю ровным счетом ничего...
	-Senpai_77
5
	-DEIMOS
10
	-DEIMOS</t>
        </r>
      </text>
    </comment>
  </commentList>
</comments>
</file>

<file path=xl/sharedStrings.xml><?xml version="1.0" encoding="utf-8"?>
<sst xmlns="http://schemas.openxmlformats.org/spreadsheetml/2006/main" count="483" uniqueCount="204">
  <si>
    <t>Расчеты полетов в космосе</t>
  </si>
  <si>
    <t>(обновлен 14.07.2016  14:03:41)</t>
  </si>
  <si>
    <t>Для больших кораблей</t>
  </si>
  <si>
    <t>вперед</t>
  </si>
  <si>
    <t>назад</t>
  </si>
  <si>
    <t>вверх</t>
  </si>
  <si>
    <t>вниз</t>
  </si>
  <si>
    <t>влево</t>
  </si>
  <si>
    <t>вправо</t>
  </si>
  <si>
    <t>задаваемые параметры</t>
  </si>
  <si>
    <t>m</t>
  </si>
  <si>
    <t>Масса корабля (в тоннах)</t>
  </si>
  <si>
    <t>тонн</t>
  </si>
  <si>
    <t>масса корабля без груза</t>
  </si>
  <si>
    <t>m [max]</t>
  </si>
  <si>
    <t>Масса груженного корабля (в тоннах)</t>
  </si>
  <si>
    <t>масса корабля, забитого полностью</t>
  </si>
  <si>
    <t>Inv</t>
  </si>
  <si>
    <t>Размер инвентаря</t>
  </si>
  <si>
    <t>значение по умолчанию = 1, зависит от параментов сервера\сохранения</t>
  </si>
  <si>
    <t>константы</t>
  </si>
  <si>
    <t>V</t>
  </si>
  <si>
    <t>маскимальная скорость</t>
  </si>
  <si>
    <t>м/с</t>
  </si>
  <si>
    <t>значение по умолчанию = 104.5</t>
  </si>
  <si>
    <t>переменные значения</t>
  </si>
  <si>
    <t>F [total]</t>
  </si>
  <si>
    <t>Общая мощность двигателей</t>
  </si>
  <si>
    <t>кН</t>
  </si>
  <si>
    <t>общая мощность всех двигателей с одной стороны</t>
  </si>
  <si>
    <t>искомые значения</t>
  </si>
  <si>
    <t>a</t>
  </si>
  <si>
    <t>ускорение (торможение) пустого корабля</t>
  </si>
  <si>
    <t>м/с^2</t>
  </si>
  <si>
    <t>ускорение, с которым пустой корабль развивает максимальную скорость с 0 и наоборот - сбрасывает до 0 максимальную скорость (если развернут этой стороной)</t>
  </si>
  <si>
    <t>t</t>
  </si>
  <si>
    <t>время на разгон (остановки) пустого корабля</t>
  </si>
  <si>
    <t>с</t>
  </si>
  <si>
    <t>время, за которое пустой корабль развивает максимальную скорость с 0 и наоборот - сбрасывает до 0 максимальную скорость (если развернут этой стороной)</t>
  </si>
  <si>
    <t>S</t>
  </si>
  <si>
    <t>путь разгона\торможения пустого корабля</t>
  </si>
  <si>
    <t>метров</t>
  </si>
  <si>
    <t>пройденное кораблем расстояние, за которое пустой корабль развивает максимальную скорость с 0 и наоборот - сбрасывает до 0 максимальную скорость (если развернут этой стороной)</t>
  </si>
  <si>
    <t>a [max]</t>
  </si>
  <si>
    <t>ускорение (торможение) груженного корабля</t>
  </si>
  <si>
    <t>ускорение, с которым груженный корабль развивает максимальную скорость с 0 и наоборот - сбрасывает до 0 максимальную скорость (если развернут этой стороной)</t>
  </si>
  <si>
    <t>t [max]</t>
  </si>
  <si>
    <t>время на разгон (остановки) груженного корабля</t>
  </si>
  <si>
    <t>время, за которое груженный корабль развивает максимальную скорость с 0 и наоборот - сбрасывает до 0 максимальную скорость (если развернут этой стороной)</t>
  </si>
  <si>
    <t>S [max]</t>
  </si>
  <si>
    <t>путь разгона\торможения груженного корабля</t>
  </si>
  <si>
    <t>пройденное кораблем расстояние, за которое груженный корабль развивает максимальную скорость с 0 и наоборот - сбрасывает до 0 максимальную скорость (если развернут этой стороной)</t>
  </si>
  <si>
    <t>количество ускорителей:</t>
  </si>
  <si>
    <t>Ионный большой</t>
  </si>
  <si>
    <t>Ионный малый</t>
  </si>
  <si>
    <t>Водородный большой</t>
  </si>
  <si>
    <t>Водородный малый</t>
  </si>
  <si>
    <t>Ионный большой (мощность)</t>
  </si>
  <si>
    <t>Ионный малый (мощность)</t>
  </si>
  <si>
    <t>Водородный большой (мощность)</t>
  </si>
  <si>
    <t>Водородный малый (мощность)</t>
  </si>
  <si>
    <t>Для малых кораблей</t>
  </si>
  <si>
    <t>Формулы</t>
  </si>
  <si>
    <t>a = F * Inv / m</t>
  </si>
  <si>
    <t>t = V / a</t>
  </si>
  <si>
    <t>S = ( a * t^2 ) / 2</t>
  </si>
  <si>
    <t>Расчеты полетов на планетах</t>
  </si>
  <si>
    <t>-a</t>
  </si>
  <si>
    <t>ускорение на подъем (торможение)</t>
  </si>
  <si>
    <t xml:space="preserve">Оптимальное значение от 3 до 5 (для посадки), минимальное = 0.1 (для взлета), ускорение при наборе высоты; отрицательно по отношению гравитации; </t>
  </si>
  <si>
    <t>Значение по умолчанию = 1, зависит от параментов сервера\сохранения</t>
  </si>
  <si>
    <t>R[p]</t>
  </si>
  <si>
    <t>Радиус планеты</t>
  </si>
  <si>
    <t>км</t>
  </si>
  <si>
    <t>Для стандартной землеподобной планеты = 60 км, расстояние от центра до поверхности планеты (уровня моря)</t>
  </si>
  <si>
    <t>G[p]</t>
  </si>
  <si>
    <t>Гравитация текущей планеты</t>
  </si>
  <si>
    <t>G</t>
  </si>
  <si>
    <t>Для стандартной землеподобной планеты = 1 G, для планеты чужих = 1.1G</t>
  </si>
  <si>
    <t>h[curr]</t>
  </si>
  <si>
    <t>Высота полета</t>
  </si>
  <si>
    <t>Для полетов только по планете достаточно 1 км, минимальное 0, максимальное 2/3 R[p], максимальная высота, на которую будет подниматься корабль</t>
  </si>
  <si>
    <t>At[p]</t>
  </si>
  <si>
    <t>Уровень атмосферы</t>
  </si>
  <si>
    <t>Высота от поверхности планеты до конца атмосферного слоя;</t>
  </si>
  <si>
    <t>Gr[p]</t>
  </si>
  <si>
    <t>Уровень гравитации</t>
  </si>
  <si>
    <t>Высота от поверхности планеты до конца действия гравитационного поля;</t>
  </si>
  <si>
    <t>гравитация планеты</t>
  </si>
  <si>
    <t>Гравитация планеты, абсолютное значение в м/с^2;</t>
  </si>
  <si>
    <t>a[curr]</t>
  </si>
  <si>
    <t>ускорение (требуемое) на текущей высоте</t>
  </si>
  <si>
    <t>Расчетное минимальное ускорение для ускорителей на текущей высоте над уровнем моря;</t>
  </si>
  <si>
    <t>G[curr]</t>
  </si>
  <si>
    <t>гравитация на текущем уровне</t>
  </si>
  <si>
    <t>Сила притяжения к планете на границе отмосферы на текущей высоте над уровнем моря;</t>
  </si>
  <si>
    <t>a[sl]</t>
  </si>
  <si>
    <t>ускорение (требуемое) на уровне моря</t>
  </si>
  <si>
    <t>Расчетное минимальное ускорение для ускорителей на уровне море (на поверхности земли);</t>
  </si>
  <si>
    <t>a[At]</t>
  </si>
  <si>
    <t>ускорение (требуемое) на уровне атмосферы</t>
  </si>
  <si>
    <t>Расчетное минимальное ускорение для ускорителей на границе отмосферы (уже где не работают атмосферные двигатели);</t>
  </si>
  <si>
    <t>G[At]</t>
  </si>
  <si>
    <t>гравитация на уровне атмосферы</t>
  </si>
  <si>
    <t>Сила притяжения к планете на границе отмосферы;</t>
  </si>
  <si>
    <t>ускорение свободного падения</t>
  </si>
  <si>
    <t>Ускорение свободного падения, 1G;</t>
  </si>
  <si>
    <t>V[0]</t>
  </si>
  <si>
    <t>начальная скорость</t>
  </si>
  <si>
    <t>Скорость падения, при входе в атмосферу;</t>
  </si>
  <si>
    <t>конечная скорость</t>
  </si>
  <si>
    <t>После торможения она, естественно, равна нулю;</t>
  </si>
  <si>
    <t>Тип корабля:</t>
  </si>
  <si>
    <t>Расчеты для полетов по планете</t>
  </si>
  <si>
    <t>большой</t>
  </si>
  <si>
    <t>малый</t>
  </si>
  <si>
    <t>грузоподъемность на текущей высоте</t>
  </si>
  <si>
    <t>не максимальная грузоподъемность, а максимальная масса корабля, при которой сохраняется заданное ускорение на подъем</t>
  </si>
  <si>
    <t>грузоподъемность на уровне моря</t>
  </si>
  <si>
    <t>Расчеты для взлета с планеты</t>
  </si>
  <si>
    <t>грузоподъемность на уровне атмосферы</t>
  </si>
  <si>
    <t>Расчеты для посадки на планету</t>
  </si>
  <si>
    <t>тормозной путь</t>
  </si>
  <si>
    <t>расстояние (высота), за которое выполностью сбросите скорость при текушем торможении</t>
  </si>
  <si>
    <t>время (на торможение)</t>
  </si>
  <si>
    <t>время, за которое вы сбрасываете скорость до 0</t>
  </si>
  <si>
    <t>упрощено:</t>
  </si>
  <si>
    <t>изменение силы гравитации при отдалении от планеты</t>
  </si>
  <si>
    <t>тип ускорителя</t>
  </si>
  <si>
    <t>кол-во</t>
  </si>
  <si>
    <t>грузоподъемность
на текущ. высоте,
тонн</t>
  </si>
  <si>
    <t>грузоподъемность
на уровне моря, тонн</t>
  </si>
  <si>
    <t>грузоподъемность на уровне атмосферы,
тонн</t>
  </si>
  <si>
    <t>Базавая
мощность, кН</t>
  </si>
  <si>
    <t>% мощности на
текущей высоте,
Kp[cur]</t>
  </si>
  <si>
    <t>% мощности на
уровне моря,
Kp[0]</t>
  </si>
  <si>
    <t>% мощности на
уровне атмосферы,
Kp[At]</t>
  </si>
  <si>
    <t>% мощности на
макс высоте,
Kp[max]</t>
  </si>
  <si>
    <t>требуемое ускорение
на текущей высоте,
м/с^2</t>
  </si>
  <si>
    <t>требуемое ускорение
на уровне моря,
м/с^2</t>
  </si>
  <si>
    <t>требуемое ускорение,
на уровне атмосферы
м/с^2</t>
  </si>
  <si>
    <t>размер инвентаря</t>
  </si>
  <si>
    <t>Атмосферный большой</t>
  </si>
  <si>
    <t>Атмосферный малый</t>
  </si>
  <si>
    <t>Общее:</t>
  </si>
  <si>
    <t>t = (V - V[0]) / a</t>
  </si>
  <si>
    <t>S = V[0] * t + ( a * t^2 ) / 2</t>
  </si>
  <si>
    <t>м</t>
  </si>
  <si>
    <t>прим.: торможение = ускорение с отрицательным знаком</t>
  </si>
  <si>
    <t>F = Ft * n * Kp * Inv</t>
  </si>
  <si>
    <t>a [curr] = F / m</t>
  </si>
  <si>
    <t>m = F / a</t>
  </si>
  <si>
    <t>Расчет коэффициента мощности атмосферных двигателей</t>
  </si>
  <si>
    <t>h[cur]</t>
  </si>
  <si>
    <t>h[max]</t>
  </si>
  <si>
    <t>Максимальная высота действия</t>
  </si>
  <si>
    <t>h[0]</t>
  </si>
  <si>
    <t>Высота уровня моря</t>
  </si>
  <si>
    <t>Kp[0]</t>
  </si>
  <si>
    <t>% мощности на уровне моря</t>
  </si>
  <si>
    <t>Kp[max]</t>
  </si>
  <si>
    <t>% мощности при выходе из атмосферы</t>
  </si>
  <si>
    <t>Kp[cur]</t>
  </si>
  <si>
    <t>% мощности на текущей высоте</t>
  </si>
  <si>
    <t>Kp[cur] = ( h[max] - h[cur] ) / h[max] * Kp[0]</t>
  </si>
  <si>
    <t>если h[cur] &gt; h[max], h[cur] = 0</t>
  </si>
  <si>
    <t>h[max] = At[p]</t>
  </si>
  <si>
    <t>Расчет коэффициента мощности ионных двигателей</t>
  </si>
  <si>
    <t>% мощности на максимальной высоте</t>
  </si>
  <si>
    <t>Kp[cur] = h[cur] ) / h[max] * ( Kp[max] - Kp[0] ) + Kp[0]</t>
  </si>
  <si>
    <t>если h[cur] &gt; h[max], h[cur] = h[max]</t>
  </si>
  <si>
    <t>h[max] = At[p] * 1.5</t>
  </si>
  <si>
    <t>Примерный* расчет силы действия гравитации</t>
  </si>
  <si>
    <t>H[curr]</t>
  </si>
  <si>
    <t>текущая высота над уровнем моря</t>
  </si>
  <si>
    <t>R</t>
  </si>
  <si>
    <t>радиус планеты</t>
  </si>
  <si>
    <t>гравитация планеты на текущей высоте</t>
  </si>
  <si>
    <t>гравитация планеты на уровне атмосферы</t>
  </si>
  <si>
    <t>G[curr] = G[p] * ( 1 - ( H[curr] - R[p] / 8 ) ^ 0.5 / ( 13 / 24 * R[p] ) ^ 0.5 )</t>
  </si>
  <si>
    <t>если H [curr] &lt; R[p] / 8, то G[curr] = 1 G[p]</t>
  </si>
  <si>
    <t>если H [curr] &gt; R[p] * 2/3, то G[curr] = 0</t>
  </si>
  <si>
    <t>где</t>
  </si>
  <si>
    <t>13 / 24 * R[p] = 2 / 3 R[p] - 1 / 8 R[p]</t>
  </si>
  <si>
    <t>2 / 3 R[p] - расстояние от центра земли, где гравитация не действует</t>
  </si>
  <si>
    <t>1 / 8 R[p] - расстояние от центра земли, где начинает снижаться гравитация (10 км для земли)</t>
  </si>
  <si>
    <t>G[At] = G[p] * ( 1 - ( R[p] / 24 ) ^ 0.5 / ( 13 / 24 * R[p] ) ^ 0.5 )</t>
  </si>
  <si>
    <t>R[p] / 24 = R[p] / 6 - R[p] / 8</t>
  </si>
  <si>
    <t>R[p] / 6 - уровень атмосферы ( = H[atm] )</t>
  </si>
  <si>
    <t>*Считает наиболее точно уровень гравитации на высоте 7.5-15км от уровня моря (для стандартной земли),</t>
  </si>
  <si>
    <t>где мощность атмосферных двигателей близка или равна нулю, а ионные двигатели действуют</t>
  </si>
  <si>
    <t>еще не в полную мощь. На большей высоте эффективность двигателей не меняется, а гравитация слабеет,</t>
  </si>
  <si>
    <t>потому нет смысла гнаться за точностью расчетов на этих в</t>
  </si>
  <si>
    <t>за основу расчетов была взята формала:</t>
  </si>
  <si>
    <t>f(x) = x ^ 0.5 ( квадратный корень из x )</t>
  </si>
  <si>
    <t>другие варианты для проверки</t>
  </si>
  <si>
    <t>f(x) = ln x</t>
  </si>
  <si>
    <t>f(x) = sin x</t>
  </si>
  <si>
    <t>g</t>
  </si>
  <si>
    <t>c</t>
  </si>
  <si>
    <t>h</t>
  </si>
  <si>
    <t>v0</t>
  </si>
  <si>
    <t>h=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</si>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</sst>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_.\т"/>
    <numFmt numFmtId="165" formatCode="0_.\к\Н"/>
    <numFmt numFmtId="166" formatCode="0.0"/>
    <numFmt numFmtId="167" formatCode="#,##0_.\c"/>
    <numFmt numFmtId="168" formatCode="#,##0_.\m"/>
    <numFmt numFmtId="169" formatCode="0_.\ш\т"/>
    <numFmt numFmtId="170" formatCode="#,##0.000_.\т"/>
    <numFmt numFmtId="171" formatCode="0_.\k\m"/>
    <numFmt numFmtId="172" formatCode="0.0_.\k\m"/>
    <numFmt numFmtId="173" formatCode="0.000"/>
  </numFmts>
  <fonts count="14">
    <font>
      <sz val="10"/>
      <color rgb="FF000000"/>
      <name val="Arimo"/>
    </font>
    <font>
      <sz val="10"/>
      <name val="Arimo"/>
    </font>
    <font>
      <sz val="20"/>
      <name val="Arimo"/>
    </font>
    <font>
      <i/>
      <sz val="14"/>
      <name val="Arimo"/>
    </font>
    <font>
      <b/>
      <sz val="10"/>
      <name val="Arimo"/>
    </font>
    <font>
      <b/>
      <i/>
      <sz val="10"/>
      <name val="Arimo"/>
    </font>
    <font>
      <b/>
      <sz val="10"/>
      <color rgb="FF003300"/>
      <name val="Arimo"/>
    </font>
    <font>
      <b/>
      <u/>
      <sz val="10"/>
      <name val="Arimo"/>
    </font>
    <font>
      <b/>
      <sz val="10"/>
      <color rgb="FF800000"/>
      <name val="Arimo"/>
    </font>
    <font>
      <sz val="10"/>
      <color rgb="FFFF0000"/>
      <name val="Arimo"/>
    </font>
    <font>
      <b/>
      <u/>
      <sz val="10"/>
      <name val="Arimo"/>
    </font>
    <font>
      <b/>
      <sz val="12"/>
      <name val="Arimo"/>
    </font>
    <font>
      <i/>
      <sz val="10"/>
      <name val="Arimo"/>
    </font>
    <font>
      <b/>
      <i/>
      <u/>
      <sz val="10"/>
      <name val="Arimo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1" fillId="4" borderId="14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6" fontId="1" fillId="5" borderId="16" xfId="0" applyNumberFormat="1" applyFont="1" applyFill="1" applyBorder="1" applyAlignment="1">
      <alignment horizontal="center" vertical="center"/>
    </xf>
    <xf numFmtId="166" fontId="1" fillId="5" borderId="4" xfId="0" applyNumberFormat="1" applyFont="1" applyFill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7" fontId="1" fillId="5" borderId="14" xfId="0" applyNumberFormat="1" applyFont="1" applyFill="1" applyBorder="1" applyAlignment="1">
      <alignment horizontal="center" vertical="center"/>
    </xf>
    <xf numFmtId="167" fontId="1" fillId="5" borderId="9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168" fontId="1" fillId="5" borderId="18" xfId="0" applyNumberFormat="1" applyFont="1" applyFill="1" applyBorder="1" applyAlignment="1">
      <alignment horizontal="center" vertical="center"/>
    </xf>
    <xf numFmtId="168" fontId="1" fillId="5" borderId="19" xfId="0" applyNumberFormat="1" applyFont="1" applyFill="1" applyBorder="1" applyAlignment="1">
      <alignment horizontal="center" vertical="center"/>
    </xf>
    <xf numFmtId="168" fontId="1" fillId="0" borderId="17" xfId="0" applyNumberFormat="1" applyFont="1" applyBorder="1" applyAlignment="1">
      <alignment horizontal="center" vertical="center"/>
    </xf>
    <xf numFmtId="168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6" fontId="1" fillId="5" borderId="14" xfId="0" applyNumberFormat="1" applyFont="1" applyFill="1" applyBorder="1" applyAlignment="1">
      <alignment horizontal="center" vertical="center"/>
    </xf>
    <xf numFmtId="166" fontId="1" fillId="5" borderId="9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9" fontId="4" fillId="2" borderId="16" xfId="0" applyNumberFormat="1" applyFont="1" applyFill="1" applyBorder="1" applyAlignment="1">
      <alignment horizontal="center" vertical="center"/>
    </xf>
    <xf numFmtId="169" fontId="4" fillId="2" borderId="4" xfId="0" applyNumberFormat="1" applyFont="1" applyFill="1" applyBorder="1" applyAlignment="1">
      <alignment horizontal="center" vertical="center"/>
    </xf>
    <xf numFmtId="169" fontId="4" fillId="2" borderId="2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9" fontId="4" fillId="2" borderId="14" xfId="0" applyNumberFormat="1" applyFont="1" applyFill="1" applyBorder="1" applyAlignment="1">
      <alignment horizontal="center" vertical="center"/>
    </xf>
    <xf numFmtId="169" fontId="4" fillId="2" borderId="9" xfId="0" applyNumberFormat="1" applyFont="1" applyFill="1" applyBorder="1" applyAlignment="1">
      <alignment horizontal="center" vertical="center"/>
    </xf>
    <xf numFmtId="169" fontId="4" fillId="2" borderId="2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9" fontId="4" fillId="2" borderId="18" xfId="0" applyNumberFormat="1" applyFont="1" applyFill="1" applyBorder="1" applyAlignment="1">
      <alignment horizontal="center" vertical="center"/>
    </xf>
    <xf numFmtId="169" fontId="4" fillId="2" borderId="19" xfId="0" applyNumberFormat="1" applyFont="1" applyFill="1" applyBorder="1" applyAlignment="1">
      <alignment horizontal="center" vertical="center"/>
    </xf>
    <xf numFmtId="169" fontId="4" fillId="2" borderId="22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21" xfId="0" applyNumberFormat="1" applyFont="1" applyFill="1" applyBorder="1" applyAlignment="1">
      <alignment horizontal="center" vertical="center"/>
    </xf>
    <xf numFmtId="165" fontId="1" fillId="3" borderId="19" xfId="0" applyNumberFormat="1" applyFont="1" applyFill="1" applyBorder="1" applyAlignment="1">
      <alignment horizontal="center" vertical="center"/>
    </xf>
    <xf numFmtId="165" fontId="1" fillId="3" borderId="22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0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0" fontId="4" fillId="0" borderId="0" xfId="0" applyNumberFormat="1" applyFont="1" applyAlignment="1">
      <alignment horizontal="right" vertical="center"/>
    </xf>
    <xf numFmtId="165" fontId="1" fillId="3" borderId="16" xfId="0" applyNumberFormat="1" applyFont="1" applyFill="1" applyBorder="1" applyAlignment="1">
      <alignment horizontal="center" vertical="center"/>
    </xf>
    <xf numFmtId="165" fontId="1" fillId="3" borderId="14" xfId="0" applyNumberFormat="1" applyFont="1" applyFill="1" applyBorder="1" applyAlignment="1">
      <alignment horizontal="center" vertical="center"/>
    </xf>
    <xf numFmtId="165" fontId="1" fillId="3" borderId="1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49" fontId="1" fillId="0" borderId="15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171" fontId="4" fillId="2" borderId="6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172" fontId="4" fillId="2" borderId="6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2" fontId="1" fillId="4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72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2" fontId="1" fillId="4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173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72" fontId="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4" fillId="5" borderId="16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49" fontId="1" fillId="0" borderId="11" xfId="0" applyNumberFormat="1" applyFont="1" applyBorder="1" applyAlignment="1">
      <alignment horizontal="center" vertical="center"/>
    </xf>
    <xf numFmtId="164" fontId="4" fillId="5" borderId="18" xfId="0" applyNumberFormat="1" applyFont="1" applyFill="1" applyBorder="1" applyAlignment="1">
      <alignment horizontal="center" vertical="center"/>
    </xf>
    <xf numFmtId="164" fontId="4" fillId="5" borderId="13" xfId="0" applyNumberFormat="1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164" fontId="4" fillId="5" borderId="24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4" fillId="5" borderId="13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9" fontId="4" fillId="2" borderId="1" xfId="0" applyNumberFormat="1" applyFont="1" applyFill="1" applyBorder="1" applyAlignment="1">
      <alignment horizontal="center" vertical="center"/>
    </xf>
    <xf numFmtId="170" fontId="1" fillId="3" borderId="1" xfId="0" applyNumberFormat="1" applyFont="1" applyFill="1" applyBorder="1" applyAlignment="1">
      <alignment horizontal="right" vertical="center"/>
    </xf>
    <xf numFmtId="170" fontId="1" fillId="3" borderId="20" xfId="0" applyNumberFormat="1" applyFont="1" applyFill="1" applyBorder="1" applyAlignment="1">
      <alignment horizontal="right" vertical="center"/>
    </xf>
    <xf numFmtId="9" fontId="4" fillId="3" borderId="6" xfId="0" applyNumberFormat="1" applyFont="1" applyFill="1" applyBorder="1" applyAlignment="1">
      <alignment horizontal="center" vertical="center"/>
    </xf>
    <xf numFmtId="9" fontId="1" fillId="3" borderId="9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169" fontId="4" fillId="2" borderId="6" xfId="0" applyNumberFormat="1" applyFont="1" applyFill="1" applyBorder="1" applyAlignment="1">
      <alignment horizontal="center" vertical="center"/>
    </xf>
    <xf numFmtId="170" fontId="1" fillId="3" borderId="6" xfId="0" applyNumberFormat="1" applyFont="1" applyFill="1" applyBorder="1" applyAlignment="1">
      <alignment horizontal="right" vertical="center"/>
    </xf>
    <xf numFmtId="170" fontId="1" fillId="3" borderId="21" xfId="0" applyNumberFormat="1" applyFont="1" applyFill="1" applyBorder="1" applyAlignment="1">
      <alignment horizontal="right" vertical="center"/>
    </xf>
    <xf numFmtId="2" fontId="1" fillId="3" borderId="14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/>
    </xf>
    <xf numFmtId="169" fontId="4" fillId="2" borderId="13" xfId="0" applyNumberFormat="1" applyFont="1" applyFill="1" applyBorder="1" applyAlignment="1">
      <alignment horizontal="center" vertical="center"/>
    </xf>
    <xf numFmtId="170" fontId="1" fillId="3" borderId="13" xfId="0" applyNumberFormat="1" applyFont="1" applyFill="1" applyBorder="1" applyAlignment="1">
      <alignment horizontal="right" vertical="center"/>
    </xf>
    <xf numFmtId="170" fontId="1" fillId="3" borderId="22" xfId="0" applyNumberFormat="1" applyFont="1" applyFill="1" applyBorder="1" applyAlignment="1">
      <alignment horizontal="right" vertical="center"/>
    </xf>
    <xf numFmtId="9" fontId="4" fillId="3" borderId="13" xfId="0" applyNumberFormat="1" applyFont="1" applyFill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70" fontId="4" fillId="5" borderId="13" xfId="0" applyNumberFormat="1" applyFont="1" applyFill="1" applyBorder="1" applyAlignment="1">
      <alignment horizontal="right" vertical="center"/>
    </xf>
    <xf numFmtId="170" fontId="4" fillId="5" borderId="18" xfId="0" applyNumberFormat="1" applyFont="1" applyFill="1" applyBorder="1" applyAlignment="1">
      <alignment horizontal="right" vertical="center"/>
    </xf>
    <xf numFmtId="9" fontId="4" fillId="3" borderId="16" xfId="0" applyNumberFormat="1" applyFont="1" applyFill="1" applyBorder="1" applyAlignment="1">
      <alignment horizontal="center" vertical="center"/>
    </xf>
    <xf numFmtId="9" fontId="1" fillId="3" borderId="16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9" fontId="4" fillId="3" borderId="14" xfId="0" applyNumberFormat="1" applyFont="1" applyFill="1" applyBorder="1" applyAlignment="1">
      <alignment horizontal="center" vertical="center"/>
    </xf>
    <xf numFmtId="9" fontId="1" fillId="3" borderId="14" xfId="0" applyNumberFormat="1" applyFont="1" applyFill="1" applyBorder="1" applyAlignment="1">
      <alignment horizontal="center" vertical="center"/>
    </xf>
    <xf numFmtId="9" fontId="4" fillId="3" borderId="18" xfId="0" applyNumberFormat="1" applyFont="1" applyFill="1" applyBorder="1" applyAlignment="1">
      <alignment horizontal="center" vertical="center"/>
    </xf>
    <xf numFmtId="9" fontId="1" fillId="3" borderId="18" xfId="0" applyNumberFormat="1" applyFont="1" applyFill="1" applyBorder="1" applyAlignment="1">
      <alignment horizontal="center" vertical="center"/>
    </xf>
    <xf numFmtId="170" fontId="4" fillId="5" borderId="13" xfId="0" applyNumberFormat="1" applyFont="1" applyFill="1" applyBorder="1" applyAlignment="1">
      <alignment vertical="center"/>
    </xf>
    <xf numFmtId="2" fontId="1" fillId="4" borderId="13" xfId="0" applyNumberFormat="1" applyFont="1" applyFill="1" applyBorder="1" applyAlignment="1">
      <alignment horizontal="center" vertical="center"/>
    </xf>
    <xf numFmtId="171" fontId="1" fillId="2" borderId="9" xfId="0" applyNumberFormat="1" applyFont="1" applyFill="1" applyBorder="1" applyAlignment="1">
      <alignment horizontal="center" vertical="center"/>
    </xf>
    <xf numFmtId="171" fontId="1" fillId="4" borderId="9" xfId="0" applyNumberFormat="1" applyFont="1" applyFill="1" applyBorder="1" applyAlignment="1">
      <alignment horizontal="center" vertical="center"/>
    </xf>
    <xf numFmtId="171" fontId="1" fillId="3" borderId="9" xfId="0" applyNumberFormat="1" applyFont="1" applyFill="1" applyBorder="1" applyAlignment="1">
      <alignment horizontal="center" vertical="center"/>
    </xf>
    <xf numFmtId="9" fontId="1" fillId="5" borderId="9" xfId="0" applyNumberFormat="1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2" fontId="12" fillId="0" borderId="0" xfId="0" applyNumberFormat="1" applyFont="1" applyAlignment="1"/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6">
    <dxf>
      <font>
        <color rgb="FF800000"/>
      </font>
      <fill>
        <patternFill patternType="none"/>
      </fill>
      <alignment wrapText="0" shrinkToFit="0"/>
    </dxf>
    <dxf>
      <font>
        <color rgb="FF800000"/>
      </font>
      <fill>
        <patternFill patternType="none"/>
      </fill>
      <alignment wrapText="0" shrinkToFit="0"/>
    </dxf>
    <dxf>
      <font>
        <color rgb="FF800000"/>
      </font>
      <fill>
        <patternFill patternType="none"/>
      </fill>
      <alignment wrapText="0" shrinkToFit="0"/>
    </dxf>
    <dxf>
      <font>
        <color rgb="FF800000"/>
      </font>
      <fill>
        <patternFill patternType="none"/>
      </fill>
      <alignment wrapText="0" shrinkToFit="0"/>
    </dxf>
    <dxf>
      <font>
        <color rgb="FF800000"/>
      </font>
      <fill>
        <patternFill patternType="none"/>
      </fill>
      <alignment wrapText="0" shrinkToFit="0"/>
    </dxf>
    <dxf>
      <font>
        <color rgb="FF80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4" workbookViewId="0">
      <selection activeCell="D52" sqref="D52"/>
    </sheetView>
  </sheetViews>
  <sheetFormatPr defaultColWidth="17.28515625" defaultRowHeight="15" customHeight="1"/>
  <cols>
    <col min="1" max="1" width="9.140625" customWidth="1"/>
    <col min="2" max="2" width="24.42578125" customWidth="1"/>
    <col min="3" max="3" width="8" customWidth="1"/>
    <col min="4" max="4" width="43.85546875" customWidth="1"/>
    <col min="5" max="10" width="10.42578125" customWidth="1"/>
    <col min="11" max="11" width="7" customWidth="1"/>
    <col min="12" max="12" width="16.5703125" customWidth="1"/>
    <col min="13" max="14" width="17" customWidth="1"/>
    <col min="15" max="15" width="9.7109375" customWidth="1"/>
    <col min="16" max="16" width="15.5703125" customWidth="1"/>
    <col min="17" max="18" width="15.28515625" customWidth="1"/>
    <col min="19" max="19" width="14.28515625" customWidth="1"/>
    <col min="20" max="20" width="16.28515625" customWidth="1"/>
    <col min="21" max="21" width="9.85546875" customWidth="1"/>
    <col min="22" max="22" width="5" customWidth="1"/>
  </cols>
  <sheetData>
    <row r="1" spans="1:26" ht="12.75" customHeight="1">
      <c r="A1" s="1"/>
      <c r="B1" s="2"/>
      <c r="C1" s="2"/>
      <c r="D1" s="1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ht="25.5" customHeight="1">
      <c r="A2" s="1"/>
      <c r="B2" s="2"/>
      <c r="C2" s="4" t="s">
        <v>0</v>
      </c>
      <c r="D2" s="1"/>
      <c r="E2" s="196" t="s">
        <v>1</v>
      </c>
      <c r="F2" s="197"/>
      <c r="G2" s="197"/>
      <c r="H2" s="197"/>
      <c r="I2" s="197"/>
      <c r="J2" s="197"/>
      <c r="K2" s="2"/>
      <c r="L2" s="1"/>
      <c r="M2" s="5"/>
      <c r="N2" s="1"/>
      <c r="O2" s="1"/>
      <c r="P2" s="6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ht="12.75" customHeight="1">
      <c r="A3" s="1"/>
      <c r="B3" s="2"/>
      <c r="C3" s="2"/>
      <c r="D3" s="1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12.75" customHeight="1">
      <c r="A4" s="1"/>
      <c r="B4" s="7" t="s">
        <v>2</v>
      </c>
      <c r="C4" s="8"/>
      <c r="D4" s="1"/>
      <c r="E4" s="7"/>
      <c r="F4" s="7"/>
      <c r="G4" s="7"/>
      <c r="H4" s="7"/>
      <c r="I4" s="7"/>
      <c r="J4" s="7"/>
      <c r="K4" s="2"/>
      <c r="L4" s="9"/>
      <c r="M4" s="9"/>
      <c r="N4" s="9"/>
      <c r="O4" s="1"/>
      <c r="P4" s="1"/>
      <c r="Q4" s="9"/>
      <c r="R4" s="9"/>
      <c r="S4" s="9"/>
      <c r="T4" s="9"/>
      <c r="U4" s="1"/>
      <c r="V4" s="9"/>
      <c r="W4" s="3"/>
      <c r="X4" s="3"/>
      <c r="Y4" s="3"/>
      <c r="Z4" s="3"/>
    </row>
    <row r="5" spans="1:26" ht="12.75" customHeight="1">
      <c r="A5" s="1"/>
      <c r="B5" s="1"/>
      <c r="C5" s="8"/>
      <c r="D5" s="1"/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2"/>
      <c r="L5" s="9"/>
      <c r="M5" s="9"/>
      <c r="N5" s="9"/>
      <c r="O5" s="1"/>
      <c r="P5" s="1"/>
      <c r="Q5" s="9"/>
      <c r="R5" s="9"/>
      <c r="S5" s="9"/>
      <c r="T5" s="9"/>
      <c r="U5" s="1"/>
      <c r="V5" s="9"/>
      <c r="W5" s="3"/>
      <c r="X5" s="3"/>
      <c r="Y5" s="3"/>
      <c r="Z5" s="3"/>
    </row>
    <row r="6" spans="1:26" ht="12.75" customHeight="1">
      <c r="A6" s="1"/>
      <c r="B6" s="11" t="s">
        <v>9</v>
      </c>
      <c r="C6" s="12" t="s">
        <v>10</v>
      </c>
      <c r="D6" s="13" t="s">
        <v>11</v>
      </c>
      <c r="E6" s="14">
        <v>451</v>
      </c>
      <c r="F6" s="15">
        <f t="shared" ref="F6:F9" si="0">E6</f>
        <v>451</v>
      </c>
      <c r="G6" s="15">
        <f t="shared" ref="G6:G9" si="1">E6</f>
        <v>451</v>
      </c>
      <c r="H6" s="15">
        <f t="shared" ref="H6:H9" si="2">E6</f>
        <v>451</v>
      </c>
      <c r="I6" s="15">
        <f t="shared" ref="I6:I9" si="3">E6</f>
        <v>451</v>
      </c>
      <c r="J6" s="15">
        <f t="shared" ref="J6:J9" si="4">E6</f>
        <v>451</v>
      </c>
      <c r="K6" s="16" t="s">
        <v>12</v>
      </c>
      <c r="L6" s="9" t="s">
        <v>13</v>
      </c>
      <c r="M6" s="9"/>
      <c r="N6" s="9"/>
      <c r="O6" s="1"/>
      <c r="P6" s="1"/>
      <c r="Q6" s="9"/>
      <c r="R6" s="9"/>
      <c r="S6" s="9"/>
      <c r="T6" s="9"/>
      <c r="U6" s="1"/>
      <c r="V6" s="9"/>
      <c r="W6" s="3"/>
      <c r="X6" s="3"/>
      <c r="Y6" s="3"/>
      <c r="Z6" s="3"/>
    </row>
    <row r="7" spans="1:26" ht="12.75" customHeight="1">
      <c r="A7" s="1"/>
      <c r="B7" s="17"/>
      <c r="C7" s="18" t="s">
        <v>14</v>
      </c>
      <c r="D7" s="19" t="s">
        <v>15</v>
      </c>
      <c r="E7" s="20">
        <v>10000</v>
      </c>
      <c r="F7" s="21">
        <f t="shared" si="0"/>
        <v>10000</v>
      </c>
      <c r="G7" s="21">
        <f t="shared" si="1"/>
        <v>10000</v>
      </c>
      <c r="H7" s="21">
        <f t="shared" si="2"/>
        <v>10000</v>
      </c>
      <c r="I7" s="21">
        <f t="shared" si="3"/>
        <v>10000</v>
      </c>
      <c r="J7" s="21">
        <f t="shared" si="4"/>
        <v>10000</v>
      </c>
      <c r="K7" s="22" t="s">
        <v>12</v>
      </c>
      <c r="L7" s="9" t="s">
        <v>16</v>
      </c>
      <c r="M7" s="9"/>
      <c r="N7" s="9"/>
      <c r="O7" s="1"/>
      <c r="P7" s="1"/>
      <c r="Q7" s="9"/>
      <c r="R7" s="9"/>
      <c r="S7" s="9"/>
      <c r="T7" s="9"/>
      <c r="U7" s="1"/>
      <c r="V7" s="9"/>
      <c r="W7" s="3"/>
      <c r="X7" s="3"/>
      <c r="Y7" s="3"/>
      <c r="Z7" s="3"/>
    </row>
    <row r="8" spans="1:26" ht="12.75" customHeight="1">
      <c r="A8" s="1"/>
      <c r="B8" s="17"/>
      <c r="C8" s="23" t="s">
        <v>17</v>
      </c>
      <c r="D8" s="24" t="s">
        <v>18</v>
      </c>
      <c r="E8" s="25">
        <v>1</v>
      </c>
      <c r="F8" s="26">
        <f t="shared" si="0"/>
        <v>1</v>
      </c>
      <c r="G8" s="26">
        <f t="shared" si="1"/>
        <v>1</v>
      </c>
      <c r="H8" s="26">
        <f t="shared" si="2"/>
        <v>1</v>
      </c>
      <c r="I8" s="26">
        <f t="shared" si="3"/>
        <v>1</v>
      </c>
      <c r="J8" s="26">
        <f t="shared" si="4"/>
        <v>1</v>
      </c>
      <c r="K8" s="22"/>
      <c r="L8" s="27" t="s">
        <v>19</v>
      </c>
      <c r="M8" s="9"/>
      <c r="N8" s="9"/>
      <c r="O8" s="1"/>
      <c r="P8" s="1"/>
      <c r="Q8" s="9"/>
      <c r="R8" s="9"/>
      <c r="S8" s="9"/>
      <c r="T8" s="9"/>
      <c r="U8" s="1"/>
      <c r="V8" s="9"/>
      <c r="W8" s="3"/>
      <c r="X8" s="3"/>
      <c r="Y8" s="3"/>
      <c r="Z8" s="3"/>
    </row>
    <row r="9" spans="1:26" ht="12.75" customHeight="1">
      <c r="A9" s="1"/>
      <c r="B9" s="28" t="s">
        <v>20</v>
      </c>
      <c r="C9" s="8" t="s">
        <v>21</v>
      </c>
      <c r="D9" s="1" t="s">
        <v>22</v>
      </c>
      <c r="E9" s="29">
        <v>104.5</v>
      </c>
      <c r="F9" s="26">
        <f t="shared" si="0"/>
        <v>104.5</v>
      </c>
      <c r="G9" s="26">
        <f t="shared" si="1"/>
        <v>104.5</v>
      </c>
      <c r="H9" s="26">
        <f t="shared" si="2"/>
        <v>104.5</v>
      </c>
      <c r="I9" s="26">
        <f t="shared" si="3"/>
        <v>104.5</v>
      </c>
      <c r="J9" s="26">
        <f t="shared" si="4"/>
        <v>104.5</v>
      </c>
      <c r="K9" s="22" t="s">
        <v>23</v>
      </c>
      <c r="L9" s="27" t="s">
        <v>24</v>
      </c>
      <c r="M9" s="9"/>
      <c r="N9" s="9"/>
      <c r="O9" s="1"/>
      <c r="P9" s="1"/>
      <c r="Q9" s="9"/>
      <c r="R9" s="9"/>
      <c r="S9" s="9"/>
      <c r="T9" s="9"/>
      <c r="U9" s="1"/>
      <c r="V9" s="9"/>
      <c r="W9" s="3"/>
      <c r="X9" s="3"/>
      <c r="Y9" s="3"/>
      <c r="Z9" s="3"/>
    </row>
    <row r="10" spans="1:26" ht="12.75" customHeight="1">
      <c r="A10" s="1"/>
      <c r="B10" s="30" t="s">
        <v>25</v>
      </c>
      <c r="C10" s="2" t="s">
        <v>26</v>
      </c>
      <c r="D10" s="1" t="s">
        <v>27</v>
      </c>
      <c r="E10" s="31">
        <f>E19*E23+E20*E24+E21*E25+E22*E26</f>
        <v>14700</v>
      </c>
      <c r="F10" s="32">
        <f t="shared" ref="F10:J10" si="5">F19*F23+F20*F24+F21*F25+F22*F26</f>
        <v>2304</v>
      </c>
      <c r="G10" s="32">
        <f t="shared" si="5"/>
        <v>864</v>
      </c>
      <c r="H10" s="32">
        <f t="shared" si="5"/>
        <v>864</v>
      </c>
      <c r="I10" s="32">
        <f t="shared" si="5"/>
        <v>864</v>
      </c>
      <c r="J10" s="32">
        <f t="shared" si="5"/>
        <v>864</v>
      </c>
      <c r="K10" s="22" t="s">
        <v>28</v>
      </c>
      <c r="L10" s="1" t="s">
        <v>29</v>
      </c>
      <c r="M10" s="9"/>
      <c r="N10" s="9"/>
      <c r="O10" s="1"/>
      <c r="P10" s="1"/>
      <c r="Q10" s="9"/>
      <c r="R10" s="9"/>
      <c r="S10" s="9"/>
      <c r="T10" s="9"/>
      <c r="U10" s="1"/>
      <c r="V10" s="9"/>
      <c r="W10" s="3"/>
      <c r="X10" s="3"/>
      <c r="Y10" s="3"/>
      <c r="Z10" s="3"/>
    </row>
    <row r="11" spans="1:26" ht="12.75" customHeight="1">
      <c r="A11" s="1"/>
      <c r="B11" s="33" t="s">
        <v>30</v>
      </c>
      <c r="C11" s="34" t="s">
        <v>31</v>
      </c>
      <c r="D11" s="35" t="s">
        <v>32</v>
      </c>
      <c r="E11" s="36">
        <f t="shared" ref="E11:J11" si="6">E10*E8/E6</f>
        <v>32.594235033259423</v>
      </c>
      <c r="F11" s="37">
        <f t="shared" si="6"/>
        <v>5.1086474501108645</v>
      </c>
      <c r="G11" s="38">
        <f t="shared" si="6"/>
        <v>1.9157427937915743</v>
      </c>
      <c r="H11" s="38">
        <f t="shared" si="6"/>
        <v>1.9157427937915743</v>
      </c>
      <c r="I11" s="38">
        <f t="shared" si="6"/>
        <v>1.9157427937915743</v>
      </c>
      <c r="J11" s="39">
        <f t="shared" si="6"/>
        <v>1.9157427937915743</v>
      </c>
      <c r="K11" s="40" t="s">
        <v>33</v>
      </c>
      <c r="L11" s="1" t="s">
        <v>34</v>
      </c>
      <c r="M11" s="9"/>
      <c r="N11" s="9"/>
      <c r="O11" s="1"/>
      <c r="P11" s="1"/>
      <c r="Q11" s="9"/>
      <c r="R11" s="9"/>
      <c r="S11" s="9"/>
      <c r="T11" s="9"/>
      <c r="U11" s="1"/>
      <c r="V11" s="9"/>
      <c r="W11" s="3"/>
      <c r="X11" s="3"/>
      <c r="Y11" s="3"/>
      <c r="Z11" s="3"/>
    </row>
    <row r="12" spans="1:26" ht="12.75" customHeight="1">
      <c r="A12" s="1"/>
      <c r="B12" s="41"/>
      <c r="C12" s="42" t="s">
        <v>35</v>
      </c>
      <c r="D12" s="1" t="s">
        <v>36</v>
      </c>
      <c r="E12" s="43">
        <f t="shared" ref="E12:J12" si="7">IF(E11=0,"-",E9/E11)</f>
        <v>3.2060884353741499</v>
      </c>
      <c r="F12" s="44">
        <f t="shared" si="7"/>
        <v>20.455512152777779</v>
      </c>
      <c r="G12" s="45">
        <f t="shared" si="7"/>
        <v>54.548032407407405</v>
      </c>
      <c r="H12" s="45">
        <f t="shared" si="7"/>
        <v>54.548032407407405</v>
      </c>
      <c r="I12" s="45">
        <f t="shared" si="7"/>
        <v>54.548032407407405</v>
      </c>
      <c r="J12" s="46">
        <f t="shared" si="7"/>
        <v>54.548032407407405</v>
      </c>
      <c r="K12" s="47" t="s">
        <v>37</v>
      </c>
      <c r="L12" s="1" t="s">
        <v>38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ht="12.75" customHeight="1">
      <c r="A13" s="1"/>
      <c r="B13" s="41"/>
      <c r="C13" s="23" t="s">
        <v>39</v>
      </c>
      <c r="D13" s="48" t="s">
        <v>40</v>
      </c>
      <c r="E13" s="49">
        <f t="shared" ref="E13:J13" si="8">IF(E11=0,"-",E11*(E12^2)/2)</f>
        <v>167.51812074829934</v>
      </c>
      <c r="F13" s="50">
        <f t="shared" si="8"/>
        <v>1068.8005099826389</v>
      </c>
      <c r="G13" s="51">
        <f t="shared" si="8"/>
        <v>2850.1346932870365</v>
      </c>
      <c r="H13" s="51">
        <f t="shared" si="8"/>
        <v>2850.1346932870365</v>
      </c>
      <c r="I13" s="51">
        <f t="shared" si="8"/>
        <v>2850.1346932870365</v>
      </c>
      <c r="J13" s="52">
        <f t="shared" si="8"/>
        <v>2850.1346932870365</v>
      </c>
      <c r="K13" s="53" t="s">
        <v>41</v>
      </c>
      <c r="L13" s="1" t="s">
        <v>42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2.75" customHeight="1">
      <c r="A14" s="1"/>
      <c r="B14" s="41"/>
      <c r="C14" s="42" t="s">
        <v>43</v>
      </c>
      <c r="D14" s="1" t="s">
        <v>44</v>
      </c>
      <c r="E14" s="36">
        <f t="shared" ref="E14:J14" si="9">E10*E8/E7</f>
        <v>1.47</v>
      </c>
      <c r="F14" s="37">
        <f t="shared" si="9"/>
        <v>0.23039999999999999</v>
      </c>
      <c r="G14" s="38">
        <f t="shared" si="9"/>
        <v>8.6400000000000005E-2</v>
      </c>
      <c r="H14" s="38">
        <f t="shared" si="9"/>
        <v>8.6400000000000005E-2</v>
      </c>
      <c r="I14" s="38">
        <f t="shared" si="9"/>
        <v>8.6400000000000005E-2</v>
      </c>
      <c r="J14" s="39">
        <f t="shared" si="9"/>
        <v>8.6400000000000005E-2</v>
      </c>
      <c r="K14" s="40" t="s">
        <v>33</v>
      </c>
      <c r="L14" s="1" t="s">
        <v>45</v>
      </c>
      <c r="M14" s="9"/>
      <c r="N14" s="9"/>
      <c r="O14" s="1"/>
      <c r="P14" s="1"/>
      <c r="Q14" s="9"/>
      <c r="R14" s="9"/>
      <c r="S14" s="9"/>
      <c r="T14" s="9"/>
      <c r="U14" s="1"/>
      <c r="V14" s="9"/>
      <c r="W14" s="3"/>
      <c r="X14" s="3"/>
      <c r="Y14" s="3"/>
      <c r="Z14" s="3"/>
    </row>
    <row r="15" spans="1:26" ht="12.75" customHeight="1">
      <c r="A15" s="1"/>
      <c r="B15" s="41"/>
      <c r="C15" s="42" t="s">
        <v>46</v>
      </c>
      <c r="D15" s="1" t="s">
        <v>47</v>
      </c>
      <c r="E15" s="54">
        <f t="shared" ref="E15:J15" si="10">IF(E11=0,"-",E9/E14)</f>
        <v>71.088435374149668</v>
      </c>
      <c r="F15" s="55">
        <f t="shared" si="10"/>
        <v>453.55902777777777</v>
      </c>
      <c r="G15" s="56">
        <f t="shared" si="10"/>
        <v>1209.4907407407406</v>
      </c>
      <c r="H15" s="56">
        <f t="shared" si="10"/>
        <v>1209.4907407407406</v>
      </c>
      <c r="I15" s="56">
        <f t="shared" si="10"/>
        <v>1209.4907407407406</v>
      </c>
      <c r="J15" s="57">
        <f t="shared" si="10"/>
        <v>1209.4907407407406</v>
      </c>
      <c r="K15" s="47" t="s">
        <v>37</v>
      </c>
      <c r="L15" s="1" t="s">
        <v>48</v>
      </c>
      <c r="M15" s="9"/>
      <c r="N15" s="9"/>
      <c r="O15" s="1"/>
      <c r="P15" s="1"/>
      <c r="Q15" s="9"/>
      <c r="R15" s="9"/>
      <c r="S15" s="9"/>
      <c r="T15" s="9"/>
      <c r="U15" s="1"/>
      <c r="V15" s="9"/>
      <c r="W15" s="3"/>
      <c r="X15" s="3"/>
      <c r="Y15" s="3"/>
      <c r="Z15" s="3"/>
    </row>
    <row r="16" spans="1:26" ht="12.75" customHeight="1">
      <c r="A16" s="1"/>
      <c r="B16" s="58"/>
      <c r="C16" s="23" t="s">
        <v>49</v>
      </c>
      <c r="D16" s="48" t="s">
        <v>50</v>
      </c>
      <c r="E16" s="49">
        <f t="shared" ref="E16:J16" si="11">IF(E14=0,"-",E14*(E15^2)/2)</f>
        <v>3714.3707482993204</v>
      </c>
      <c r="F16" s="50">
        <f t="shared" si="11"/>
        <v>23698.459201388887</v>
      </c>
      <c r="G16" s="51">
        <f t="shared" si="11"/>
        <v>63195.891203703701</v>
      </c>
      <c r="H16" s="51">
        <f t="shared" si="11"/>
        <v>63195.891203703701</v>
      </c>
      <c r="I16" s="51">
        <f t="shared" si="11"/>
        <v>63195.891203703701</v>
      </c>
      <c r="J16" s="52">
        <f t="shared" si="11"/>
        <v>63195.891203703701</v>
      </c>
      <c r="K16" s="53" t="s">
        <v>41</v>
      </c>
      <c r="L16" s="1" t="s">
        <v>51</v>
      </c>
      <c r="M16" s="9"/>
      <c r="N16" s="9"/>
      <c r="O16" s="1"/>
      <c r="P16" s="1"/>
      <c r="Q16" s="9"/>
      <c r="R16" s="9"/>
      <c r="S16" s="9"/>
      <c r="T16" s="9"/>
      <c r="U16" s="1"/>
      <c r="V16" s="9"/>
      <c r="W16" s="3"/>
      <c r="X16" s="3"/>
      <c r="Y16" s="3"/>
      <c r="Z16" s="3"/>
    </row>
    <row r="17" spans="1:26" ht="12.75" customHeight="1">
      <c r="A17" s="1"/>
      <c r="B17" s="2"/>
      <c r="C17" s="2"/>
      <c r="D17" s="1"/>
      <c r="E17" s="59"/>
      <c r="F17" s="59"/>
      <c r="G17" s="59"/>
      <c r="H17" s="59"/>
      <c r="I17" s="59"/>
      <c r="J17" s="59"/>
      <c r="K17" s="2"/>
      <c r="L17" s="1"/>
      <c r="M17" s="9"/>
      <c r="N17" s="9"/>
      <c r="O17" s="1"/>
      <c r="P17" s="1"/>
      <c r="Q17" s="9"/>
      <c r="R17" s="9"/>
      <c r="S17" s="9"/>
      <c r="T17" s="9"/>
      <c r="U17" s="1"/>
      <c r="V17" s="9"/>
      <c r="W17" s="3"/>
      <c r="X17" s="3"/>
      <c r="Y17" s="3"/>
      <c r="Z17" s="3"/>
    </row>
    <row r="18" spans="1:26" ht="12.75" customHeight="1">
      <c r="A18" s="1"/>
      <c r="B18" s="1"/>
      <c r="C18" s="2"/>
      <c r="D18" s="60" t="s">
        <v>52</v>
      </c>
      <c r="E18" s="10" t="s">
        <v>3</v>
      </c>
      <c r="F18" s="10" t="s">
        <v>4</v>
      </c>
      <c r="G18" s="10" t="s">
        <v>5</v>
      </c>
      <c r="H18" s="10" t="s">
        <v>6</v>
      </c>
      <c r="I18" s="10" t="s">
        <v>7</v>
      </c>
      <c r="J18" s="10" t="s">
        <v>8</v>
      </c>
      <c r="K18" s="2"/>
      <c r="L18" s="1"/>
      <c r="M18" s="9"/>
      <c r="N18" s="9"/>
      <c r="O18" s="1"/>
      <c r="P18" s="1"/>
      <c r="Q18" s="9"/>
      <c r="R18" s="9"/>
      <c r="S18" s="9"/>
      <c r="T18" s="9"/>
      <c r="U18" s="1"/>
      <c r="V18" s="9"/>
      <c r="W18" s="3"/>
      <c r="X18" s="3"/>
      <c r="Y18" s="3"/>
      <c r="Z18" s="3"/>
    </row>
    <row r="19" spans="1:26" ht="12.75" customHeight="1">
      <c r="A19" s="1"/>
      <c r="B19" s="1"/>
      <c r="C19" s="2"/>
      <c r="D19" s="61" t="s">
        <v>53</v>
      </c>
      <c r="E19" s="62">
        <v>0</v>
      </c>
      <c r="F19" s="63"/>
      <c r="G19" s="63"/>
      <c r="H19" s="63"/>
      <c r="I19" s="63"/>
      <c r="J19" s="64"/>
      <c r="K19" s="2"/>
      <c r="L19" s="1"/>
      <c r="M19" s="9"/>
      <c r="N19" s="9"/>
      <c r="O19" s="1"/>
      <c r="P19" s="1"/>
      <c r="Q19" s="9"/>
      <c r="R19" s="9"/>
      <c r="S19" s="9"/>
      <c r="T19" s="9"/>
      <c r="U19" s="1"/>
      <c r="V19" s="9"/>
      <c r="W19" s="3"/>
      <c r="X19" s="3"/>
      <c r="Y19" s="3"/>
      <c r="Z19" s="3"/>
    </row>
    <row r="20" spans="1:26" ht="12.75" customHeight="1">
      <c r="A20" s="1"/>
      <c r="B20" s="2"/>
      <c r="C20" s="2"/>
      <c r="D20" s="65" t="s">
        <v>54</v>
      </c>
      <c r="E20" s="66">
        <v>0</v>
      </c>
      <c r="F20" s="67">
        <v>8</v>
      </c>
      <c r="G20" s="67">
        <v>3</v>
      </c>
      <c r="H20" s="67">
        <v>3</v>
      </c>
      <c r="I20" s="67">
        <v>3</v>
      </c>
      <c r="J20" s="68">
        <v>3</v>
      </c>
      <c r="K20" s="2"/>
      <c r="L20" s="27"/>
      <c r="M20" s="9"/>
      <c r="N20" s="9"/>
      <c r="O20" s="1"/>
      <c r="P20" s="1"/>
      <c r="Q20" s="9"/>
      <c r="R20" s="9"/>
      <c r="S20" s="9"/>
      <c r="T20" s="9"/>
      <c r="U20" s="1"/>
      <c r="V20" s="9"/>
      <c r="W20" s="3"/>
      <c r="X20" s="3"/>
      <c r="Y20" s="3"/>
      <c r="Z20" s="3"/>
    </row>
    <row r="21" spans="1:26" ht="12.75" customHeight="1">
      <c r="A21" s="1"/>
      <c r="B21" s="2"/>
      <c r="C21" s="2"/>
      <c r="D21" s="65" t="s">
        <v>55</v>
      </c>
      <c r="E21" s="66">
        <v>2</v>
      </c>
      <c r="F21" s="67"/>
      <c r="G21" s="67"/>
      <c r="H21" s="67"/>
      <c r="I21" s="67"/>
      <c r="J21" s="68"/>
      <c r="K21" s="2"/>
      <c r="L21" s="9"/>
      <c r="M21" s="9"/>
      <c r="N21" s="9"/>
      <c r="O21" s="1"/>
      <c r="P21" s="1"/>
      <c r="Q21" s="9"/>
      <c r="R21" s="9"/>
      <c r="S21" s="9"/>
      <c r="T21" s="9"/>
      <c r="U21" s="1"/>
      <c r="V21" s="9"/>
      <c r="W21" s="3"/>
      <c r="X21" s="3"/>
      <c r="Y21" s="3"/>
      <c r="Z21" s="3"/>
    </row>
    <row r="22" spans="1:26" ht="12.75" customHeight="1">
      <c r="A22" s="1"/>
      <c r="B22" s="2"/>
      <c r="C22" s="2"/>
      <c r="D22" s="69" t="s">
        <v>56</v>
      </c>
      <c r="E22" s="70">
        <v>3</v>
      </c>
      <c r="F22" s="71"/>
      <c r="G22" s="71"/>
      <c r="H22" s="71"/>
      <c r="I22" s="71"/>
      <c r="J22" s="72"/>
      <c r="K22" s="2"/>
      <c r="L22" s="73"/>
      <c r="M22" s="1"/>
      <c r="N22" s="9"/>
      <c r="O22" s="1"/>
      <c r="P22" s="1"/>
      <c r="Q22" s="9"/>
      <c r="R22" s="9"/>
      <c r="S22" s="9"/>
      <c r="T22" s="9"/>
      <c r="U22" s="1"/>
      <c r="V22" s="9"/>
      <c r="W22" s="3"/>
      <c r="X22" s="3"/>
      <c r="Y22" s="3"/>
      <c r="Z22" s="3"/>
    </row>
    <row r="23" spans="1:26" ht="12.75" hidden="1" customHeight="1">
      <c r="A23" s="1"/>
      <c r="B23" s="7"/>
      <c r="C23" s="8"/>
      <c r="D23" s="61" t="s">
        <v>57</v>
      </c>
      <c r="E23" s="74">
        <v>3600</v>
      </c>
      <c r="F23" s="74">
        <v>3600</v>
      </c>
      <c r="G23" s="74">
        <v>3600</v>
      </c>
      <c r="H23" s="74">
        <v>3600</v>
      </c>
      <c r="I23" s="74">
        <v>3600</v>
      </c>
      <c r="J23" s="75">
        <v>3600</v>
      </c>
      <c r="K23" s="2"/>
      <c r="L23" s="73"/>
      <c r="M23" s="1"/>
      <c r="N23" s="9"/>
      <c r="O23" s="1"/>
      <c r="P23" s="1"/>
      <c r="Q23" s="9"/>
      <c r="R23" s="9"/>
      <c r="S23" s="9"/>
      <c r="T23" s="9"/>
      <c r="U23" s="1"/>
      <c r="V23" s="9"/>
      <c r="W23" s="3"/>
      <c r="X23" s="3"/>
      <c r="Y23" s="3"/>
      <c r="Z23" s="3"/>
    </row>
    <row r="24" spans="1:26" ht="12.75" hidden="1" customHeight="1">
      <c r="A24" s="1"/>
      <c r="B24" s="7"/>
      <c r="C24" s="8"/>
      <c r="D24" s="65" t="s">
        <v>58</v>
      </c>
      <c r="E24" s="32">
        <v>288</v>
      </c>
      <c r="F24" s="32">
        <v>288</v>
      </c>
      <c r="G24" s="32">
        <v>288</v>
      </c>
      <c r="H24" s="32">
        <v>288</v>
      </c>
      <c r="I24" s="32">
        <v>288</v>
      </c>
      <c r="J24" s="76">
        <v>288</v>
      </c>
      <c r="K24" s="2"/>
      <c r="L24" s="73"/>
      <c r="M24" s="1"/>
      <c r="N24" s="9"/>
      <c r="O24" s="1"/>
      <c r="P24" s="1"/>
      <c r="Q24" s="9"/>
      <c r="R24" s="9"/>
      <c r="S24" s="9"/>
      <c r="T24" s="9"/>
      <c r="U24" s="1"/>
      <c r="V24" s="9"/>
      <c r="W24" s="3"/>
      <c r="X24" s="3"/>
      <c r="Y24" s="3"/>
      <c r="Z24" s="3"/>
    </row>
    <row r="25" spans="1:26" ht="12.75" hidden="1" customHeight="1">
      <c r="A25" s="1"/>
      <c r="B25" s="7"/>
      <c r="C25" s="8"/>
      <c r="D25" s="65" t="s">
        <v>59</v>
      </c>
      <c r="E25" s="32">
        <v>6000</v>
      </c>
      <c r="F25" s="32">
        <v>6000</v>
      </c>
      <c r="G25" s="32">
        <v>6000</v>
      </c>
      <c r="H25" s="32">
        <v>6000</v>
      </c>
      <c r="I25" s="32">
        <v>6000</v>
      </c>
      <c r="J25" s="76">
        <v>6000</v>
      </c>
      <c r="K25" s="2"/>
      <c r="L25" s="73"/>
      <c r="M25" s="1"/>
      <c r="N25" s="9"/>
      <c r="O25" s="1"/>
      <c r="P25" s="1"/>
      <c r="Q25" s="9"/>
      <c r="R25" s="9"/>
      <c r="S25" s="9"/>
      <c r="T25" s="9"/>
      <c r="U25" s="1"/>
      <c r="V25" s="9"/>
      <c r="W25" s="3"/>
      <c r="X25" s="3"/>
      <c r="Y25" s="3"/>
      <c r="Z25" s="3"/>
    </row>
    <row r="26" spans="1:26" ht="12.75" hidden="1" customHeight="1">
      <c r="A26" s="1"/>
      <c r="B26" s="7"/>
      <c r="C26" s="8"/>
      <c r="D26" s="69" t="s">
        <v>60</v>
      </c>
      <c r="E26" s="77">
        <v>900</v>
      </c>
      <c r="F26" s="77">
        <v>900</v>
      </c>
      <c r="G26" s="77">
        <v>900</v>
      </c>
      <c r="H26" s="77">
        <v>900</v>
      </c>
      <c r="I26" s="77">
        <v>900</v>
      </c>
      <c r="J26" s="78">
        <v>900</v>
      </c>
      <c r="K26" s="2"/>
      <c r="L26" s="73"/>
      <c r="M26" s="1"/>
      <c r="N26" s="9"/>
      <c r="O26" s="1"/>
      <c r="P26" s="1"/>
      <c r="Q26" s="9"/>
      <c r="R26" s="9"/>
      <c r="S26" s="9"/>
      <c r="T26" s="9"/>
      <c r="U26" s="1"/>
      <c r="V26" s="9"/>
      <c r="W26" s="3"/>
      <c r="X26" s="3"/>
      <c r="Y26" s="3"/>
      <c r="Z26" s="3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2"/>
      <c r="L27" s="73"/>
      <c r="M27" s="1"/>
      <c r="N27" s="9"/>
      <c r="O27" s="1"/>
      <c r="P27" s="1"/>
      <c r="Q27" s="9"/>
      <c r="R27" s="9"/>
      <c r="S27" s="9"/>
      <c r="T27" s="9"/>
      <c r="U27" s="1"/>
      <c r="V27" s="9"/>
      <c r="W27" s="3"/>
      <c r="X27" s="3"/>
      <c r="Y27" s="3"/>
      <c r="Z27" s="3"/>
    </row>
    <row r="28" spans="1:26" ht="12.75" customHeight="1">
      <c r="A28" s="1"/>
      <c r="B28" s="7" t="s">
        <v>61</v>
      </c>
      <c r="C28" s="1"/>
      <c r="D28" s="1"/>
      <c r="E28" s="1"/>
      <c r="F28" s="1"/>
      <c r="G28" s="1"/>
      <c r="H28" s="1"/>
      <c r="I28" s="1"/>
      <c r="J28" s="1"/>
      <c r="K28" s="2"/>
      <c r="L28" s="73"/>
      <c r="M28" s="1"/>
      <c r="N28" s="9"/>
      <c r="O28" s="1"/>
      <c r="P28" s="1"/>
      <c r="Q28" s="9"/>
      <c r="R28" s="9"/>
      <c r="S28" s="9"/>
      <c r="T28" s="9"/>
      <c r="U28" s="1"/>
      <c r="V28" s="9"/>
      <c r="W28" s="3"/>
      <c r="X28" s="3"/>
      <c r="Y28" s="3"/>
      <c r="Z28" s="3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2"/>
      <c r="L29" s="73"/>
      <c r="M29" s="1"/>
      <c r="N29" s="9"/>
      <c r="O29" s="1"/>
      <c r="P29" s="1"/>
      <c r="Q29" s="9"/>
      <c r="R29" s="9"/>
      <c r="S29" s="9"/>
      <c r="T29" s="9"/>
      <c r="U29" s="1"/>
      <c r="V29" s="9"/>
      <c r="W29" s="3"/>
      <c r="X29" s="3"/>
      <c r="Y29" s="3"/>
      <c r="Z29" s="3"/>
    </row>
    <row r="30" spans="1:26" ht="12.75" customHeight="1">
      <c r="A30" s="1"/>
      <c r="B30" s="11" t="s">
        <v>9</v>
      </c>
      <c r="C30" s="12" t="s">
        <v>10</v>
      </c>
      <c r="D30" s="13" t="s">
        <v>11</v>
      </c>
      <c r="E30" s="14">
        <v>300</v>
      </c>
      <c r="F30" s="15">
        <f t="shared" ref="F30:F33" si="12">E30</f>
        <v>300</v>
      </c>
      <c r="G30" s="15">
        <f t="shared" ref="G30:G33" si="13">E30</f>
        <v>300</v>
      </c>
      <c r="H30" s="15">
        <f t="shared" ref="H30:H33" si="14">E30</f>
        <v>300</v>
      </c>
      <c r="I30" s="15">
        <f t="shared" ref="I30:I33" si="15">E30</f>
        <v>300</v>
      </c>
      <c r="J30" s="15">
        <f t="shared" ref="J30:J33" si="16">E30</f>
        <v>300</v>
      </c>
      <c r="K30" s="16" t="s">
        <v>12</v>
      </c>
      <c r="L30" s="9" t="s">
        <v>13</v>
      </c>
      <c r="M30" s="1"/>
      <c r="N30" s="9"/>
      <c r="O30" s="1"/>
      <c r="P30" s="1"/>
      <c r="Q30" s="9"/>
      <c r="R30" s="9"/>
      <c r="S30" s="9"/>
      <c r="T30" s="9"/>
      <c r="U30" s="1"/>
      <c r="V30" s="9"/>
      <c r="W30" s="3"/>
      <c r="X30" s="3"/>
      <c r="Y30" s="3"/>
      <c r="Z30" s="3"/>
    </row>
    <row r="31" spans="1:26" ht="12.75" customHeight="1">
      <c r="A31" s="1"/>
      <c r="B31" s="17"/>
      <c r="C31" s="18" t="s">
        <v>14</v>
      </c>
      <c r="D31" s="19" t="s">
        <v>15</v>
      </c>
      <c r="E31" s="79">
        <v>1000</v>
      </c>
      <c r="F31" s="21">
        <f t="shared" si="12"/>
        <v>1000</v>
      </c>
      <c r="G31" s="21">
        <f t="shared" si="13"/>
        <v>1000</v>
      </c>
      <c r="H31" s="21">
        <f t="shared" si="14"/>
        <v>1000</v>
      </c>
      <c r="I31" s="21">
        <f t="shared" si="15"/>
        <v>1000</v>
      </c>
      <c r="J31" s="21">
        <f t="shared" si="16"/>
        <v>1000</v>
      </c>
      <c r="K31" s="22" t="s">
        <v>12</v>
      </c>
      <c r="L31" s="9" t="s">
        <v>16</v>
      </c>
      <c r="M31" s="1"/>
      <c r="N31" s="9"/>
      <c r="O31" s="1"/>
      <c r="P31" s="1"/>
      <c r="Q31" s="9"/>
      <c r="R31" s="9"/>
      <c r="S31" s="9"/>
      <c r="T31" s="9"/>
      <c r="U31" s="1"/>
      <c r="V31" s="9"/>
      <c r="W31" s="3"/>
      <c r="X31" s="3"/>
      <c r="Y31" s="3"/>
      <c r="Z31" s="3"/>
    </row>
    <row r="32" spans="1:26" ht="12.75" customHeight="1">
      <c r="A32" s="1"/>
      <c r="B32" s="17"/>
      <c r="C32" s="23" t="s">
        <v>17</v>
      </c>
      <c r="D32" s="24" t="s">
        <v>18</v>
      </c>
      <c r="E32" s="25">
        <v>1</v>
      </c>
      <c r="F32" s="26">
        <f t="shared" si="12"/>
        <v>1</v>
      </c>
      <c r="G32" s="26">
        <f t="shared" si="13"/>
        <v>1</v>
      </c>
      <c r="H32" s="26">
        <f t="shared" si="14"/>
        <v>1</v>
      </c>
      <c r="I32" s="26">
        <f t="shared" si="15"/>
        <v>1</v>
      </c>
      <c r="J32" s="26">
        <f t="shared" si="16"/>
        <v>1</v>
      </c>
      <c r="K32" s="22"/>
      <c r="L32" s="27" t="s">
        <v>19</v>
      </c>
      <c r="M32" s="1"/>
      <c r="N32" s="9"/>
      <c r="O32" s="1"/>
      <c r="P32" s="1"/>
      <c r="Q32" s="9"/>
      <c r="R32" s="9"/>
      <c r="S32" s="9"/>
      <c r="T32" s="9"/>
      <c r="U32" s="1"/>
      <c r="V32" s="9"/>
      <c r="W32" s="3"/>
      <c r="X32" s="3"/>
      <c r="Y32" s="3"/>
      <c r="Z32" s="3"/>
    </row>
    <row r="33" spans="1:26" ht="12.75" customHeight="1">
      <c r="A33" s="1"/>
      <c r="B33" s="28" t="s">
        <v>20</v>
      </c>
      <c r="C33" s="8" t="s">
        <v>21</v>
      </c>
      <c r="D33" s="1" t="s">
        <v>22</v>
      </c>
      <c r="E33" s="29">
        <v>104.5</v>
      </c>
      <c r="F33" s="26">
        <f t="shared" si="12"/>
        <v>104.5</v>
      </c>
      <c r="G33" s="26">
        <f t="shared" si="13"/>
        <v>104.5</v>
      </c>
      <c r="H33" s="26">
        <f t="shared" si="14"/>
        <v>104.5</v>
      </c>
      <c r="I33" s="26">
        <f t="shared" si="15"/>
        <v>104.5</v>
      </c>
      <c r="J33" s="26">
        <f t="shared" si="16"/>
        <v>104.5</v>
      </c>
      <c r="K33" s="22" t="s">
        <v>23</v>
      </c>
      <c r="L33" s="27" t="s">
        <v>24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2.75" customHeight="1">
      <c r="A34" s="1"/>
      <c r="B34" s="30" t="s">
        <v>25</v>
      </c>
      <c r="C34" s="2" t="s">
        <v>26</v>
      </c>
      <c r="D34" s="1" t="s">
        <v>27</v>
      </c>
      <c r="E34" s="31">
        <f t="shared" ref="E34:J34" si="17">E43*E47+E44*E48+E45*E49+E46*E50</f>
        <v>144</v>
      </c>
      <c r="F34" s="32">
        <f t="shared" si="17"/>
        <v>0</v>
      </c>
      <c r="G34" s="32">
        <f t="shared" si="17"/>
        <v>0</v>
      </c>
      <c r="H34" s="32">
        <f t="shared" si="17"/>
        <v>0</v>
      </c>
      <c r="I34" s="32">
        <f t="shared" si="17"/>
        <v>0</v>
      </c>
      <c r="J34" s="32">
        <f t="shared" si="17"/>
        <v>0</v>
      </c>
      <c r="K34" s="22" t="s">
        <v>28</v>
      </c>
      <c r="L34" s="1" t="s">
        <v>29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2.75" customHeight="1">
      <c r="A35" s="1"/>
      <c r="B35" s="33" t="s">
        <v>30</v>
      </c>
      <c r="C35" s="34" t="s">
        <v>31</v>
      </c>
      <c r="D35" s="13" t="s">
        <v>32</v>
      </c>
      <c r="E35" s="36">
        <f t="shared" ref="E35:J35" si="18">E34*E32/E30</f>
        <v>0.48</v>
      </c>
      <c r="F35" s="37">
        <f t="shared" si="18"/>
        <v>0</v>
      </c>
      <c r="G35" s="38">
        <f t="shared" si="18"/>
        <v>0</v>
      </c>
      <c r="H35" s="38">
        <f t="shared" si="18"/>
        <v>0</v>
      </c>
      <c r="I35" s="38">
        <f t="shared" si="18"/>
        <v>0</v>
      </c>
      <c r="J35" s="39">
        <f t="shared" si="18"/>
        <v>0</v>
      </c>
      <c r="K35" s="16" t="s">
        <v>33</v>
      </c>
      <c r="L35" s="1" t="s">
        <v>34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2.75" customHeight="1">
      <c r="A36" s="1"/>
      <c r="B36" s="41"/>
      <c r="C36" s="42" t="s">
        <v>35</v>
      </c>
      <c r="D36" s="19" t="s">
        <v>36</v>
      </c>
      <c r="E36" s="43">
        <f t="shared" ref="E36:J36" si="19">IF(E35=0,"-",E33/E35)</f>
        <v>217.70833333333334</v>
      </c>
      <c r="F36" s="44" t="str">
        <f t="shared" si="19"/>
        <v>-</v>
      </c>
      <c r="G36" s="45" t="str">
        <f t="shared" si="19"/>
        <v>-</v>
      </c>
      <c r="H36" s="45" t="str">
        <f t="shared" si="19"/>
        <v>-</v>
      </c>
      <c r="I36" s="45" t="str">
        <f t="shared" si="19"/>
        <v>-</v>
      </c>
      <c r="J36" s="46" t="str">
        <f t="shared" si="19"/>
        <v>-</v>
      </c>
      <c r="K36" s="22" t="s">
        <v>37</v>
      </c>
      <c r="L36" s="1" t="s">
        <v>38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2.75" customHeight="1">
      <c r="A37" s="1"/>
      <c r="B37" s="41"/>
      <c r="C37" s="23" t="s">
        <v>39</v>
      </c>
      <c r="D37" s="24" t="s">
        <v>40</v>
      </c>
      <c r="E37" s="49">
        <f t="shared" ref="E37:J37" si="20">IF(E35=0,"-",E35*(E36^2)/2)</f>
        <v>11375.260416666668</v>
      </c>
      <c r="F37" s="50" t="str">
        <f t="shared" si="20"/>
        <v>-</v>
      </c>
      <c r="G37" s="51" t="str">
        <f t="shared" si="20"/>
        <v>-</v>
      </c>
      <c r="H37" s="51" t="str">
        <f t="shared" si="20"/>
        <v>-</v>
      </c>
      <c r="I37" s="51" t="str">
        <f t="shared" si="20"/>
        <v>-</v>
      </c>
      <c r="J37" s="52" t="str">
        <f t="shared" si="20"/>
        <v>-</v>
      </c>
      <c r="K37" s="80" t="s">
        <v>41</v>
      </c>
      <c r="L37" s="1" t="s">
        <v>42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2.75" customHeight="1">
      <c r="A38" s="1"/>
      <c r="B38" s="41"/>
      <c r="C38" s="42" t="s">
        <v>43</v>
      </c>
      <c r="D38" s="19" t="s">
        <v>44</v>
      </c>
      <c r="E38" s="36">
        <f t="shared" ref="E38:J38" si="21">E34*E32/E31</f>
        <v>0.14399999999999999</v>
      </c>
      <c r="F38" s="37">
        <f t="shared" si="21"/>
        <v>0</v>
      </c>
      <c r="G38" s="38">
        <f t="shared" si="21"/>
        <v>0</v>
      </c>
      <c r="H38" s="38">
        <f t="shared" si="21"/>
        <v>0</v>
      </c>
      <c r="I38" s="38">
        <f t="shared" si="21"/>
        <v>0</v>
      </c>
      <c r="J38" s="39">
        <f t="shared" si="21"/>
        <v>0</v>
      </c>
      <c r="K38" s="16" t="s">
        <v>33</v>
      </c>
      <c r="L38" s="1" t="s">
        <v>45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2.75" customHeight="1">
      <c r="A39" s="1"/>
      <c r="B39" s="41"/>
      <c r="C39" s="42" t="s">
        <v>46</v>
      </c>
      <c r="D39" s="19" t="s">
        <v>47</v>
      </c>
      <c r="E39" s="43">
        <f t="shared" ref="E39:J39" si="22">IF(E35=0,"-",E33/E38)</f>
        <v>725.69444444444446</v>
      </c>
      <c r="F39" s="44" t="str">
        <f t="shared" si="22"/>
        <v>-</v>
      </c>
      <c r="G39" s="45" t="str">
        <f t="shared" si="22"/>
        <v>-</v>
      </c>
      <c r="H39" s="45" t="str">
        <f t="shared" si="22"/>
        <v>-</v>
      </c>
      <c r="I39" s="45" t="str">
        <f t="shared" si="22"/>
        <v>-</v>
      </c>
      <c r="J39" s="46" t="str">
        <f t="shared" si="22"/>
        <v>-</v>
      </c>
      <c r="K39" s="22" t="s">
        <v>37</v>
      </c>
      <c r="L39" s="1" t="s">
        <v>48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2.75" customHeight="1">
      <c r="A40" s="1"/>
      <c r="B40" s="58"/>
      <c r="C40" s="23" t="s">
        <v>49</v>
      </c>
      <c r="D40" s="24" t="s">
        <v>50</v>
      </c>
      <c r="E40" s="49">
        <f t="shared" ref="E40:J40" si="23">IF(E38=0,"-",E38*(E39^2)/2)</f>
        <v>37917.534722222219</v>
      </c>
      <c r="F40" s="50" t="str">
        <f t="shared" si="23"/>
        <v>-</v>
      </c>
      <c r="G40" s="51" t="str">
        <f t="shared" si="23"/>
        <v>-</v>
      </c>
      <c r="H40" s="51" t="str">
        <f t="shared" si="23"/>
        <v>-</v>
      </c>
      <c r="I40" s="51" t="str">
        <f t="shared" si="23"/>
        <v>-</v>
      </c>
      <c r="J40" s="52" t="str">
        <f t="shared" si="23"/>
        <v>-</v>
      </c>
      <c r="K40" s="80" t="s">
        <v>41</v>
      </c>
      <c r="L40" s="1" t="s">
        <v>51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2.7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73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2.75" customHeight="1">
      <c r="A42" s="1"/>
      <c r="B42" s="2"/>
      <c r="C42" s="2"/>
      <c r="D42" s="60" t="s">
        <v>52</v>
      </c>
      <c r="E42" s="10" t="s">
        <v>3</v>
      </c>
      <c r="F42" s="10" t="s">
        <v>4</v>
      </c>
      <c r="G42" s="10" t="s">
        <v>5</v>
      </c>
      <c r="H42" s="10" t="s">
        <v>6</v>
      </c>
      <c r="I42" s="10" t="s">
        <v>7</v>
      </c>
      <c r="J42" s="10" t="s">
        <v>8</v>
      </c>
      <c r="K42" s="2"/>
      <c r="L42" s="81"/>
      <c r="M42" s="73"/>
      <c r="N42" s="82"/>
      <c r="O42" s="56"/>
      <c r="P42" s="2"/>
      <c r="Q42" s="1"/>
      <c r="R42" s="1"/>
      <c r="S42" s="1"/>
      <c r="T42" s="1"/>
      <c r="U42" s="1"/>
      <c r="V42" s="2"/>
      <c r="W42" s="3"/>
      <c r="X42" s="3"/>
      <c r="Y42" s="3"/>
      <c r="Z42" s="3"/>
    </row>
    <row r="43" spans="1:26" ht="12.75" customHeight="1">
      <c r="A43" s="1"/>
      <c r="B43" s="2"/>
      <c r="C43" s="2"/>
      <c r="D43" s="61" t="s">
        <v>53</v>
      </c>
      <c r="E43" s="62">
        <v>1</v>
      </c>
      <c r="F43" s="63"/>
      <c r="G43" s="63"/>
      <c r="H43" s="63"/>
      <c r="I43" s="63"/>
      <c r="J43" s="64"/>
      <c r="K43" s="2"/>
      <c r="L43" s="81"/>
      <c r="M43" s="73"/>
      <c r="N43" s="82"/>
      <c r="O43" s="56"/>
      <c r="P43" s="2"/>
      <c r="Q43" s="1"/>
      <c r="R43" s="1"/>
      <c r="S43" s="1"/>
      <c r="T43" s="1"/>
      <c r="U43" s="1"/>
      <c r="V43" s="2"/>
      <c r="W43" s="3"/>
      <c r="X43" s="3"/>
      <c r="Y43" s="3"/>
      <c r="Z43" s="3"/>
    </row>
    <row r="44" spans="1:26" ht="12.75" customHeight="1">
      <c r="A44" s="1"/>
      <c r="B44" s="2"/>
      <c r="C44" s="2"/>
      <c r="D44" s="65" t="s">
        <v>54</v>
      </c>
      <c r="E44" s="66"/>
      <c r="F44" s="67"/>
      <c r="G44" s="67"/>
      <c r="H44" s="67"/>
      <c r="I44" s="67"/>
      <c r="J44" s="68"/>
      <c r="K44" s="2"/>
      <c r="L44" s="81"/>
      <c r="M44" s="73"/>
      <c r="N44" s="82"/>
      <c r="O44" s="56"/>
      <c r="P44" s="2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2.75" customHeight="1">
      <c r="A45" s="1"/>
      <c r="B45" s="2"/>
      <c r="C45" s="2"/>
      <c r="D45" s="65" t="s">
        <v>55</v>
      </c>
      <c r="E45" s="66"/>
      <c r="F45" s="67"/>
      <c r="G45" s="67"/>
      <c r="H45" s="67"/>
      <c r="I45" s="67"/>
      <c r="J45" s="68"/>
      <c r="K45" s="83"/>
      <c r="L45" s="84"/>
      <c r="M45" s="1"/>
      <c r="N45" s="82"/>
      <c r="O45" s="1"/>
      <c r="P45" s="2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2.75" customHeight="1">
      <c r="A46" s="1"/>
      <c r="B46" s="2"/>
      <c r="C46" s="2"/>
      <c r="D46" s="69" t="s">
        <v>56</v>
      </c>
      <c r="E46" s="70"/>
      <c r="F46" s="71"/>
      <c r="G46" s="71"/>
      <c r="H46" s="71"/>
      <c r="I46" s="71"/>
      <c r="J46" s="72"/>
      <c r="K46" s="2"/>
      <c r="L46" s="81"/>
      <c r="M46" s="73"/>
      <c r="N46" s="82"/>
      <c r="O46" s="56"/>
      <c r="P46" s="2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2.75" hidden="1" customHeight="1">
      <c r="A47" s="1"/>
      <c r="B47" s="2"/>
      <c r="C47" s="8"/>
      <c r="D47" s="61" t="s">
        <v>57</v>
      </c>
      <c r="E47" s="85">
        <v>144</v>
      </c>
      <c r="F47" s="74">
        <v>144</v>
      </c>
      <c r="G47" s="74">
        <v>144</v>
      </c>
      <c r="H47" s="74">
        <v>144</v>
      </c>
      <c r="I47" s="74">
        <v>144</v>
      </c>
      <c r="J47" s="75">
        <v>144</v>
      </c>
      <c r="K47" s="2"/>
      <c r="L47" s="81"/>
      <c r="M47" s="73"/>
      <c r="N47" s="82"/>
      <c r="O47" s="56"/>
      <c r="P47" s="2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2.75" hidden="1" customHeight="1">
      <c r="A48" s="1"/>
      <c r="B48" s="2"/>
      <c r="C48" s="8"/>
      <c r="D48" s="65" t="s">
        <v>58</v>
      </c>
      <c r="E48" s="86">
        <v>12</v>
      </c>
      <c r="F48" s="32">
        <v>12</v>
      </c>
      <c r="G48" s="32">
        <v>12</v>
      </c>
      <c r="H48" s="32">
        <v>12</v>
      </c>
      <c r="I48" s="32">
        <v>12</v>
      </c>
      <c r="J48" s="76">
        <v>12</v>
      </c>
      <c r="K48" s="2"/>
      <c r="L48" s="81"/>
      <c r="M48" s="73"/>
      <c r="N48" s="82"/>
      <c r="O48" s="56"/>
      <c r="P48" s="2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2.75" hidden="1" customHeight="1">
      <c r="A49" s="1"/>
      <c r="B49" s="2"/>
      <c r="C49" s="8"/>
      <c r="D49" s="65" t="s">
        <v>59</v>
      </c>
      <c r="E49" s="86">
        <v>400</v>
      </c>
      <c r="F49" s="32">
        <v>400</v>
      </c>
      <c r="G49" s="32">
        <v>400</v>
      </c>
      <c r="H49" s="32">
        <v>400</v>
      </c>
      <c r="I49" s="32">
        <v>400</v>
      </c>
      <c r="J49" s="76">
        <v>400</v>
      </c>
      <c r="K49" s="2"/>
      <c r="L49" s="2"/>
      <c r="M49" s="1"/>
      <c r="N49" s="82"/>
      <c r="O49" s="1"/>
      <c r="P49" s="2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2.75" hidden="1" customHeight="1">
      <c r="A50" s="1"/>
      <c r="B50" s="2"/>
      <c r="C50" s="8"/>
      <c r="D50" s="69" t="s">
        <v>60</v>
      </c>
      <c r="E50" s="87">
        <v>82</v>
      </c>
      <c r="F50" s="77">
        <v>82</v>
      </c>
      <c r="G50" s="77">
        <v>82</v>
      </c>
      <c r="H50" s="77">
        <v>82</v>
      </c>
      <c r="I50" s="77">
        <v>82</v>
      </c>
      <c r="J50" s="78">
        <v>82</v>
      </c>
      <c r="K50" s="2"/>
      <c r="L50" s="81"/>
      <c r="M50" s="73"/>
      <c r="N50" s="82"/>
      <c r="O50" s="56"/>
      <c r="P50" s="2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2.75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2.75" customHeight="1">
      <c r="A52" s="1"/>
      <c r="B52" s="7" t="s">
        <v>62</v>
      </c>
      <c r="C52" s="2"/>
      <c r="D52" s="9" t="s">
        <v>63</v>
      </c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2.75" customHeight="1">
      <c r="A53" s="1"/>
      <c r="B53" s="2"/>
      <c r="C53" s="2"/>
      <c r="D53" s="1" t="s">
        <v>64</v>
      </c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2.75" customHeight="1">
      <c r="A54" s="1"/>
      <c r="B54" s="2"/>
      <c r="C54" s="2"/>
      <c r="D54" s="1" t="s">
        <v>65</v>
      </c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2.7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2.75" customHeight="1">
      <c r="A56" s="1"/>
      <c r="B56" s="2"/>
      <c r="C56" s="88"/>
      <c r="D56" s="89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2.7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E2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opLeftCell="A25" workbookViewId="0">
      <selection activeCell="E36" sqref="E36"/>
    </sheetView>
  </sheetViews>
  <sheetFormatPr defaultColWidth="17.28515625" defaultRowHeight="15" customHeight="1"/>
  <cols>
    <col min="1" max="1" width="9.140625" customWidth="1"/>
    <col min="2" max="2" width="24.42578125" customWidth="1"/>
    <col min="3" max="3" width="7.140625" customWidth="1"/>
    <col min="4" max="4" width="39.85546875" customWidth="1"/>
    <col min="5" max="5" width="10.42578125" customWidth="1"/>
    <col min="6" max="6" width="9.85546875" customWidth="1"/>
    <col min="7" max="7" width="19.28515625" customWidth="1"/>
    <col min="8" max="8" width="17" customWidth="1"/>
    <col min="9" max="9" width="19.5703125" customWidth="1"/>
    <col min="10" max="10" width="10.42578125" hidden="1" customWidth="1"/>
    <col min="11" max="11" width="18.140625" hidden="1" customWidth="1"/>
    <col min="12" max="12" width="15.28515625" hidden="1" customWidth="1"/>
    <col min="13" max="13" width="18.85546875" hidden="1" customWidth="1"/>
    <col min="14" max="14" width="14.28515625" hidden="1" customWidth="1"/>
    <col min="15" max="15" width="22.85546875" hidden="1" customWidth="1"/>
    <col min="16" max="16" width="21.140625" hidden="1" customWidth="1"/>
    <col min="17" max="17" width="21.42578125" hidden="1" customWidth="1"/>
    <col min="18" max="18" width="9.85546875" hidden="1" customWidth="1"/>
    <col min="19" max="19" width="5" customWidth="1"/>
    <col min="20" max="20" width="17" customWidth="1"/>
    <col min="21" max="21" width="18" customWidth="1"/>
    <col min="22" max="28" width="9.140625" customWidth="1"/>
  </cols>
  <sheetData>
    <row r="1" spans="1:28" ht="12.75" customHeight="1">
      <c r="A1" s="1"/>
      <c r="B1" s="2"/>
      <c r="C1" s="2"/>
      <c r="D1" s="1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5.5" customHeight="1">
      <c r="A2" s="1"/>
      <c r="B2" s="2"/>
      <c r="C2" s="90" t="s">
        <v>66</v>
      </c>
      <c r="D2" s="1"/>
      <c r="E2" s="2"/>
      <c r="F2" s="196" t="s">
        <v>1</v>
      </c>
      <c r="G2" s="197"/>
      <c r="H2" s="197"/>
      <c r="I2" s="197"/>
      <c r="J2" s="197"/>
      <c r="K2" s="19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</row>
    <row r="3" spans="1:28" ht="12.75" customHeight="1">
      <c r="A3" s="1"/>
      <c r="B3" s="2"/>
      <c r="C3" s="2"/>
      <c r="D3" s="1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>
      <c r="A4" s="1"/>
      <c r="B4" s="11" t="s">
        <v>9</v>
      </c>
      <c r="C4" s="91" t="s">
        <v>67</v>
      </c>
      <c r="D4" s="35" t="s">
        <v>68</v>
      </c>
      <c r="E4" s="92">
        <v>5</v>
      </c>
      <c r="F4" s="40" t="s">
        <v>33</v>
      </c>
      <c r="G4" s="93" t="s">
        <v>69</v>
      </c>
      <c r="H4" s="9"/>
      <c r="I4" s="9"/>
      <c r="J4" s="1"/>
      <c r="K4" s="1"/>
      <c r="L4" s="9"/>
      <c r="M4" s="9"/>
      <c r="N4" s="9"/>
      <c r="O4" s="9"/>
      <c r="P4" s="9"/>
      <c r="Q4" s="9"/>
      <c r="R4" s="1"/>
      <c r="S4" s="9"/>
      <c r="T4" s="9"/>
      <c r="U4" s="9"/>
      <c r="V4" s="9"/>
      <c r="W4" s="9"/>
      <c r="X4" s="9"/>
      <c r="Y4" s="9"/>
      <c r="Z4" s="9"/>
      <c r="AA4" s="1"/>
      <c r="AB4" s="7"/>
    </row>
    <row r="5" spans="1:28" ht="12.75" customHeight="1">
      <c r="A5" s="1"/>
      <c r="B5" s="17"/>
      <c r="C5" s="2" t="s">
        <v>17</v>
      </c>
      <c r="D5" s="1" t="s">
        <v>18</v>
      </c>
      <c r="E5" s="94">
        <v>1</v>
      </c>
      <c r="F5" s="47"/>
      <c r="G5" s="27" t="s">
        <v>70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</row>
    <row r="6" spans="1:28" ht="12.75" customHeight="1">
      <c r="A6" s="1"/>
      <c r="B6" s="17"/>
      <c r="C6" s="2" t="s">
        <v>71</v>
      </c>
      <c r="D6" s="1" t="s">
        <v>72</v>
      </c>
      <c r="E6" s="95">
        <v>60</v>
      </c>
      <c r="F6" s="47" t="s">
        <v>73</v>
      </c>
      <c r="G6" s="27" t="s">
        <v>74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>
      <c r="A7" s="1"/>
      <c r="B7" s="17"/>
      <c r="C7" s="8" t="s">
        <v>75</v>
      </c>
      <c r="D7" s="1" t="s">
        <v>76</v>
      </c>
      <c r="E7" s="96">
        <v>1</v>
      </c>
      <c r="F7" s="47" t="s">
        <v>77</v>
      </c>
      <c r="G7" s="27" t="s">
        <v>78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>
      <c r="A8" s="1"/>
      <c r="B8" s="17"/>
      <c r="C8" s="2" t="s">
        <v>79</v>
      </c>
      <c r="D8" s="1" t="s">
        <v>80</v>
      </c>
      <c r="E8" s="97">
        <v>8</v>
      </c>
      <c r="F8" s="47" t="str">
        <f>IF(OR(E8&lt;0,E6/3*2&lt;E8),"Error!!!","км")</f>
        <v>км</v>
      </c>
      <c r="G8" s="27" t="s">
        <v>81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customHeight="1">
      <c r="A9" s="1"/>
      <c r="B9" s="30" t="s">
        <v>25</v>
      </c>
      <c r="C9" s="98" t="s">
        <v>82</v>
      </c>
      <c r="D9" s="35" t="s">
        <v>83</v>
      </c>
      <c r="E9" s="99">
        <f>E6/6</f>
        <v>10</v>
      </c>
      <c r="F9" s="40" t="s">
        <v>73</v>
      </c>
      <c r="G9" s="1" t="s">
        <v>84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>
      <c r="A10" s="1"/>
      <c r="B10" s="100"/>
      <c r="C10" s="2" t="s">
        <v>85</v>
      </c>
      <c r="D10" s="1" t="s">
        <v>86</v>
      </c>
      <c r="E10" s="101">
        <f>E6*2/3</f>
        <v>40</v>
      </c>
      <c r="F10" s="47" t="s">
        <v>73</v>
      </c>
      <c r="G10" s="1" t="s">
        <v>87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hidden="1" customHeight="1">
      <c r="A11" s="1"/>
      <c r="B11" s="102"/>
      <c r="C11" s="8" t="s">
        <v>75</v>
      </c>
      <c r="D11" s="1" t="s">
        <v>88</v>
      </c>
      <c r="E11" s="103">
        <f>E17*E7</f>
        <v>9.81</v>
      </c>
      <c r="F11" s="47" t="s">
        <v>33</v>
      </c>
      <c r="G11" s="9" t="s">
        <v>89</v>
      </c>
      <c r="H11" s="9"/>
      <c r="I11" s="9"/>
      <c r="J11" s="1"/>
      <c r="K11" s="1"/>
      <c r="L11" s="9"/>
      <c r="M11" s="9"/>
      <c r="N11" s="9"/>
      <c r="O11" s="9"/>
      <c r="P11" s="9"/>
      <c r="Q11" s="9"/>
      <c r="R11" s="1"/>
      <c r="S11" s="9"/>
      <c r="T11" s="9"/>
      <c r="U11" s="9"/>
      <c r="V11" s="9"/>
      <c r="W11" s="9"/>
      <c r="X11" s="9"/>
      <c r="Y11" s="9"/>
      <c r="Z11" s="9"/>
      <c r="AA11" s="1"/>
      <c r="AB11" s="2"/>
    </row>
    <row r="12" spans="1:28" ht="12.75" customHeight="1">
      <c r="A12" s="1"/>
      <c r="B12" s="102"/>
      <c r="C12" s="8" t="s">
        <v>90</v>
      </c>
      <c r="D12" s="1" t="s">
        <v>91</v>
      </c>
      <c r="E12" s="103">
        <f>IF(E8&lt;(E6/8),E17*E7+E4,E17*E7*(1-(E8-E6/8)^0.5/(13/24*E6)^0.5)+E4)</f>
        <v>13.593219253679866</v>
      </c>
      <c r="F12" s="47" t="s">
        <v>33</v>
      </c>
      <c r="G12" s="9" t="s">
        <v>92</v>
      </c>
      <c r="H12" s="9"/>
      <c r="I12" s="9"/>
      <c r="J12" s="104"/>
      <c r="K12" s="105"/>
      <c r="L12" s="105"/>
      <c r="M12" s="105"/>
      <c r="N12" s="104"/>
      <c r="O12" s="104"/>
      <c r="P12" s="104"/>
      <c r="Q12" s="9"/>
      <c r="R12" s="1"/>
      <c r="S12" s="9"/>
      <c r="T12" s="9"/>
      <c r="U12" s="9"/>
      <c r="V12" s="9"/>
      <c r="W12" s="9"/>
      <c r="X12" s="9"/>
      <c r="Y12" s="9"/>
      <c r="Z12" s="9"/>
      <c r="AA12" s="1"/>
      <c r="AB12" s="2"/>
    </row>
    <row r="13" spans="1:28" ht="12.75" customHeight="1">
      <c r="A13" s="1"/>
      <c r="B13" s="100"/>
      <c r="C13" s="8" t="s">
        <v>93</v>
      </c>
      <c r="D13" s="1" t="s">
        <v>94</v>
      </c>
      <c r="E13" s="103">
        <f>IF(E8&lt;(E6/8),E7,E7*(1-(E8-E6/8)^0.5/(13/24*E6)^0.5))</f>
        <v>0.87596526541079156</v>
      </c>
      <c r="F13" s="47" t="s">
        <v>77</v>
      </c>
      <c r="G13" s="9" t="s">
        <v>95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customHeight="1">
      <c r="A14" s="1"/>
      <c r="B14" s="102"/>
      <c r="C14" s="8" t="s">
        <v>96</v>
      </c>
      <c r="D14" s="1" t="s">
        <v>97</v>
      </c>
      <c r="E14" s="103">
        <f>E11+E4</f>
        <v>14.81</v>
      </c>
      <c r="F14" s="47" t="s">
        <v>33</v>
      </c>
      <c r="G14" s="9" t="s">
        <v>98</v>
      </c>
      <c r="H14" s="9"/>
      <c r="I14" s="9"/>
      <c r="J14" s="104"/>
      <c r="K14" s="106"/>
      <c r="L14" s="105"/>
      <c r="M14" s="107"/>
      <c r="N14" s="104"/>
      <c r="O14" s="104"/>
      <c r="P14" s="108"/>
      <c r="Q14" s="9"/>
      <c r="R14" s="1"/>
      <c r="S14" s="9"/>
      <c r="T14" s="9"/>
      <c r="U14" s="9"/>
      <c r="V14" s="9"/>
      <c r="W14" s="9"/>
      <c r="X14" s="9"/>
      <c r="Y14" s="9"/>
      <c r="Z14" s="9"/>
      <c r="AA14" s="1"/>
      <c r="AB14" s="2"/>
    </row>
    <row r="15" spans="1:28" ht="12.75">
      <c r="A15" s="1"/>
      <c r="B15" s="100"/>
      <c r="C15" s="8" t="s">
        <v>99</v>
      </c>
      <c r="D15" s="1" t="s">
        <v>100</v>
      </c>
      <c r="E15" s="103">
        <f>E17*E7*(1-(E6/24)^0.5/(13/24*E6)^0.5)+E4</f>
        <v>12.089195537515252</v>
      </c>
      <c r="F15" s="47" t="s">
        <v>33</v>
      </c>
      <c r="G15" s="9" t="s">
        <v>101</v>
      </c>
      <c r="H15" s="9"/>
      <c r="I15" s="9"/>
      <c r="J15" s="104"/>
      <c r="K15" s="106"/>
      <c r="L15" s="105"/>
      <c r="M15" s="105"/>
      <c r="N15" s="104"/>
      <c r="O15" s="104"/>
      <c r="P15" s="108"/>
      <c r="Q15" s="9"/>
      <c r="R15" s="1"/>
      <c r="S15" s="9"/>
      <c r="T15" s="9"/>
      <c r="U15" s="9"/>
      <c r="V15" s="9"/>
      <c r="W15" s="9"/>
      <c r="X15" s="9"/>
      <c r="Y15" s="9"/>
      <c r="Z15" s="9"/>
      <c r="AA15" s="1"/>
      <c r="AB15" s="2"/>
    </row>
    <row r="16" spans="1:28" ht="12.75">
      <c r="A16" s="1"/>
      <c r="B16" s="109"/>
      <c r="C16" s="110" t="s">
        <v>102</v>
      </c>
      <c r="D16" s="48" t="s">
        <v>103</v>
      </c>
      <c r="E16" s="111">
        <f>E7*(1-(E6/24)^0.5/(13/24*E6)^0.5)</f>
        <v>0.72264990188738543</v>
      </c>
      <c r="F16" s="53" t="s">
        <v>77</v>
      </c>
      <c r="G16" s="9" t="s">
        <v>104</v>
      </c>
      <c r="H16" s="9"/>
      <c r="I16" s="9"/>
      <c r="J16" s="104"/>
      <c r="K16" s="106"/>
      <c r="L16" s="105"/>
      <c r="M16" s="105"/>
      <c r="N16" s="104"/>
      <c r="O16" s="104"/>
      <c r="P16" s="108"/>
      <c r="Q16" s="9"/>
      <c r="R16" s="1"/>
      <c r="S16" s="9"/>
      <c r="T16" s="9"/>
      <c r="U16" s="9"/>
      <c r="V16" s="9"/>
      <c r="W16" s="9"/>
      <c r="X16" s="9"/>
      <c r="Y16" s="9"/>
      <c r="Z16" s="9"/>
      <c r="AA16" s="1"/>
      <c r="AB16" s="2"/>
    </row>
    <row r="17" spans="1:28" ht="12.75">
      <c r="A17" s="1"/>
      <c r="B17" s="112" t="s">
        <v>20</v>
      </c>
      <c r="C17" s="8" t="s">
        <v>77</v>
      </c>
      <c r="D17" s="1" t="s">
        <v>105</v>
      </c>
      <c r="E17" s="112">
        <v>9.81</v>
      </c>
      <c r="F17" s="47" t="s">
        <v>33</v>
      </c>
      <c r="G17" s="9" t="s">
        <v>106</v>
      </c>
      <c r="H17" s="9"/>
      <c r="I17" s="9"/>
      <c r="J17" s="104"/>
      <c r="K17" s="106"/>
      <c r="L17" s="105"/>
      <c r="M17" s="105"/>
      <c r="N17" s="104"/>
      <c r="O17" s="104"/>
      <c r="P17" s="108"/>
      <c r="Q17" s="9"/>
      <c r="R17" s="1"/>
      <c r="S17" s="9"/>
      <c r="T17" s="9"/>
      <c r="U17" s="9"/>
      <c r="V17" s="9"/>
      <c r="W17" s="9"/>
      <c r="X17" s="9"/>
      <c r="Y17" s="9"/>
      <c r="Z17" s="9"/>
      <c r="AA17" s="1"/>
      <c r="AB17" s="2"/>
    </row>
    <row r="18" spans="1:28" ht="12.75">
      <c r="A18" s="1"/>
      <c r="B18" s="112"/>
      <c r="C18" s="8" t="s">
        <v>107</v>
      </c>
      <c r="D18" s="1" t="s">
        <v>108</v>
      </c>
      <c r="E18" s="112">
        <v>104.5</v>
      </c>
      <c r="F18" s="47" t="s">
        <v>23</v>
      </c>
      <c r="G18" s="9" t="s">
        <v>109</v>
      </c>
      <c r="H18" s="9"/>
      <c r="I18" s="9"/>
      <c r="J18" s="104"/>
      <c r="K18" s="106"/>
      <c r="L18" s="105"/>
      <c r="M18" s="105"/>
      <c r="N18" s="104"/>
      <c r="O18" s="104"/>
      <c r="P18" s="108"/>
      <c r="Q18" s="9"/>
      <c r="R18" s="1"/>
      <c r="S18" s="9"/>
      <c r="T18" s="9"/>
      <c r="U18" s="9"/>
      <c r="V18" s="9"/>
      <c r="W18" s="9"/>
      <c r="X18" s="9"/>
      <c r="Y18" s="9"/>
      <c r="Z18" s="9"/>
      <c r="AA18" s="1"/>
      <c r="AB18" s="2"/>
    </row>
    <row r="19" spans="1:28" ht="12.75">
      <c r="A19" s="1"/>
      <c r="B19" s="113"/>
      <c r="C19" s="110" t="s">
        <v>21</v>
      </c>
      <c r="D19" s="48" t="s">
        <v>110</v>
      </c>
      <c r="E19" s="113">
        <v>0</v>
      </c>
      <c r="F19" s="53" t="s">
        <v>23</v>
      </c>
      <c r="G19" s="9" t="s">
        <v>111</v>
      </c>
      <c r="H19" s="9"/>
      <c r="I19" s="9"/>
      <c r="J19" s="104"/>
      <c r="K19" s="106"/>
      <c r="L19" s="105"/>
      <c r="M19" s="105"/>
      <c r="N19" s="104"/>
      <c r="O19" s="104"/>
      <c r="P19" s="108"/>
      <c r="Q19" s="9"/>
      <c r="R19" s="1"/>
      <c r="S19" s="9"/>
      <c r="T19" s="9"/>
      <c r="U19" s="9"/>
      <c r="V19" s="9"/>
      <c r="W19" s="9"/>
      <c r="X19" s="9"/>
      <c r="Y19" s="9"/>
      <c r="Z19" s="9"/>
      <c r="AA19" s="1"/>
      <c r="AB19" s="2"/>
    </row>
    <row r="20" spans="1:28" ht="12.75" customHeight="1">
      <c r="A20" s="1"/>
      <c r="B20" s="2"/>
      <c r="C20" s="8"/>
      <c r="D20" s="1"/>
      <c r="E20" s="2"/>
      <c r="F20" s="2"/>
      <c r="G20" s="9"/>
      <c r="H20" s="9"/>
      <c r="I20" s="9"/>
      <c r="J20" s="104"/>
      <c r="K20" s="106"/>
      <c r="L20" s="105"/>
      <c r="M20" s="105"/>
      <c r="N20" s="104"/>
      <c r="O20" s="104"/>
      <c r="P20" s="108"/>
      <c r="Q20" s="9"/>
      <c r="R20" s="1"/>
      <c r="S20" s="9"/>
      <c r="T20" s="9"/>
      <c r="U20" s="9"/>
      <c r="V20" s="9"/>
      <c r="W20" s="9"/>
      <c r="X20" s="9"/>
      <c r="Y20" s="9"/>
      <c r="Z20" s="9"/>
      <c r="AA20" s="1"/>
      <c r="AB20" s="2"/>
    </row>
    <row r="21" spans="1:28" ht="12.75" customHeight="1">
      <c r="A21" s="1"/>
      <c r="B21" s="2"/>
      <c r="C21" s="8"/>
      <c r="D21" s="1"/>
      <c r="E21" s="198" t="s">
        <v>112</v>
      </c>
      <c r="F21" s="197"/>
      <c r="G21" s="9"/>
      <c r="H21" s="114"/>
      <c r="I21" s="9"/>
      <c r="J21" s="104"/>
      <c r="K21" s="106"/>
      <c r="L21" s="105"/>
      <c r="M21" s="105"/>
      <c r="N21" s="104"/>
      <c r="O21" s="104"/>
      <c r="P21" s="108"/>
      <c r="Q21" s="9"/>
      <c r="R21" s="1"/>
      <c r="S21" s="9"/>
      <c r="T21" s="9"/>
      <c r="U21" s="9"/>
      <c r="V21" s="9"/>
      <c r="W21" s="9"/>
      <c r="X21" s="9"/>
      <c r="Y21" s="9"/>
      <c r="Z21" s="9"/>
      <c r="AA21" s="1"/>
      <c r="AB21" s="2"/>
    </row>
    <row r="22" spans="1:28" ht="15.75" customHeight="1">
      <c r="A22" s="1"/>
      <c r="B22" s="115" t="s">
        <v>113</v>
      </c>
      <c r="C22" s="8"/>
      <c r="D22" s="116"/>
      <c r="E22" s="2" t="s">
        <v>114</v>
      </c>
      <c r="F22" s="2" t="s">
        <v>115</v>
      </c>
      <c r="G22" s="1"/>
      <c r="H22" s="9"/>
      <c r="I22" s="9"/>
      <c r="J22" s="104"/>
      <c r="K22" s="106"/>
      <c r="L22" s="105"/>
      <c r="M22" s="105"/>
      <c r="N22" s="104"/>
      <c r="O22" s="104"/>
      <c r="P22" s="108"/>
      <c r="Q22" s="9"/>
      <c r="R22" s="1"/>
      <c r="S22" s="9"/>
      <c r="T22" s="9"/>
      <c r="U22" s="9"/>
      <c r="V22" s="9"/>
      <c r="W22" s="9"/>
      <c r="X22" s="9"/>
      <c r="Y22" s="9"/>
      <c r="Z22" s="9"/>
      <c r="AA22" s="1"/>
      <c r="AB22" s="2"/>
    </row>
    <row r="23" spans="1:28" ht="12.75" customHeight="1">
      <c r="A23" s="1"/>
      <c r="B23" s="33" t="s">
        <v>30</v>
      </c>
      <c r="C23" s="12"/>
      <c r="D23" s="13" t="s">
        <v>116</v>
      </c>
      <c r="E23" s="117">
        <f>G40</f>
        <v>1765.5861758797778</v>
      </c>
      <c r="F23" s="118">
        <f>G48</f>
        <v>0</v>
      </c>
      <c r="G23" s="119" t="s">
        <v>117</v>
      </c>
      <c r="H23" s="9"/>
      <c r="I23" s="9"/>
      <c r="J23" s="1"/>
      <c r="K23" s="1"/>
      <c r="L23" s="9"/>
      <c r="M23" s="9"/>
      <c r="N23" s="9"/>
      <c r="O23" s="9"/>
      <c r="P23" s="9"/>
      <c r="Q23" s="9"/>
      <c r="R23" s="1"/>
      <c r="S23" s="9"/>
      <c r="T23" s="9"/>
      <c r="U23" s="9"/>
      <c r="V23" s="9"/>
      <c r="W23" s="9"/>
      <c r="X23" s="9"/>
      <c r="Y23" s="9"/>
      <c r="Z23" s="9"/>
      <c r="AA23" s="1"/>
      <c r="AB23" s="2"/>
    </row>
    <row r="24" spans="1:28" ht="12.75" customHeight="1">
      <c r="A24" s="1"/>
      <c r="B24" s="58"/>
      <c r="C24" s="120"/>
      <c r="D24" s="24" t="s">
        <v>118</v>
      </c>
      <c r="E24" s="121">
        <f>H40</f>
        <v>1620.5266711681295</v>
      </c>
      <c r="F24" s="122">
        <f>H48</f>
        <v>0</v>
      </c>
      <c r="G24" s="119" t="s">
        <v>117</v>
      </c>
      <c r="H24" s="9"/>
      <c r="I24" s="9"/>
      <c r="J24" s="1"/>
      <c r="K24" s="1"/>
      <c r="L24" s="9"/>
      <c r="M24" s="9"/>
      <c r="N24" s="9"/>
      <c r="O24" s="9"/>
      <c r="P24" s="9"/>
      <c r="Q24" s="9"/>
      <c r="R24" s="1"/>
      <c r="S24" s="9"/>
      <c r="T24" s="9"/>
      <c r="U24" s="9"/>
      <c r="V24" s="9"/>
      <c r="W24" s="9"/>
      <c r="X24" s="9"/>
      <c r="Y24" s="9"/>
      <c r="Z24" s="9"/>
      <c r="AA24" s="1"/>
      <c r="AB24" s="2"/>
    </row>
    <row r="25" spans="1:28" ht="15.75" customHeight="1">
      <c r="A25" s="1"/>
      <c r="B25" s="115" t="s">
        <v>119</v>
      </c>
      <c r="C25" s="8"/>
      <c r="D25" s="1"/>
      <c r="E25" s="2"/>
      <c r="F25" s="2"/>
      <c r="G25" s="9"/>
      <c r="H25" s="9"/>
      <c r="I25" s="9"/>
      <c r="J25" s="1"/>
      <c r="K25" s="1"/>
      <c r="L25" s="9"/>
      <c r="M25" s="9"/>
      <c r="N25" s="9"/>
      <c r="O25" s="9"/>
      <c r="P25" s="9"/>
      <c r="Q25" s="9"/>
      <c r="R25" s="1"/>
      <c r="S25" s="9"/>
      <c r="T25" s="9"/>
      <c r="U25" s="9"/>
      <c r="V25" s="9"/>
      <c r="W25" s="9"/>
      <c r="X25" s="9"/>
      <c r="Y25" s="9"/>
      <c r="Z25" s="9"/>
      <c r="AA25" s="1"/>
      <c r="AB25" s="2"/>
    </row>
    <row r="26" spans="1:28" ht="12.75" customHeight="1">
      <c r="A26" s="1"/>
      <c r="B26" s="123"/>
      <c r="C26" s="124"/>
      <c r="D26" s="125" t="s">
        <v>120</v>
      </c>
      <c r="E26" s="126">
        <f>I40</f>
        <v>1985.2437596466266</v>
      </c>
      <c r="F26" s="126">
        <f>I48</f>
        <v>0</v>
      </c>
      <c r="G26" s="119" t="s">
        <v>117</v>
      </c>
      <c r="H26" s="9"/>
      <c r="I26" s="9"/>
      <c r="J26" s="1"/>
      <c r="K26" s="1"/>
      <c r="L26" s="9"/>
      <c r="M26" s="9"/>
      <c r="N26" s="9"/>
      <c r="O26" s="9"/>
      <c r="P26" s="9"/>
      <c r="Q26" s="9"/>
      <c r="R26" s="1"/>
      <c r="S26" s="9"/>
      <c r="T26" s="9"/>
      <c r="U26" s="9"/>
      <c r="V26" s="9"/>
      <c r="W26" s="9"/>
      <c r="X26" s="9"/>
      <c r="Y26" s="9"/>
      <c r="Z26" s="9"/>
      <c r="AA26" s="1"/>
      <c r="AB26" s="2"/>
    </row>
    <row r="27" spans="1:28" ht="15.75" customHeight="1">
      <c r="A27" s="1"/>
      <c r="B27" s="115" t="s">
        <v>121</v>
      </c>
      <c r="C27" s="8"/>
      <c r="D27" s="1"/>
      <c r="E27" s="2"/>
      <c r="F27" s="2"/>
      <c r="G27" s="9"/>
      <c r="H27" s="9"/>
      <c r="I27" s="9"/>
      <c r="J27" s="1"/>
      <c r="K27" s="1"/>
      <c r="L27" s="9"/>
      <c r="M27" s="9"/>
      <c r="N27" s="9"/>
      <c r="O27" s="9"/>
      <c r="P27" s="9"/>
      <c r="Q27" s="9"/>
      <c r="R27" s="1"/>
      <c r="S27" s="9"/>
      <c r="T27" s="9"/>
      <c r="U27" s="9"/>
      <c r="V27" s="9"/>
      <c r="W27" s="9"/>
      <c r="X27" s="9"/>
      <c r="Y27" s="9"/>
      <c r="Z27" s="9"/>
      <c r="AA27" s="1"/>
      <c r="AB27" s="2"/>
    </row>
    <row r="28" spans="1:28" ht="12.75" customHeight="1">
      <c r="A28" s="1"/>
      <c r="B28" s="33"/>
      <c r="C28" s="91" t="s">
        <v>39</v>
      </c>
      <c r="D28" s="35" t="s">
        <v>122</v>
      </c>
      <c r="E28" s="127">
        <f>E18*E29+((-E4)*(E29^2))/2</f>
        <v>1092.0249999999999</v>
      </c>
      <c r="F28" s="40" t="s">
        <v>41</v>
      </c>
      <c r="G28" s="1" t="s">
        <v>123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7"/>
    </row>
    <row r="29" spans="1:28" ht="12.75" customHeight="1">
      <c r="A29" s="1"/>
      <c r="B29" s="58"/>
      <c r="C29" s="110" t="s">
        <v>35</v>
      </c>
      <c r="D29" s="48" t="s">
        <v>124</v>
      </c>
      <c r="E29" s="128">
        <f>(E19-E18)/(-E4)</f>
        <v>20.9</v>
      </c>
      <c r="F29" s="53" t="s">
        <v>37</v>
      </c>
      <c r="G29" s="9" t="s">
        <v>125</v>
      </c>
      <c r="H29" s="9"/>
      <c r="I29" s="9"/>
      <c r="J29" s="1"/>
      <c r="K29" s="1"/>
      <c r="L29" s="9"/>
      <c r="M29" s="9"/>
      <c r="N29" s="9"/>
      <c r="O29" s="9"/>
      <c r="P29" s="9"/>
      <c r="Q29" s="9"/>
      <c r="R29" s="1"/>
      <c r="S29" s="9"/>
      <c r="T29" s="9"/>
      <c r="U29" s="9"/>
      <c r="V29" s="9"/>
      <c r="W29" s="9"/>
      <c r="X29" s="9"/>
      <c r="Y29" s="9"/>
      <c r="Z29" s="9"/>
      <c r="AA29" s="1"/>
      <c r="AB29" s="2"/>
    </row>
    <row r="30" spans="1:28" ht="12.75" customHeight="1">
      <c r="A30" s="1"/>
      <c r="B30" s="2"/>
      <c r="C30" s="2"/>
      <c r="D30" s="1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>
      <c r="A31" s="1"/>
      <c r="B31" s="2"/>
      <c r="C31" s="116" t="s">
        <v>126</v>
      </c>
      <c r="D31" s="1" t="s">
        <v>127</v>
      </c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>
      <c r="A32" s="1"/>
      <c r="B32" s="2"/>
      <c r="C32" s="2"/>
      <c r="D32" s="1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2"/>
    </row>
    <row r="33" spans="1:28" ht="51" customHeight="1">
      <c r="A33" s="1"/>
      <c r="B33" s="2"/>
      <c r="C33" s="2"/>
      <c r="D33" s="129" t="s">
        <v>128</v>
      </c>
      <c r="E33" s="130" t="s">
        <v>129</v>
      </c>
      <c r="F33" s="1"/>
      <c r="G33" s="131" t="s">
        <v>130</v>
      </c>
      <c r="H33" s="132" t="s">
        <v>131</v>
      </c>
      <c r="I33" s="133" t="s">
        <v>132</v>
      </c>
      <c r="J33" s="134" t="s">
        <v>133</v>
      </c>
      <c r="K33" s="135" t="s">
        <v>134</v>
      </c>
      <c r="L33" s="136" t="s">
        <v>135</v>
      </c>
      <c r="M33" s="136" t="s">
        <v>136</v>
      </c>
      <c r="N33" s="137" t="s">
        <v>137</v>
      </c>
      <c r="O33" s="138" t="s">
        <v>138</v>
      </c>
      <c r="P33" s="139" t="s">
        <v>139</v>
      </c>
      <c r="Q33" s="140" t="s">
        <v>140</v>
      </c>
      <c r="R33" s="137" t="s">
        <v>141</v>
      </c>
      <c r="S33" s="2"/>
      <c r="T33" s="1"/>
      <c r="U33" s="1"/>
      <c r="V33" s="1"/>
      <c r="W33" s="1"/>
      <c r="X33" s="1"/>
      <c r="Y33" s="2"/>
      <c r="Z33" s="2"/>
      <c r="AA33" s="1"/>
      <c r="AB33" s="2"/>
    </row>
    <row r="34" spans="1:28" ht="12.75" customHeight="1">
      <c r="A34" s="1"/>
      <c r="B34" s="7" t="s">
        <v>2</v>
      </c>
      <c r="C34" s="2"/>
      <c r="D34" s="61" t="s">
        <v>53</v>
      </c>
      <c r="E34" s="141"/>
      <c r="F34" s="2"/>
      <c r="G34" s="142">
        <f t="shared" ref="G34:G39" si="0">J34*K34/O34*E34*R34</f>
        <v>0</v>
      </c>
      <c r="H34" s="143">
        <f t="shared" ref="H34:H39" si="1">J34*L34/P34*E34*R34</f>
        <v>0</v>
      </c>
      <c r="I34" s="143">
        <f t="shared" ref="I34:I39" si="2">J34*M34/Q34*E34*R34</f>
        <v>0</v>
      </c>
      <c r="J34" s="74">
        <v>3600</v>
      </c>
      <c r="K34" s="144">
        <f>IF(E9*1.5&gt;E8,E8/E9/1.5*(N34-L34)+L34,N34)</f>
        <v>0.67333333333333334</v>
      </c>
      <c r="L34" s="145">
        <v>0.3</v>
      </c>
      <c r="M34" s="145">
        <v>0.77</v>
      </c>
      <c r="N34" s="145">
        <v>1</v>
      </c>
      <c r="O34" s="146">
        <f>E12</f>
        <v>13.593219253679866</v>
      </c>
      <c r="P34" s="147">
        <f>E14</f>
        <v>14.81</v>
      </c>
      <c r="Q34" s="148">
        <f>E15</f>
        <v>12.089195537515252</v>
      </c>
      <c r="R34" s="149">
        <f>E5</f>
        <v>1</v>
      </c>
      <c r="S34" s="2"/>
      <c r="T34" s="1"/>
      <c r="U34" s="1"/>
      <c r="V34" s="1"/>
      <c r="W34" s="1"/>
      <c r="X34" s="1"/>
      <c r="Y34" s="2"/>
      <c r="Z34" s="2"/>
      <c r="AA34" s="9"/>
      <c r="AB34" s="2"/>
    </row>
    <row r="35" spans="1:28" ht="12.75" customHeight="1">
      <c r="A35" s="1"/>
      <c r="B35" s="2"/>
      <c r="C35" s="2"/>
      <c r="D35" s="65" t="s">
        <v>54</v>
      </c>
      <c r="E35" s="150"/>
      <c r="F35" s="2"/>
      <c r="G35" s="151">
        <f t="shared" si="0"/>
        <v>0</v>
      </c>
      <c r="H35" s="152">
        <f t="shared" si="1"/>
        <v>0</v>
      </c>
      <c r="I35" s="152">
        <f t="shared" si="2"/>
        <v>0</v>
      </c>
      <c r="J35" s="32">
        <v>288</v>
      </c>
      <c r="K35" s="144">
        <f>K34</f>
        <v>0.67333333333333334</v>
      </c>
      <c r="L35" s="145">
        <v>0.3</v>
      </c>
      <c r="M35" s="145">
        <v>0.77</v>
      </c>
      <c r="N35" s="145">
        <v>1</v>
      </c>
      <c r="O35" s="153">
        <f>E12</f>
        <v>13.593219253679866</v>
      </c>
      <c r="P35" s="154">
        <f>E14</f>
        <v>14.81</v>
      </c>
      <c r="Q35" s="155">
        <f>E15</f>
        <v>12.089195537515252</v>
      </c>
      <c r="R35" s="156">
        <f>E5</f>
        <v>1</v>
      </c>
      <c r="S35" s="2"/>
      <c r="T35" s="1"/>
      <c r="U35" s="1"/>
      <c r="V35" s="1"/>
      <c r="W35" s="1"/>
      <c r="X35" s="1"/>
      <c r="Y35" s="2"/>
      <c r="Z35" s="2"/>
      <c r="AA35" s="9"/>
      <c r="AB35" s="2"/>
    </row>
    <row r="36" spans="1:28" ht="12.75" customHeight="1">
      <c r="A36" s="1"/>
      <c r="B36" s="2"/>
      <c r="C36" s="2"/>
      <c r="D36" s="65" t="s">
        <v>55</v>
      </c>
      <c r="E36" s="150">
        <v>4</v>
      </c>
      <c r="F36" s="2"/>
      <c r="G36" s="151">
        <f t="shared" si="0"/>
        <v>1765.5861758797778</v>
      </c>
      <c r="H36" s="152">
        <f t="shared" si="1"/>
        <v>1620.5266711681295</v>
      </c>
      <c r="I36" s="152">
        <f t="shared" si="2"/>
        <v>1985.2437596466266</v>
      </c>
      <c r="J36" s="32">
        <v>6000</v>
      </c>
      <c r="K36" s="144">
        <v>1</v>
      </c>
      <c r="L36" s="145">
        <v>1</v>
      </c>
      <c r="M36" s="145">
        <v>1</v>
      </c>
      <c r="N36" s="145">
        <v>1</v>
      </c>
      <c r="O36" s="153">
        <f>E12</f>
        <v>13.593219253679866</v>
      </c>
      <c r="P36" s="154">
        <f>E14</f>
        <v>14.81</v>
      </c>
      <c r="Q36" s="155">
        <f>E15</f>
        <v>12.089195537515252</v>
      </c>
      <c r="R36" s="156">
        <f>E5</f>
        <v>1</v>
      </c>
      <c r="S36" s="2"/>
      <c r="T36" s="1"/>
      <c r="U36" s="1"/>
      <c r="V36" s="1"/>
      <c r="W36" s="1"/>
      <c r="X36" s="1"/>
      <c r="Y36" s="2"/>
      <c r="Z36" s="2"/>
      <c r="AA36" s="9"/>
      <c r="AB36" s="2"/>
    </row>
    <row r="37" spans="1:28" ht="12.75" customHeight="1">
      <c r="A37" s="1"/>
      <c r="B37" s="2"/>
      <c r="C37" s="2"/>
      <c r="D37" s="65" t="s">
        <v>56</v>
      </c>
      <c r="E37" s="150"/>
      <c r="F37" s="2"/>
      <c r="G37" s="151">
        <f t="shared" si="0"/>
        <v>0</v>
      </c>
      <c r="H37" s="152">
        <f t="shared" si="1"/>
        <v>0</v>
      </c>
      <c r="I37" s="152">
        <f t="shared" si="2"/>
        <v>0</v>
      </c>
      <c r="J37" s="32">
        <v>900</v>
      </c>
      <c r="K37" s="144">
        <v>1</v>
      </c>
      <c r="L37" s="145">
        <v>1</v>
      </c>
      <c r="M37" s="145">
        <v>1</v>
      </c>
      <c r="N37" s="145">
        <v>1</v>
      </c>
      <c r="O37" s="153">
        <f>E12</f>
        <v>13.593219253679866</v>
      </c>
      <c r="P37" s="154">
        <f>E14</f>
        <v>14.81</v>
      </c>
      <c r="Q37" s="155">
        <f>E15</f>
        <v>12.089195537515252</v>
      </c>
      <c r="R37" s="156">
        <f>E5</f>
        <v>1</v>
      </c>
      <c r="S37" s="2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>
      <c r="A38" s="1"/>
      <c r="B38" s="2"/>
      <c r="C38" s="2"/>
      <c r="D38" s="65" t="s">
        <v>142</v>
      </c>
      <c r="E38" s="150"/>
      <c r="F38" s="2"/>
      <c r="G38" s="151">
        <f t="shared" si="0"/>
        <v>0</v>
      </c>
      <c r="H38" s="152">
        <f t="shared" si="1"/>
        <v>0</v>
      </c>
      <c r="I38" s="152">
        <f t="shared" si="2"/>
        <v>0</v>
      </c>
      <c r="J38" s="32">
        <v>5400</v>
      </c>
      <c r="K38" s="144">
        <f>IF(E9&gt;E8,(E9-E8)/E9*L38,N38)</f>
        <v>0.18000000000000002</v>
      </c>
      <c r="L38" s="145">
        <v>0.9</v>
      </c>
      <c r="M38" s="145">
        <v>0</v>
      </c>
      <c r="N38" s="145">
        <v>0</v>
      </c>
      <c r="O38" s="153">
        <f>E12</f>
        <v>13.593219253679866</v>
      </c>
      <c r="P38" s="154">
        <f>E14</f>
        <v>14.81</v>
      </c>
      <c r="Q38" s="155">
        <f>E15</f>
        <v>12.089195537515252</v>
      </c>
      <c r="R38" s="156">
        <f>E5</f>
        <v>1</v>
      </c>
      <c r="S38" s="2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>
      <c r="A39" s="1"/>
      <c r="B39" s="2"/>
      <c r="C39" s="2"/>
      <c r="D39" s="69" t="s">
        <v>143</v>
      </c>
      <c r="E39" s="157"/>
      <c r="F39" s="2"/>
      <c r="G39" s="158">
        <f t="shared" si="0"/>
        <v>0</v>
      </c>
      <c r="H39" s="159">
        <f t="shared" si="1"/>
        <v>0</v>
      </c>
      <c r="I39" s="159">
        <f t="shared" si="2"/>
        <v>0</v>
      </c>
      <c r="J39" s="77">
        <v>420</v>
      </c>
      <c r="K39" s="160">
        <f>K38</f>
        <v>0.18000000000000002</v>
      </c>
      <c r="L39" s="161">
        <v>0.9</v>
      </c>
      <c r="M39" s="161">
        <v>0</v>
      </c>
      <c r="N39" s="161">
        <v>0</v>
      </c>
      <c r="O39" s="162">
        <f>E12</f>
        <v>13.593219253679866</v>
      </c>
      <c r="P39" s="163">
        <f>E14</f>
        <v>14.81</v>
      </c>
      <c r="Q39" s="164">
        <f>E15</f>
        <v>12.089195537515252</v>
      </c>
      <c r="R39" s="165">
        <f>E5</f>
        <v>1</v>
      </c>
      <c r="S39" s="2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>
      <c r="A40" s="1"/>
      <c r="B40" s="2"/>
      <c r="C40" s="166"/>
      <c r="D40" s="166"/>
      <c r="E40" s="166"/>
      <c r="F40" s="83" t="s">
        <v>144</v>
      </c>
      <c r="G40" s="167">
        <f t="shared" ref="G40:I40" si="3">SUM(G34:G39)</f>
        <v>1765.5861758797778</v>
      </c>
      <c r="H40" s="168">
        <f t="shared" si="3"/>
        <v>1620.5266711681295</v>
      </c>
      <c r="I40" s="167">
        <f t="shared" si="3"/>
        <v>1985.2437596466266</v>
      </c>
      <c r="J40" s="1"/>
      <c r="K40" s="2"/>
      <c r="L40" s="2"/>
      <c r="M40" s="2"/>
      <c r="N40" s="2"/>
      <c r="O40" s="82"/>
      <c r="P40" s="82"/>
      <c r="Q40" s="82"/>
      <c r="R40" s="1"/>
      <c r="S40" s="2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>
      <c r="A41" s="1"/>
      <c r="B41" s="2"/>
      <c r="C41" s="2"/>
      <c r="D41" s="9"/>
      <c r="E41" s="2"/>
      <c r="F41" s="2"/>
      <c r="G41" s="2"/>
      <c r="H41" s="2"/>
      <c r="I41" s="2"/>
      <c r="J41" s="1"/>
      <c r="K41" s="2"/>
      <c r="L41" s="2"/>
      <c r="M41" s="2"/>
      <c r="N41" s="2"/>
      <c r="O41" s="82"/>
      <c r="P41" s="82"/>
      <c r="Q41" s="82"/>
      <c r="R41" s="1"/>
      <c r="S41" s="2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>
      <c r="A42" s="1"/>
      <c r="B42" s="7" t="s">
        <v>61</v>
      </c>
      <c r="C42" s="2"/>
      <c r="D42" s="61" t="s">
        <v>53</v>
      </c>
      <c r="E42" s="141"/>
      <c r="F42" s="2"/>
      <c r="G42" s="142">
        <f t="shared" ref="G42:G47" si="4">J42*K42/O42*E42*R42</f>
        <v>0</v>
      </c>
      <c r="H42" s="143">
        <f t="shared" ref="H42:H47" si="5">J42*L42/P42*E42*R42</f>
        <v>0</v>
      </c>
      <c r="I42" s="143">
        <f t="shared" ref="I42:I47" si="6">J42*M42/Q42*E42*R42</f>
        <v>0</v>
      </c>
      <c r="J42" s="74">
        <v>144</v>
      </c>
      <c r="K42" s="169">
        <f>K34</f>
        <v>0.67333333333333334</v>
      </c>
      <c r="L42" s="170">
        <v>0.3</v>
      </c>
      <c r="M42" s="171">
        <v>0.77</v>
      </c>
      <c r="N42" s="171">
        <v>1</v>
      </c>
      <c r="O42" s="146">
        <f>E12</f>
        <v>13.593219253679866</v>
      </c>
      <c r="P42" s="147">
        <f>E14</f>
        <v>14.81</v>
      </c>
      <c r="Q42" s="148">
        <f>E15</f>
        <v>12.089195537515252</v>
      </c>
      <c r="R42" s="149">
        <f>E5</f>
        <v>1</v>
      </c>
      <c r="S42" s="2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>
      <c r="A43" s="1"/>
      <c r="B43" s="2"/>
      <c r="C43" s="2"/>
      <c r="D43" s="65" t="s">
        <v>54</v>
      </c>
      <c r="E43" s="150"/>
      <c r="F43" s="2"/>
      <c r="G43" s="151">
        <f t="shared" si="4"/>
        <v>0</v>
      </c>
      <c r="H43" s="152">
        <f t="shared" si="5"/>
        <v>0</v>
      </c>
      <c r="I43" s="152">
        <f t="shared" si="6"/>
        <v>0</v>
      </c>
      <c r="J43" s="32">
        <v>12</v>
      </c>
      <c r="K43" s="172">
        <f>K34</f>
        <v>0.67333333333333334</v>
      </c>
      <c r="L43" s="173">
        <v>0.3</v>
      </c>
      <c r="M43" s="145">
        <v>0.77</v>
      </c>
      <c r="N43" s="145">
        <v>1</v>
      </c>
      <c r="O43" s="153">
        <f>E12</f>
        <v>13.593219253679866</v>
      </c>
      <c r="P43" s="154">
        <f>E14</f>
        <v>14.81</v>
      </c>
      <c r="Q43" s="155">
        <f>E15</f>
        <v>12.089195537515252</v>
      </c>
      <c r="R43" s="156">
        <f>E5</f>
        <v>1</v>
      </c>
      <c r="S43" s="2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>
      <c r="A44" s="1"/>
      <c r="B44" s="2"/>
      <c r="C44" s="2"/>
      <c r="D44" s="65" t="s">
        <v>55</v>
      </c>
      <c r="E44" s="150"/>
      <c r="F44" s="2"/>
      <c r="G44" s="151">
        <f t="shared" si="4"/>
        <v>0</v>
      </c>
      <c r="H44" s="152">
        <f t="shared" si="5"/>
        <v>0</v>
      </c>
      <c r="I44" s="152">
        <f t="shared" si="6"/>
        <v>0</v>
      </c>
      <c r="J44" s="32">
        <v>400</v>
      </c>
      <c r="K44" s="172">
        <v>1</v>
      </c>
      <c r="L44" s="173">
        <v>1</v>
      </c>
      <c r="M44" s="145">
        <v>1</v>
      </c>
      <c r="N44" s="145">
        <v>1</v>
      </c>
      <c r="O44" s="153">
        <f>E12</f>
        <v>13.593219253679866</v>
      </c>
      <c r="P44" s="154">
        <f>E14</f>
        <v>14.81</v>
      </c>
      <c r="Q44" s="155">
        <f>E15</f>
        <v>12.089195537515252</v>
      </c>
      <c r="R44" s="156">
        <f>E5</f>
        <v>1</v>
      </c>
      <c r="S44" s="2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>
      <c r="A45" s="1"/>
      <c r="B45" s="2"/>
      <c r="C45" s="2"/>
      <c r="D45" s="65" t="s">
        <v>56</v>
      </c>
      <c r="E45" s="150"/>
      <c r="F45" s="2"/>
      <c r="G45" s="151">
        <f t="shared" si="4"/>
        <v>0</v>
      </c>
      <c r="H45" s="152">
        <f t="shared" si="5"/>
        <v>0</v>
      </c>
      <c r="I45" s="152">
        <f t="shared" si="6"/>
        <v>0</v>
      </c>
      <c r="J45" s="32">
        <v>82</v>
      </c>
      <c r="K45" s="172">
        <v>1</v>
      </c>
      <c r="L45" s="173">
        <v>1</v>
      </c>
      <c r="M45" s="145">
        <v>1</v>
      </c>
      <c r="N45" s="145">
        <v>1</v>
      </c>
      <c r="O45" s="153">
        <f>E12</f>
        <v>13.593219253679866</v>
      </c>
      <c r="P45" s="154">
        <f>E14</f>
        <v>14.81</v>
      </c>
      <c r="Q45" s="155">
        <f>E15</f>
        <v>12.089195537515252</v>
      </c>
      <c r="R45" s="156">
        <f>E5</f>
        <v>1</v>
      </c>
      <c r="S45" s="2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>
      <c r="A46" s="1"/>
      <c r="B46" s="2"/>
      <c r="C46" s="2"/>
      <c r="D46" s="65" t="s">
        <v>142</v>
      </c>
      <c r="E46" s="150"/>
      <c r="F46" s="2"/>
      <c r="G46" s="151">
        <f t="shared" si="4"/>
        <v>0</v>
      </c>
      <c r="H46" s="152">
        <f t="shared" si="5"/>
        <v>0</v>
      </c>
      <c r="I46" s="152">
        <f t="shared" si="6"/>
        <v>0</v>
      </c>
      <c r="J46" s="32">
        <v>408</v>
      </c>
      <c r="K46" s="172">
        <f>K38</f>
        <v>0.18000000000000002</v>
      </c>
      <c r="L46" s="173">
        <v>0.9</v>
      </c>
      <c r="M46" s="145">
        <v>0</v>
      </c>
      <c r="N46" s="145">
        <v>0</v>
      </c>
      <c r="O46" s="153">
        <f>E12</f>
        <v>13.593219253679866</v>
      </c>
      <c r="P46" s="154">
        <f>E14</f>
        <v>14.81</v>
      </c>
      <c r="Q46" s="155">
        <f>E15</f>
        <v>12.089195537515252</v>
      </c>
      <c r="R46" s="156">
        <f>E5</f>
        <v>1</v>
      </c>
      <c r="S46" s="2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>
      <c r="A47" s="1"/>
      <c r="B47" s="2"/>
      <c r="C47" s="2"/>
      <c r="D47" s="69" t="s">
        <v>143</v>
      </c>
      <c r="E47" s="157"/>
      <c r="F47" s="2"/>
      <c r="G47" s="158">
        <f t="shared" si="4"/>
        <v>0</v>
      </c>
      <c r="H47" s="159">
        <f t="shared" si="5"/>
        <v>0</v>
      </c>
      <c r="I47" s="159">
        <f t="shared" si="6"/>
        <v>0</v>
      </c>
      <c r="J47" s="77">
        <v>80</v>
      </c>
      <c r="K47" s="174">
        <f>K38</f>
        <v>0.18000000000000002</v>
      </c>
      <c r="L47" s="175">
        <v>0.9</v>
      </c>
      <c r="M47" s="161">
        <v>0</v>
      </c>
      <c r="N47" s="161">
        <v>0</v>
      </c>
      <c r="O47" s="162">
        <f>E12</f>
        <v>13.593219253679866</v>
      </c>
      <c r="P47" s="163">
        <f>E14</f>
        <v>14.81</v>
      </c>
      <c r="Q47" s="164">
        <f>E15</f>
        <v>12.089195537515252</v>
      </c>
      <c r="R47" s="165">
        <f>E5</f>
        <v>1</v>
      </c>
      <c r="S47" s="2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>
      <c r="A48" s="1"/>
      <c r="B48" s="2"/>
      <c r="C48" s="166"/>
      <c r="D48" s="166"/>
      <c r="E48" s="166"/>
      <c r="F48" s="83" t="s">
        <v>144</v>
      </c>
      <c r="G48" s="176">
        <f t="shared" ref="G48:I48" si="7">SUM(G42:G47)</f>
        <v>0</v>
      </c>
      <c r="H48" s="168">
        <f t="shared" si="7"/>
        <v>0</v>
      </c>
      <c r="I48" s="167">
        <f t="shared" si="7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>
      <c r="A49" s="1"/>
      <c r="B49" s="2"/>
      <c r="C49" s="2"/>
      <c r="D49" s="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2">
    <mergeCell ref="F2:K2"/>
    <mergeCell ref="E21:F21"/>
  </mergeCells>
  <conditionalFormatting sqref="E8">
    <cfRule type="cellIs" dxfId="5" priority="1" operator="greaterThan">
      <formula>$E$6/3*2</formula>
    </cfRule>
  </conditionalFormatting>
  <conditionalFormatting sqref="E8">
    <cfRule type="cellIs" dxfId="4" priority="2" operator="lessThan">
      <formula>0</formula>
    </cfRule>
  </conditionalFormatting>
  <conditionalFormatting sqref="F8">
    <cfRule type="cellIs" dxfId="3" priority="3" operator="equal">
      <formula>"Error!!!"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workbookViewId="0">
      <selection activeCell="H22" sqref="H22"/>
    </sheetView>
  </sheetViews>
  <sheetFormatPr defaultColWidth="17.28515625" defaultRowHeight="15" customHeight="1"/>
  <cols>
    <col min="1" max="1" width="9.140625" customWidth="1"/>
    <col min="2" max="2" width="24.42578125" customWidth="1"/>
    <col min="3" max="3" width="7.140625" customWidth="1"/>
    <col min="4" max="4" width="39.85546875" customWidth="1"/>
    <col min="5" max="5" width="10.42578125" customWidth="1"/>
    <col min="6" max="6" width="9.85546875" customWidth="1"/>
    <col min="7" max="7" width="19.28515625" customWidth="1"/>
    <col min="8" max="8" width="17" customWidth="1"/>
    <col min="9" max="9" width="19.5703125" customWidth="1"/>
    <col min="10" max="10" width="10.42578125" customWidth="1"/>
    <col min="11" max="11" width="18.140625" customWidth="1"/>
    <col min="12" max="12" width="15.28515625" customWidth="1"/>
    <col min="13" max="13" width="18.85546875" customWidth="1"/>
    <col min="14" max="14" width="14.28515625" customWidth="1"/>
    <col min="15" max="15" width="22.85546875" customWidth="1"/>
    <col min="16" max="16" width="21.140625" customWidth="1"/>
    <col min="17" max="17" width="21.42578125" customWidth="1"/>
    <col min="18" max="18" width="9.85546875" customWidth="1"/>
    <col min="19" max="19" width="5" customWidth="1"/>
    <col min="20" max="20" width="17" customWidth="1"/>
    <col min="21" max="21" width="18" customWidth="1"/>
    <col min="22" max="28" width="9.140625" customWidth="1"/>
  </cols>
  <sheetData>
    <row r="1" spans="1:28" ht="12.75" customHeight="1">
      <c r="A1" s="1"/>
      <c r="B1" s="2"/>
      <c r="C1" s="2"/>
      <c r="D1" s="1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5.5" customHeight="1">
      <c r="A2" s="1"/>
      <c r="B2" s="2"/>
      <c r="C2" s="90" t="s">
        <v>66</v>
      </c>
      <c r="D2" s="1"/>
      <c r="E2" s="2"/>
      <c r="F2" s="196" t="s">
        <v>1</v>
      </c>
      <c r="G2" s="197"/>
      <c r="H2" s="197"/>
      <c r="I2" s="197"/>
      <c r="J2" s="197"/>
      <c r="K2" s="19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</row>
    <row r="3" spans="1:28" ht="12.75" customHeight="1">
      <c r="A3" s="1"/>
      <c r="B3" s="2"/>
      <c r="C3" s="2"/>
      <c r="D3" s="1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>
      <c r="A4" s="1"/>
      <c r="B4" s="11" t="s">
        <v>9</v>
      </c>
      <c r="C4" s="91" t="s">
        <v>67</v>
      </c>
      <c r="D4" s="35" t="s">
        <v>68</v>
      </c>
      <c r="E4" s="92">
        <v>9.8000000000000007</v>
      </c>
      <c r="F4" s="40" t="s">
        <v>33</v>
      </c>
      <c r="G4" s="93" t="s">
        <v>69</v>
      </c>
      <c r="H4" s="9"/>
      <c r="I4" s="9"/>
      <c r="J4" s="1"/>
      <c r="K4" s="1"/>
      <c r="L4" s="9"/>
      <c r="M4" s="9"/>
      <c r="N4" s="9"/>
      <c r="O4" s="9"/>
      <c r="P4" s="9"/>
      <c r="Q4" s="9"/>
      <c r="R4" s="1"/>
      <c r="S4" s="9"/>
      <c r="T4" s="9"/>
      <c r="U4" s="9"/>
      <c r="V4" s="9"/>
      <c r="W4" s="9"/>
      <c r="X4" s="9"/>
      <c r="Y4" s="9"/>
      <c r="Z4" s="9"/>
      <c r="AA4" s="1"/>
      <c r="AB4" s="7"/>
    </row>
    <row r="5" spans="1:28" ht="12.75" customHeight="1">
      <c r="A5" s="1"/>
      <c r="B5" s="17"/>
      <c r="C5" s="2" t="s">
        <v>17</v>
      </c>
      <c r="D5" s="1" t="s">
        <v>18</v>
      </c>
      <c r="E5" s="94">
        <v>1</v>
      </c>
      <c r="F5" s="47"/>
      <c r="G5" s="27" t="s">
        <v>70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</row>
    <row r="6" spans="1:28" ht="12.75" customHeight="1">
      <c r="A6" s="1"/>
      <c r="B6" s="17"/>
      <c r="C6" s="2" t="s">
        <v>71</v>
      </c>
      <c r="D6" s="1" t="s">
        <v>72</v>
      </c>
      <c r="E6" s="95">
        <v>60</v>
      </c>
      <c r="F6" s="47" t="s">
        <v>73</v>
      </c>
      <c r="G6" s="27" t="s">
        <v>74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>
      <c r="A7" s="1"/>
      <c r="B7" s="17"/>
      <c r="C7" s="8" t="s">
        <v>75</v>
      </c>
      <c r="D7" s="1" t="s">
        <v>76</v>
      </c>
      <c r="E7" s="96">
        <v>1</v>
      </c>
      <c r="F7" s="47" t="s">
        <v>77</v>
      </c>
      <c r="G7" s="27" t="s">
        <v>78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>
      <c r="A8" s="1"/>
      <c r="B8" s="17"/>
      <c r="C8" s="2" t="s">
        <v>79</v>
      </c>
      <c r="D8" s="1" t="s">
        <v>80</v>
      </c>
      <c r="E8" s="97">
        <v>1</v>
      </c>
      <c r="F8" s="47" t="str">
        <f>IF(OR(E8&lt;0,E6/3*2&lt;E8),"Error!!!","км")</f>
        <v>км</v>
      </c>
      <c r="G8" s="27" t="s">
        <v>81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customHeight="1">
      <c r="A9" s="1"/>
      <c r="B9" s="30" t="s">
        <v>25</v>
      </c>
      <c r="C9" s="98" t="s">
        <v>82</v>
      </c>
      <c r="D9" s="35" t="s">
        <v>83</v>
      </c>
      <c r="E9" s="99">
        <f>E6/6</f>
        <v>10</v>
      </c>
      <c r="F9" s="40" t="s">
        <v>73</v>
      </c>
      <c r="G9" s="1" t="s">
        <v>84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>
      <c r="A10" s="1"/>
      <c r="B10" s="100"/>
      <c r="C10" s="2" t="s">
        <v>85</v>
      </c>
      <c r="D10" s="1" t="s">
        <v>86</v>
      </c>
      <c r="E10" s="101">
        <f>E6*2/3</f>
        <v>40</v>
      </c>
      <c r="F10" s="47" t="s">
        <v>73</v>
      </c>
      <c r="G10" s="1" t="s">
        <v>87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customHeight="1">
      <c r="A11" s="1"/>
      <c r="B11" s="102"/>
      <c r="C11" s="8" t="s">
        <v>75</v>
      </c>
      <c r="D11" s="1" t="s">
        <v>88</v>
      </c>
      <c r="E11" s="103">
        <f>E17*E7</f>
        <v>9.81</v>
      </c>
      <c r="F11" s="47" t="s">
        <v>33</v>
      </c>
      <c r="G11" s="9" t="s">
        <v>89</v>
      </c>
      <c r="H11" s="9"/>
      <c r="I11" s="9"/>
      <c r="J11" s="1"/>
      <c r="K11" s="1"/>
      <c r="L11" s="9"/>
      <c r="M11" s="9"/>
      <c r="N11" s="9"/>
      <c r="O11" s="9"/>
      <c r="P11" s="9"/>
      <c r="Q11" s="9"/>
      <c r="R11" s="1"/>
      <c r="S11" s="9"/>
      <c r="T11" s="9"/>
      <c r="U11" s="9"/>
      <c r="V11" s="9"/>
      <c r="W11" s="9"/>
      <c r="X11" s="9"/>
      <c r="Y11" s="9"/>
      <c r="Z11" s="9"/>
      <c r="AA11" s="1"/>
      <c r="AB11" s="2"/>
    </row>
    <row r="12" spans="1:28" ht="12.75" customHeight="1">
      <c r="A12" s="1"/>
      <c r="B12" s="102"/>
      <c r="C12" s="8" t="s">
        <v>90</v>
      </c>
      <c r="D12" s="1" t="s">
        <v>91</v>
      </c>
      <c r="E12" s="103">
        <f>IF(E8&lt;(E6/8),E17*E7+E4,E17*E7*(1-(E8-E6/8)^0.5/(13/24*E6)^0.5)+E4)</f>
        <v>19.61</v>
      </c>
      <c r="F12" s="47" t="s">
        <v>33</v>
      </c>
      <c r="G12" s="9" t="s">
        <v>92</v>
      </c>
      <c r="H12" s="9"/>
      <c r="I12" s="9"/>
      <c r="J12" s="104"/>
      <c r="K12" s="105"/>
      <c r="L12" s="105"/>
      <c r="M12" s="105"/>
      <c r="N12" s="104"/>
      <c r="O12" s="104"/>
      <c r="P12" s="104"/>
      <c r="Q12" s="9"/>
      <c r="R12" s="1"/>
      <c r="S12" s="9"/>
      <c r="T12" s="9"/>
      <c r="U12" s="9"/>
      <c r="V12" s="9"/>
      <c r="W12" s="9"/>
      <c r="X12" s="9"/>
      <c r="Y12" s="9"/>
      <c r="Z12" s="9"/>
      <c r="AA12" s="1"/>
      <c r="AB12" s="2"/>
    </row>
    <row r="13" spans="1:28" ht="12.75" customHeight="1">
      <c r="A13" s="1"/>
      <c r="B13" s="100"/>
      <c r="C13" s="8" t="s">
        <v>93</v>
      </c>
      <c r="D13" s="1" t="s">
        <v>94</v>
      </c>
      <c r="E13" s="103">
        <f>IF(E8&lt;(E6/8),E7,E7*(1-(E8-E6/8)^0.5/(13/24*E6)^0.5))</f>
        <v>1</v>
      </c>
      <c r="F13" s="47" t="s">
        <v>77</v>
      </c>
      <c r="G13" s="9" t="s">
        <v>95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customHeight="1">
      <c r="A14" s="1"/>
      <c r="B14" s="102"/>
      <c r="C14" s="8" t="s">
        <v>96</v>
      </c>
      <c r="D14" s="1" t="s">
        <v>97</v>
      </c>
      <c r="E14" s="103">
        <f>E11+E4</f>
        <v>19.61</v>
      </c>
      <c r="F14" s="47" t="s">
        <v>33</v>
      </c>
      <c r="G14" s="9" t="s">
        <v>98</v>
      </c>
      <c r="H14" s="9"/>
      <c r="I14" s="9"/>
      <c r="J14" s="104"/>
      <c r="K14" s="106"/>
      <c r="L14" s="105"/>
      <c r="M14" s="107"/>
      <c r="N14" s="104"/>
      <c r="O14" s="104"/>
      <c r="P14" s="108"/>
      <c r="Q14" s="9"/>
      <c r="R14" s="1"/>
      <c r="S14" s="9"/>
      <c r="T14" s="9"/>
      <c r="U14" s="9"/>
      <c r="V14" s="9"/>
      <c r="W14" s="9"/>
      <c r="X14" s="9"/>
      <c r="Y14" s="9"/>
      <c r="Z14" s="9"/>
      <c r="AA14" s="1"/>
      <c r="AB14" s="2"/>
    </row>
    <row r="15" spans="1:28" ht="12.75" customHeight="1">
      <c r="A15" s="1"/>
      <c r="B15" s="100"/>
      <c r="C15" s="8" t="s">
        <v>99</v>
      </c>
      <c r="D15" s="1" t="s">
        <v>100</v>
      </c>
      <c r="E15" s="103">
        <f>E17*E7*(1-(E6/24)^0.5/(13/24*E6)^0.5)+E4</f>
        <v>16.889195537515253</v>
      </c>
      <c r="F15" s="47" t="s">
        <v>33</v>
      </c>
      <c r="G15" s="9" t="s">
        <v>101</v>
      </c>
      <c r="H15" s="9"/>
      <c r="I15" s="9"/>
      <c r="J15" s="104"/>
      <c r="K15" s="106"/>
      <c r="L15" s="105"/>
      <c r="M15" s="105"/>
      <c r="N15" s="104"/>
      <c r="O15" s="104"/>
      <c r="P15" s="108"/>
      <c r="Q15" s="9"/>
      <c r="R15" s="1"/>
      <c r="S15" s="9"/>
      <c r="T15" s="9"/>
      <c r="U15" s="9"/>
      <c r="V15" s="9"/>
      <c r="W15" s="9"/>
      <c r="X15" s="9"/>
      <c r="Y15" s="9"/>
      <c r="Z15" s="9"/>
      <c r="AA15" s="1"/>
      <c r="AB15" s="2"/>
    </row>
    <row r="16" spans="1:28" ht="12.75" customHeight="1">
      <c r="A16" s="1"/>
      <c r="B16" s="109"/>
      <c r="C16" s="110" t="s">
        <v>102</v>
      </c>
      <c r="D16" s="48" t="s">
        <v>103</v>
      </c>
      <c r="E16" s="177">
        <f>E7*(1-(E6/24)^0.5/(13/24*E6)^0.5)</f>
        <v>0.72264990188738543</v>
      </c>
      <c r="F16" s="53" t="s">
        <v>77</v>
      </c>
      <c r="G16" s="9" t="s">
        <v>104</v>
      </c>
      <c r="H16" s="9"/>
      <c r="I16" s="9"/>
      <c r="J16" s="104"/>
      <c r="K16" s="106"/>
      <c r="L16" s="105"/>
      <c r="M16" s="105"/>
      <c r="N16" s="104"/>
      <c r="O16" s="104"/>
      <c r="P16" s="108"/>
      <c r="Q16" s="9"/>
      <c r="R16" s="1"/>
      <c r="S16" s="9"/>
      <c r="T16" s="9"/>
      <c r="U16" s="9"/>
      <c r="V16" s="9"/>
      <c r="W16" s="9"/>
      <c r="X16" s="9"/>
      <c r="Y16" s="9"/>
      <c r="Z16" s="9"/>
      <c r="AA16" s="1"/>
      <c r="AB16" s="2"/>
    </row>
    <row r="17" spans="1:28" ht="12.75" customHeight="1">
      <c r="A17" s="1"/>
      <c r="B17" s="112" t="s">
        <v>20</v>
      </c>
      <c r="C17" s="8" t="s">
        <v>77</v>
      </c>
      <c r="D17" s="1" t="s">
        <v>105</v>
      </c>
      <c r="E17" s="112">
        <v>9.81</v>
      </c>
      <c r="F17" s="47" t="s">
        <v>33</v>
      </c>
      <c r="G17" s="9" t="s">
        <v>106</v>
      </c>
      <c r="H17" s="9"/>
      <c r="I17" s="9"/>
      <c r="J17" s="104"/>
      <c r="K17" s="106"/>
      <c r="L17" s="105"/>
      <c r="M17" s="105"/>
      <c r="N17" s="104"/>
      <c r="O17" s="104"/>
      <c r="P17" s="108"/>
      <c r="Q17" s="9"/>
      <c r="R17" s="1"/>
      <c r="S17" s="9"/>
      <c r="T17" s="9"/>
      <c r="U17" s="9"/>
      <c r="V17" s="9"/>
      <c r="W17" s="9"/>
      <c r="X17" s="9"/>
      <c r="Y17" s="9"/>
      <c r="Z17" s="9"/>
      <c r="AA17" s="1"/>
      <c r="AB17" s="2"/>
    </row>
    <row r="18" spans="1:28" ht="12.75" customHeight="1">
      <c r="A18" s="1"/>
      <c r="B18" s="112"/>
      <c r="C18" s="8" t="s">
        <v>107</v>
      </c>
      <c r="D18" s="1" t="s">
        <v>108</v>
      </c>
      <c r="E18" s="112">
        <v>100</v>
      </c>
      <c r="F18" s="47" t="s">
        <v>23</v>
      </c>
      <c r="G18" s="9" t="s">
        <v>109</v>
      </c>
      <c r="H18" s="9"/>
      <c r="I18" s="9"/>
      <c r="J18" s="104"/>
      <c r="K18" s="106"/>
      <c r="L18" s="105"/>
      <c r="M18" s="105"/>
      <c r="N18" s="104"/>
      <c r="O18" s="104"/>
      <c r="P18" s="108"/>
      <c r="Q18" s="9"/>
      <c r="R18" s="1"/>
      <c r="S18" s="9"/>
      <c r="T18" s="9"/>
      <c r="U18" s="9"/>
      <c r="V18" s="9"/>
      <c r="W18" s="9"/>
      <c r="X18" s="9"/>
      <c r="Y18" s="9"/>
      <c r="Z18" s="9"/>
      <c r="AA18" s="1"/>
      <c r="AB18" s="2"/>
    </row>
    <row r="19" spans="1:28" ht="12.75" customHeight="1">
      <c r="A19" s="1"/>
      <c r="B19" s="113"/>
      <c r="C19" s="110" t="s">
        <v>21</v>
      </c>
      <c r="D19" s="48" t="s">
        <v>110</v>
      </c>
      <c r="E19" s="113">
        <v>0</v>
      </c>
      <c r="F19" s="53" t="s">
        <v>23</v>
      </c>
      <c r="G19" s="9" t="s">
        <v>111</v>
      </c>
      <c r="H19" s="9"/>
      <c r="I19" s="9"/>
      <c r="J19" s="104"/>
      <c r="K19" s="106"/>
      <c r="L19" s="105"/>
      <c r="M19" s="105"/>
      <c r="N19" s="104"/>
      <c r="O19" s="104"/>
      <c r="P19" s="108"/>
      <c r="Q19" s="9"/>
      <c r="R19" s="1"/>
      <c r="S19" s="9"/>
      <c r="T19" s="9"/>
      <c r="U19" s="9"/>
      <c r="V19" s="9"/>
      <c r="W19" s="9"/>
      <c r="X19" s="9"/>
      <c r="Y19" s="9"/>
      <c r="Z19" s="9"/>
      <c r="AA19" s="1"/>
      <c r="AB19" s="2"/>
    </row>
    <row r="20" spans="1:28" ht="12.75" customHeight="1">
      <c r="A20" s="1"/>
      <c r="B20" s="2"/>
      <c r="C20" s="8"/>
      <c r="D20" s="1"/>
      <c r="E20" s="2"/>
      <c r="F20" s="2"/>
      <c r="G20" s="9"/>
      <c r="H20" s="9"/>
      <c r="I20" s="9"/>
      <c r="J20" s="104"/>
      <c r="K20" s="106"/>
      <c r="L20" s="105"/>
      <c r="M20" s="105"/>
      <c r="N20" s="104"/>
      <c r="O20" s="104"/>
      <c r="P20" s="108"/>
      <c r="Q20" s="9"/>
      <c r="R20" s="1"/>
      <c r="S20" s="9"/>
      <c r="T20" s="9"/>
      <c r="U20" s="9"/>
      <c r="V20" s="9"/>
      <c r="W20" s="9"/>
      <c r="X20" s="9"/>
      <c r="Y20" s="9"/>
      <c r="Z20" s="9"/>
      <c r="AA20" s="1"/>
      <c r="AB20" s="2"/>
    </row>
    <row r="21" spans="1:28" ht="12.75" customHeight="1">
      <c r="A21" s="1"/>
      <c r="B21" s="2"/>
      <c r="C21" s="8"/>
      <c r="D21" s="1"/>
      <c r="E21" s="198" t="s">
        <v>112</v>
      </c>
      <c r="F21" s="197"/>
      <c r="G21" s="9"/>
      <c r="H21" s="114"/>
      <c r="I21" s="9"/>
      <c r="J21" s="104"/>
      <c r="K21" s="106"/>
      <c r="L21" s="105"/>
      <c r="M21" s="105"/>
      <c r="N21" s="104"/>
      <c r="O21" s="104"/>
      <c r="P21" s="108"/>
      <c r="Q21" s="9"/>
      <c r="R21" s="1"/>
      <c r="S21" s="9"/>
      <c r="T21" s="9"/>
      <c r="U21" s="9"/>
      <c r="V21" s="9"/>
      <c r="W21" s="9"/>
      <c r="X21" s="9"/>
      <c r="Y21" s="9"/>
      <c r="Z21" s="9"/>
      <c r="AA21" s="1"/>
      <c r="AB21" s="2"/>
    </row>
    <row r="22" spans="1:28" ht="15.75" customHeight="1">
      <c r="A22" s="1"/>
      <c r="B22" s="115" t="s">
        <v>113</v>
      </c>
      <c r="C22" s="8"/>
      <c r="D22" s="116"/>
      <c r="E22" s="2" t="s">
        <v>114</v>
      </c>
      <c r="F22" s="2" t="s">
        <v>115</v>
      </c>
      <c r="G22" s="1"/>
      <c r="H22" s="9"/>
      <c r="I22" s="9"/>
      <c r="J22" s="104"/>
      <c r="K22" s="106"/>
      <c r="L22" s="105"/>
      <c r="M22" s="105"/>
      <c r="N22" s="104"/>
      <c r="O22" s="104"/>
      <c r="P22" s="108"/>
      <c r="Q22" s="9"/>
      <c r="R22" s="1"/>
      <c r="S22" s="9"/>
      <c r="T22" s="9"/>
      <c r="U22" s="9"/>
      <c r="V22" s="9"/>
      <c r="W22" s="9"/>
      <c r="X22" s="9"/>
      <c r="Y22" s="9"/>
      <c r="Z22" s="9"/>
      <c r="AA22" s="1"/>
      <c r="AB22" s="2"/>
    </row>
    <row r="23" spans="1:28" ht="12.75" customHeight="1">
      <c r="A23" s="1"/>
      <c r="B23" s="33" t="s">
        <v>30</v>
      </c>
      <c r="C23" s="12"/>
      <c r="D23" s="13" t="s">
        <v>116</v>
      </c>
      <c r="E23" s="117">
        <f>G44</f>
        <v>1223.8653748087711</v>
      </c>
      <c r="F23" s="118">
        <f>G52</f>
        <v>0</v>
      </c>
      <c r="G23" s="119" t="s">
        <v>117</v>
      </c>
      <c r="H23" s="9"/>
      <c r="I23" s="9"/>
      <c r="J23" s="1"/>
      <c r="K23" s="1"/>
      <c r="L23" s="9"/>
      <c r="M23" s="9"/>
      <c r="N23" s="9"/>
      <c r="O23" s="9"/>
      <c r="P23" s="9"/>
      <c r="Q23" s="9"/>
      <c r="R23" s="1"/>
      <c r="S23" s="9"/>
      <c r="T23" s="9"/>
      <c r="U23" s="9"/>
      <c r="V23" s="9"/>
      <c r="W23" s="9"/>
      <c r="X23" s="9"/>
      <c r="Y23" s="9"/>
      <c r="Z23" s="9"/>
      <c r="AA23" s="1"/>
      <c r="AB23" s="2"/>
    </row>
    <row r="24" spans="1:28" ht="12.75" customHeight="1">
      <c r="A24" s="1"/>
      <c r="B24" s="58"/>
      <c r="C24" s="120"/>
      <c r="D24" s="24" t="s">
        <v>118</v>
      </c>
      <c r="E24" s="121">
        <f>H44</f>
        <v>1223.8653748087711</v>
      </c>
      <c r="F24" s="122">
        <f>H52</f>
        <v>0</v>
      </c>
      <c r="G24" s="119" t="s">
        <v>117</v>
      </c>
      <c r="H24" s="9"/>
      <c r="I24" s="9"/>
      <c r="J24" s="1"/>
      <c r="K24" s="1"/>
      <c r="L24" s="9"/>
      <c r="M24" s="9"/>
      <c r="N24" s="9"/>
      <c r="O24" s="9"/>
      <c r="P24" s="9"/>
      <c r="Q24" s="9"/>
      <c r="R24" s="1"/>
      <c r="S24" s="9"/>
      <c r="T24" s="9"/>
      <c r="U24" s="9"/>
      <c r="V24" s="9"/>
      <c r="W24" s="9"/>
      <c r="X24" s="9"/>
      <c r="Y24" s="9"/>
      <c r="Z24" s="9"/>
      <c r="AA24" s="1"/>
      <c r="AB24" s="2"/>
    </row>
    <row r="25" spans="1:28" ht="15.75" customHeight="1">
      <c r="A25" s="1"/>
      <c r="B25" s="115" t="s">
        <v>119</v>
      </c>
      <c r="C25" s="8"/>
      <c r="D25" s="1"/>
      <c r="E25" s="2"/>
      <c r="F25" s="2"/>
      <c r="G25" s="9"/>
      <c r="H25" s="9"/>
      <c r="I25" s="9"/>
      <c r="J25" s="1"/>
      <c r="K25" s="1"/>
      <c r="L25" s="9"/>
      <c r="M25" s="9"/>
      <c r="N25" s="9"/>
      <c r="O25" s="9"/>
      <c r="P25" s="9"/>
      <c r="Q25" s="9"/>
      <c r="R25" s="1"/>
      <c r="S25" s="9"/>
      <c r="T25" s="9"/>
      <c r="U25" s="9"/>
      <c r="V25" s="9"/>
      <c r="W25" s="9"/>
      <c r="X25" s="9"/>
      <c r="Y25" s="9"/>
      <c r="Z25" s="9"/>
      <c r="AA25" s="1"/>
      <c r="AB25" s="2"/>
    </row>
    <row r="26" spans="1:28" ht="12.75" customHeight="1">
      <c r="A26" s="1"/>
      <c r="B26" s="123"/>
      <c r="C26" s="124"/>
      <c r="D26" s="125" t="s">
        <v>120</v>
      </c>
      <c r="E26" s="126">
        <f>I44</f>
        <v>1421.0268302412521</v>
      </c>
      <c r="F26" s="126">
        <f>I52</f>
        <v>0</v>
      </c>
      <c r="G26" s="119" t="s">
        <v>117</v>
      </c>
      <c r="H26" s="9"/>
      <c r="I26" s="9"/>
      <c r="J26" s="1"/>
      <c r="K26" s="1"/>
      <c r="L26" s="9"/>
      <c r="M26" s="9"/>
      <c r="N26" s="9"/>
      <c r="O26" s="9"/>
      <c r="P26" s="9"/>
      <c r="Q26" s="9"/>
      <c r="R26" s="1"/>
      <c r="S26" s="9"/>
      <c r="T26" s="9"/>
      <c r="U26" s="9"/>
      <c r="V26" s="9"/>
      <c r="W26" s="9"/>
      <c r="X26" s="9"/>
      <c r="Y26" s="9"/>
      <c r="Z26" s="9"/>
      <c r="AA26" s="1"/>
      <c r="AB26" s="2"/>
    </row>
    <row r="27" spans="1:28" ht="15.75" customHeight="1">
      <c r="A27" s="1"/>
      <c r="B27" s="115" t="s">
        <v>121</v>
      </c>
      <c r="C27" s="8"/>
      <c r="D27" s="1"/>
      <c r="E27" s="2"/>
      <c r="F27" s="2"/>
      <c r="G27" s="9"/>
      <c r="H27" s="9"/>
      <c r="I27" s="9"/>
      <c r="J27" s="1"/>
      <c r="K27" s="1"/>
      <c r="L27" s="9"/>
      <c r="M27" s="9"/>
      <c r="N27" s="9"/>
      <c r="O27" s="9"/>
      <c r="P27" s="9"/>
      <c r="Q27" s="9"/>
      <c r="R27" s="1"/>
      <c r="S27" s="9"/>
      <c r="T27" s="9"/>
      <c r="U27" s="9"/>
      <c r="V27" s="9"/>
      <c r="W27" s="9"/>
      <c r="X27" s="9"/>
      <c r="Y27" s="9"/>
      <c r="Z27" s="9"/>
      <c r="AA27" s="1"/>
      <c r="AB27" s="2"/>
    </row>
    <row r="28" spans="1:28" ht="12.75" customHeight="1">
      <c r="A28" s="1"/>
      <c r="B28" s="33"/>
      <c r="C28" s="91" t="s">
        <v>39</v>
      </c>
      <c r="D28" s="35" t="s">
        <v>122</v>
      </c>
      <c r="E28" s="127">
        <f>E18*E29+((-E4)*(E29^2))/2</f>
        <v>510.20408163265307</v>
      </c>
      <c r="F28" s="40" t="s">
        <v>41</v>
      </c>
      <c r="G28" s="1" t="s">
        <v>123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7"/>
    </row>
    <row r="29" spans="1:28" ht="12.75" customHeight="1">
      <c r="A29" s="1"/>
      <c r="B29" s="58"/>
      <c r="C29" s="110" t="s">
        <v>35</v>
      </c>
      <c r="D29" s="48" t="s">
        <v>124</v>
      </c>
      <c r="E29" s="128">
        <f>(E19-E18)/(-E4)</f>
        <v>10.204081632653061</v>
      </c>
      <c r="F29" s="53" t="s">
        <v>37</v>
      </c>
      <c r="G29" s="9" t="s">
        <v>125</v>
      </c>
      <c r="H29" s="9"/>
      <c r="I29" s="9"/>
      <c r="J29" s="1"/>
      <c r="K29" s="1"/>
      <c r="L29" s="9"/>
      <c r="M29" s="9"/>
      <c r="N29" s="9"/>
      <c r="O29" s="9"/>
      <c r="P29" s="9"/>
      <c r="Q29" s="9"/>
      <c r="R29" s="1"/>
      <c r="S29" s="9"/>
      <c r="T29" s="9"/>
      <c r="U29" s="9"/>
      <c r="V29" s="9"/>
      <c r="W29" s="9"/>
      <c r="X29" s="9"/>
      <c r="Y29" s="9"/>
      <c r="Z29" s="9"/>
      <c r="AA29" s="1"/>
      <c r="AB29" s="2"/>
    </row>
    <row r="30" spans="1:28" ht="12.75" customHeight="1">
      <c r="A30" s="1"/>
      <c r="B30" s="2"/>
      <c r="C30" s="2"/>
      <c r="D30" s="1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>
      <c r="A31" s="1"/>
      <c r="B31" s="7" t="s">
        <v>62</v>
      </c>
      <c r="C31" s="2"/>
      <c r="D31" s="1" t="s">
        <v>145</v>
      </c>
      <c r="E31" s="2">
        <f>(E19-E18)/(-E4)</f>
        <v>10.204081632653061</v>
      </c>
      <c r="F31" s="2" t="s">
        <v>37</v>
      </c>
      <c r="G31" s="9"/>
      <c r="H31" s="9"/>
      <c r="I31" s="9"/>
      <c r="J31" s="1"/>
      <c r="K31" s="1"/>
      <c r="L31" s="9"/>
      <c r="M31" s="9"/>
      <c r="N31" s="9"/>
      <c r="O31" s="9"/>
      <c r="P31" s="9"/>
      <c r="Q31" s="9"/>
      <c r="R31" s="1"/>
      <c r="S31" s="9"/>
      <c r="T31" s="9"/>
      <c r="U31" s="9"/>
      <c r="V31" s="9"/>
      <c r="W31" s="9"/>
      <c r="X31" s="9"/>
      <c r="Y31" s="9"/>
      <c r="Z31" s="9"/>
      <c r="AA31" s="1"/>
      <c r="AB31" s="2"/>
    </row>
    <row r="32" spans="1:28" ht="12.75" customHeight="1">
      <c r="A32" s="1"/>
      <c r="B32" s="2"/>
      <c r="C32" s="2"/>
      <c r="D32" s="1" t="s">
        <v>146</v>
      </c>
      <c r="E32" s="59">
        <f>E18*E31+((-E4)*(E31^2))/2</f>
        <v>510.20408163265307</v>
      </c>
      <c r="F32" s="2" t="s">
        <v>147</v>
      </c>
      <c r="G32" s="9"/>
      <c r="H32" s="9"/>
      <c r="I32" s="9"/>
      <c r="J32" s="1"/>
      <c r="K32" s="1"/>
      <c r="L32" s="9"/>
      <c r="M32" s="9"/>
      <c r="N32" s="9"/>
      <c r="O32" s="9"/>
      <c r="P32" s="1"/>
      <c r="Q32" s="9"/>
      <c r="R32" s="1"/>
      <c r="S32" s="9"/>
      <c r="T32" s="9"/>
      <c r="U32" s="9"/>
      <c r="V32" s="9"/>
      <c r="W32" s="9"/>
      <c r="X32" s="9"/>
      <c r="Y32" s="9"/>
      <c r="Z32" s="9"/>
      <c r="AA32" s="1"/>
      <c r="AB32" s="2"/>
    </row>
    <row r="33" spans="1:28" ht="12.75" customHeight="1">
      <c r="A33" s="1"/>
      <c r="B33" s="2"/>
      <c r="C33" s="2"/>
      <c r="D33" s="1" t="s">
        <v>148</v>
      </c>
      <c r="E33" s="2"/>
      <c r="F33" s="2"/>
      <c r="G33" s="9"/>
      <c r="H33" s="9"/>
      <c r="I33" s="9"/>
      <c r="J33" s="1"/>
      <c r="K33" s="1"/>
      <c r="L33" s="9"/>
      <c r="M33" s="9"/>
      <c r="N33" s="9"/>
      <c r="O33" s="9"/>
      <c r="P33" s="9"/>
      <c r="Q33" s="9"/>
      <c r="R33" s="1"/>
      <c r="S33" s="9"/>
      <c r="T33" s="9"/>
      <c r="U33" s="9"/>
      <c r="V33" s="9"/>
      <c r="W33" s="9"/>
      <c r="X33" s="9"/>
      <c r="Y33" s="9"/>
      <c r="Z33" s="9"/>
      <c r="AA33" s="1"/>
      <c r="AB33" s="2"/>
    </row>
    <row r="34" spans="1:28" ht="12.75" customHeight="1">
      <c r="A34" s="1"/>
      <c r="B34" s="2"/>
      <c r="C34" s="2"/>
      <c r="D34" s="1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>
      <c r="A35" s="1"/>
      <c r="B35" s="2"/>
      <c r="C35" s="116" t="s">
        <v>126</v>
      </c>
      <c r="D35" s="1" t="s">
        <v>127</v>
      </c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>
      <c r="A36" s="1"/>
      <c r="B36" s="2"/>
      <c r="C36" s="2"/>
      <c r="D36" s="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2"/>
    </row>
    <row r="37" spans="1:28" ht="51" customHeight="1">
      <c r="A37" s="1"/>
      <c r="B37" s="2"/>
      <c r="C37" s="2"/>
      <c r="D37" s="129" t="s">
        <v>128</v>
      </c>
      <c r="E37" s="130" t="s">
        <v>129</v>
      </c>
      <c r="F37" s="1"/>
      <c r="G37" s="131" t="s">
        <v>130</v>
      </c>
      <c r="H37" s="132" t="s">
        <v>131</v>
      </c>
      <c r="I37" s="133" t="s">
        <v>132</v>
      </c>
      <c r="J37" s="134" t="s">
        <v>133</v>
      </c>
      <c r="K37" s="135" t="s">
        <v>134</v>
      </c>
      <c r="L37" s="136" t="s">
        <v>135</v>
      </c>
      <c r="M37" s="136" t="s">
        <v>136</v>
      </c>
      <c r="N37" s="137" t="s">
        <v>137</v>
      </c>
      <c r="O37" s="138" t="s">
        <v>138</v>
      </c>
      <c r="P37" s="139" t="s">
        <v>139</v>
      </c>
      <c r="Q37" s="140" t="s">
        <v>140</v>
      </c>
      <c r="R37" s="137" t="s">
        <v>141</v>
      </c>
      <c r="S37" s="2"/>
      <c r="T37" s="1"/>
      <c r="U37" s="1"/>
      <c r="V37" s="1"/>
      <c r="W37" s="1"/>
      <c r="X37" s="1"/>
      <c r="Y37" s="2"/>
      <c r="Z37" s="2"/>
      <c r="AA37" s="1"/>
      <c r="AB37" s="2"/>
    </row>
    <row r="38" spans="1:28" ht="12.75" customHeight="1">
      <c r="A38" s="1"/>
      <c r="B38" s="7" t="s">
        <v>2</v>
      </c>
      <c r="C38" s="2"/>
      <c r="D38" s="61" t="s">
        <v>53</v>
      </c>
      <c r="E38" s="141">
        <v>0</v>
      </c>
      <c r="F38" s="2"/>
      <c r="G38" s="142">
        <f t="shared" ref="G38:G43" si="0">J38*K38/O38*E38*R38</f>
        <v>0</v>
      </c>
      <c r="H38" s="143">
        <f t="shared" ref="H38:H43" si="1">J38*L38/P38*E38*R38</f>
        <v>0</v>
      </c>
      <c r="I38" s="143">
        <f t="shared" ref="I38:I43" si="2">J38*M38/Q38*E38*R38</f>
        <v>0</v>
      </c>
      <c r="J38" s="74">
        <v>3600</v>
      </c>
      <c r="K38" s="144">
        <f>IF(E9*1.5&gt;E8,E8/E9/1.5*(N38-L38)+L38,N38)</f>
        <v>0.34666666666666668</v>
      </c>
      <c r="L38" s="145">
        <v>0.3</v>
      </c>
      <c r="M38" s="145">
        <v>0.77</v>
      </c>
      <c r="N38" s="145">
        <v>1</v>
      </c>
      <c r="O38" s="146">
        <f>E12</f>
        <v>19.61</v>
      </c>
      <c r="P38" s="147">
        <f>E14</f>
        <v>19.61</v>
      </c>
      <c r="Q38" s="148">
        <f>E15</f>
        <v>16.889195537515253</v>
      </c>
      <c r="R38" s="149">
        <f>E5</f>
        <v>1</v>
      </c>
      <c r="S38" s="2"/>
      <c r="T38" s="1"/>
      <c r="U38" s="1"/>
      <c r="V38" s="1"/>
      <c r="W38" s="1"/>
      <c r="X38" s="1"/>
      <c r="Y38" s="2"/>
      <c r="Z38" s="2"/>
      <c r="AA38" s="9"/>
      <c r="AB38" s="2"/>
    </row>
    <row r="39" spans="1:28" ht="12.75" customHeight="1">
      <c r="A39" s="1"/>
      <c r="B39" s="2"/>
      <c r="C39" s="2"/>
      <c r="D39" s="65" t="s">
        <v>54</v>
      </c>
      <c r="E39" s="150"/>
      <c r="F39" s="2"/>
      <c r="G39" s="151">
        <f t="shared" si="0"/>
        <v>0</v>
      </c>
      <c r="H39" s="152">
        <f t="shared" si="1"/>
        <v>0</v>
      </c>
      <c r="I39" s="152">
        <f t="shared" si="2"/>
        <v>0</v>
      </c>
      <c r="J39" s="32">
        <v>288</v>
      </c>
      <c r="K39" s="144">
        <f>K38</f>
        <v>0.34666666666666668</v>
      </c>
      <c r="L39" s="145">
        <v>0.3</v>
      </c>
      <c r="M39" s="145">
        <v>0.77</v>
      </c>
      <c r="N39" s="145">
        <v>1</v>
      </c>
      <c r="O39" s="153">
        <f>E12</f>
        <v>19.61</v>
      </c>
      <c r="P39" s="154">
        <f>E14</f>
        <v>19.61</v>
      </c>
      <c r="Q39" s="155">
        <f>E15</f>
        <v>16.889195537515253</v>
      </c>
      <c r="R39" s="156">
        <f>E5</f>
        <v>1</v>
      </c>
      <c r="S39" s="2"/>
      <c r="T39" s="1"/>
      <c r="U39" s="1"/>
      <c r="V39" s="1"/>
      <c r="W39" s="1"/>
      <c r="X39" s="1"/>
      <c r="Y39" s="2"/>
      <c r="Z39" s="2"/>
      <c r="AA39" s="9"/>
      <c r="AB39" s="2"/>
    </row>
    <row r="40" spans="1:28" ht="12.75" customHeight="1">
      <c r="A40" s="1"/>
      <c r="B40" s="2"/>
      <c r="C40" s="2"/>
      <c r="D40" s="65" t="s">
        <v>55</v>
      </c>
      <c r="E40" s="150">
        <v>4</v>
      </c>
      <c r="F40" s="2"/>
      <c r="G40" s="151">
        <f t="shared" si="0"/>
        <v>1223.8653748087711</v>
      </c>
      <c r="H40" s="152">
        <f t="shared" si="1"/>
        <v>1223.8653748087711</v>
      </c>
      <c r="I40" s="152">
        <f t="shared" si="2"/>
        <v>1421.0268302412521</v>
      </c>
      <c r="J40" s="32">
        <v>6000</v>
      </c>
      <c r="K40" s="144">
        <v>1</v>
      </c>
      <c r="L40" s="145">
        <v>1</v>
      </c>
      <c r="M40" s="145">
        <v>1</v>
      </c>
      <c r="N40" s="145">
        <v>1</v>
      </c>
      <c r="O40" s="153">
        <f>E12</f>
        <v>19.61</v>
      </c>
      <c r="P40" s="154">
        <f>E14</f>
        <v>19.61</v>
      </c>
      <c r="Q40" s="155">
        <f>E15</f>
        <v>16.889195537515253</v>
      </c>
      <c r="R40" s="156">
        <f>E5</f>
        <v>1</v>
      </c>
      <c r="S40" s="2"/>
      <c r="T40" s="1"/>
      <c r="U40" s="1"/>
      <c r="V40" s="1"/>
      <c r="W40" s="1"/>
      <c r="X40" s="1"/>
      <c r="Y40" s="2"/>
      <c r="Z40" s="2"/>
      <c r="AA40" s="9"/>
      <c r="AB40" s="2"/>
    </row>
    <row r="41" spans="1:28" ht="12.75" customHeight="1">
      <c r="A41" s="1"/>
      <c r="B41" s="2"/>
      <c r="C41" s="2"/>
      <c r="D41" s="65" t="s">
        <v>56</v>
      </c>
      <c r="E41" s="150"/>
      <c r="F41" s="2"/>
      <c r="G41" s="151">
        <f t="shared" si="0"/>
        <v>0</v>
      </c>
      <c r="H41" s="152">
        <f t="shared" si="1"/>
        <v>0</v>
      </c>
      <c r="I41" s="152">
        <f t="shared" si="2"/>
        <v>0</v>
      </c>
      <c r="J41" s="32">
        <v>900</v>
      </c>
      <c r="K41" s="144">
        <v>1</v>
      </c>
      <c r="L41" s="145">
        <v>1</v>
      </c>
      <c r="M41" s="145">
        <v>1</v>
      </c>
      <c r="N41" s="145">
        <v>1</v>
      </c>
      <c r="O41" s="153">
        <f>E12</f>
        <v>19.61</v>
      </c>
      <c r="P41" s="154">
        <f>E14</f>
        <v>19.61</v>
      </c>
      <c r="Q41" s="155">
        <f>E15</f>
        <v>16.889195537515253</v>
      </c>
      <c r="R41" s="156">
        <f>E5</f>
        <v>1</v>
      </c>
      <c r="S41" s="2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>
      <c r="A42" s="1"/>
      <c r="B42" s="2"/>
      <c r="C42" s="2"/>
      <c r="D42" s="65" t="s">
        <v>142</v>
      </c>
      <c r="E42" s="150"/>
      <c r="F42" s="2"/>
      <c r="G42" s="151">
        <f t="shared" si="0"/>
        <v>0</v>
      </c>
      <c r="H42" s="152">
        <f t="shared" si="1"/>
        <v>0</v>
      </c>
      <c r="I42" s="152">
        <f t="shared" si="2"/>
        <v>0</v>
      </c>
      <c r="J42" s="32">
        <v>5400</v>
      </c>
      <c r="K42" s="144">
        <f>IF(E9&gt;E8,(E9-E8)/E9*L42,N42)</f>
        <v>0.81</v>
      </c>
      <c r="L42" s="145">
        <v>0.9</v>
      </c>
      <c r="M42" s="145">
        <v>0</v>
      </c>
      <c r="N42" s="145">
        <v>0</v>
      </c>
      <c r="O42" s="153">
        <f>E12</f>
        <v>19.61</v>
      </c>
      <c r="P42" s="154">
        <f>E14</f>
        <v>19.61</v>
      </c>
      <c r="Q42" s="155">
        <f>E15</f>
        <v>16.889195537515253</v>
      </c>
      <c r="R42" s="156">
        <f>E5</f>
        <v>1</v>
      </c>
      <c r="S42" s="2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>
      <c r="A43" s="1"/>
      <c r="B43" s="2"/>
      <c r="C43" s="2"/>
      <c r="D43" s="69" t="s">
        <v>143</v>
      </c>
      <c r="E43" s="157"/>
      <c r="F43" s="2"/>
      <c r="G43" s="158">
        <f t="shared" si="0"/>
        <v>0</v>
      </c>
      <c r="H43" s="159">
        <f t="shared" si="1"/>
        <v>0</v>
      </c>
      <c r="I43" s="159">
        <f t="shared" si="2"/>
        <v>0</v>
      </c>
      <c r="J43" s="77">
        <v>420</v>
      </c>
      <c r="K43" s="160">
        <f>K42</f>
        <v>0.81</v>
      </c>
      <c r="L43" s="161">
        <v>0.9</v>
      </c>
      <c r="M43" s="161">
        <v>0</v>
      </c>
      <c r="N43" s="161">
        <v>0</v>
      </c>
      <c r="O43" s="162">
        <f>E12</f>
        <v>19.61</v>
      </c>
      <c r="P43" s="163">
        <f>E14</f>
        <v>19.61</v>
      </c>
      <c r="Q43" s="164">
        <f>E15</f>
        <v>16.889195537515253</v>
      </c>
      <c r="R43" s="165">
        <f>E5</f>
        <v>1</v>
      </c>
      <c r="S43" s="2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>
      <c r="A44" s="1"/>
      <c r="B44" s="2"/>
      <c r="C44" s="166"/>
      <c r="D44" s="166"/>
      <c r="E44" s="166"/>
      <c r="F44" s="83" t="s">
        <v>144</v>
      </c>
      <c r="G44" s="167">
        <f t="shared" ref="G44:I44" si="3">SUM(G38:G43)</f>
        <v>1223.8653748087711</v>
      </c>
      <c r="H44" s="168">
        <f t="shared" si="3"/>
        <v>1223.8653748087711</v>
      </c>
      <c r="I44" s="167">
        <f t="shared" si="3"/>
        <v>1421.0268302412521</v>
      </c>
      <c r="J44" s="1"/>
      <c r="K44" s="2"/>
      <c r="L44" s="2"/>
      <c r="M44" s="2"/>
      <c r="N44" s="2"/>
      <c r="O44" s="82"/>
      <c r="P44" s="82"/>
      <c r="Q44" s="82"/>
      <c r="R44" s="1"/>
      <c r="S44" s="2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>
      <c r="A45" s="1"/>
      <c r="B45" s="2"/>
      <c r="C45" s="2"/>
      <c r="D45" s="9"/>
      <c r="E45" s="2"/>
      <c r="F45" s="2"/>
      <c r="G45" s="2"/>
      <c r="H45" s="2"/>
      <c r="I45" s="2"/>
      <c r="J45" s="1"/>
      <c r="K45" s="2"/>
      <c r="L45" s="2"/>
      <c r="M45" s="2"/>
      <c r="N45" s="2"/>
      <c r="O45" s="82"/>
      <c r="P45" s="82"/>
      <c r="Q45" s="82"/>
      <c r="R45" s="1"/>
      <c r="S45" s="2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>
      <c r="A46" s="1"/>
      <c r="B46" s="7" t="s">
        <v>61</v>
      </c>
      <c r="C46" s="2"/>
      <c r="D46" s="61" t="s">
        <v>53</v>
      </c>
      <c r="E46" s="141"/>
      <c r="F46" s="2"/>
      <c r="G46" s="142">
        <f t="shared" ref="G46:G51" si="4">J46*K46/O46*E46*R46</f>
        <v>0</v>
      </c>
      <c r="H46" s="143">
        <f t="shared" ref="H46:H51" si="5">J46*L46/P46*E46*R46</f>
        <v>0</v>
      </c>
      <c r="I46" s="143">
        <f t="shared" ref="I46:I51" si="6">J46*M46/Q46*E46*R46</f>
        <v>0</v>
      </c>
      <c r="J46" s="74">
        <v>144</v>
      </c>
      <c r="K46" s="169">
        <f>K38</f>
        <v>0.34666666666666668</v>
      </c>
      <c r="L46" s="170">
        <v>0.3</v>
      </c>
      <c r="M46" s="171">
        <v>0.77</v>
      </c>
      <c r="N46" s="171">
        <v>1</v>
      </c>
      <c r="O46" s="146">
        <f>E12</f>
        <v>19.61</v>
      </c>
      <c r="P46" s="147">
        <f>E14</f>
        <v>19.61</v>
      </c>
      <c r="Q46" s="148">
        <f>E15</f>
        <v>16.889195537515253</v>
      </c>
      <c r="R46" s="149">
        <f>E5</f>
        <v>1</v>
      </c>
      <c r="S46" s="2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>
      <c r="A47" s="1"/>
      <c r="B47" s="2"/>
      <c r="C47" s="2"/>
      <c r="D47" s="65" t="s">
        <v>54</v>
      </c>
      <c r="E47" s="150"/>
      <c r="F47" s="2"/>
      <c r="G47" s="151">
        <f t="shared" si="4"/>
        <v>0</v>
      </c>
      <c r="H47" s="152">
        <f t="shared" si="5"/>
        <v>0</v>
      </c>
      <c r="I47" s="152">
        <f t="shared" si="6"/>
        <v>0</v>
      </c>
      <c r="J47" s="32">
        <v>12</v>
      </c>
      <c r="K47" s="172">
        <f>K38</f>
        <v>0.34666666666666668</v>
      </c>
      <c r="L47" s="173">
        <v>0.3</v>
      </c>
      <c r="M47" s="145">
        <v>0.77</v>
      </c>
      <c r="N47" s="145">
        <v>1</v>
      </c>
      <c r="O47" s="153">
        <f>E12</f>
        <v>19.61</v>
      </c>
      <c r="P47" s="154">
        <f>E14</f>
        <v>19.61</v>
      </c>
      <c r="Q47" s="155">
        <f>E15</f>
        <v>16.889195537515253</v>
      </c>
      <c r="R47" s="156">
        <f>E5</f>
        <v>1</v>
      </c>
      <c r="S47" s="2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>
      <c r="A48" s="1"/>
      <c r="B48" s="2"/>
      <c r="C48" s="2"/>
      <c r="D48" s="65" t="s">
        <v>55</v>
      </c>
      <c r="E48" s="150"/>
      <c r="F48" s="2"/>
      <c r="G48" s="151">
        <f t="shared" si="4"/>
        <v>0</v>
      </c>
      <c r="H48" s="152">
        <f t="shared" si="5"/>
        <v>0</v>
      </c>
      <c r="I48" s="152">
        <f t="shared" si="6"/>
        <v>0</v>
      </c>
      <c r="J48" s="32">
        <v>400</v>
      </c>
      <c r="K48" s="172">
        <v>1</v>
      </c>
      <c r="L48" s="173">
        <v>1</v>
      </c>
      <c r="M48" s="145">
        <v>1</v>
      </c>
      <c r="N48" s="145">
        <v>1</v>
      </c>
      <c r="O48" s="153">
        <f>E12</f>
        <v>19.61</v>
      </c>
      <c r="P48" s="154">
        <f>E14</f>
        <v>19.61</v>
      </c>
      <c r="Q48" s="155">
        <f>E15</f>
        <v>16.889195537515253</v>
      </c>
      <c r="R48" s="156">
        <f>E5</f>
        <v>1</v>
      </c>
      <c r="S48" s="2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>
      <c r="A49" s="1"/>
      <c r="B49" s="2"/>
      <c r="C49" s="2"/>
      <c r="D49" s="65" t="s">
        <v>56</v>
      </c>
      <c r="E49" s="150"/>
      <c r="F49" s="2"/>
      <c r="G49" s="151">
        <f t="shared" si="4"/>
        <v>0</v>
      </c>
      <c r="H49" s="152">
        <f t="shared" si="5"/>
        <v>0</v>
      </c>
      <c r="I49" s="152">
        <f t="shared" si="6"/>
        <v>0</v>
      </c>
      <c r="J49" s="32">
        <v>82</v>
      </c>
      <c r="K49" s="172">
        <v>1</v>
      </c>
      <c r="L49" s="173">
        <v>1</v>
      </c>
      <c r="M49" s="145">
        <v>1</v>
      </c>
      <c r="N49" s="145">
        <v>1</v>
      </c>
      <c r="O49" s="153">
        <f>E12</f>
        <v>19.61</v>
      </c>
      <c r="P49" s="154">
        <f>E14</f>
        <v>19.61</v>
      </c>
      <c r="Q49" s="155">
        <f>E15</f>
        <v>16.889195537515253</v>
      </c>
      <c r="R49" s="156">
        <f>E5</f>
        <v>1</v>
      </c>
      <c r="S49" s="2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>
      <c r="A50" s="1"/>
      <c r="B50" s="2"/>
      <c r="C50" s="2"/>
      <c r="D50" s="65" t="s">
        <v>142</v>
      </c>
      <c r="E50" s="150">
        <v>0</v>
      </c>
      <c r="F50" s="2"/>
      <c r="G50" s="151">
        <f t="shared" si="4"/>
        <v>0</v>
      </c>
      <c r="H50" s="152">
        <f t="shared" si="5"/>
        <v>0</v>
      </c>
      <c r="I50" s="152">
        <f t="shared" si="6"/>
        <v>0</v>
      </c>
      <c r="J50" s="32">
        <v>408</v>
      </c>
      <c r="K50" s="172">
        <f>K42</f>
        <v>0.81</v>
      </c>
      <c r="L50" s="173">
        <v>0.9</v>
      </c>
      <c r="M50" s="145">
        <v>0</v>
      </c>
      <c r="N50" s="145">
        <v>0</v>
      </c>
      <c r="O50" s="153">
        <f>E12</f>
        <v>19.61</v>
      </c>
      <c r="P50" s="154">
        <f>E14</f>
        <v>19.61</v>
      </c>
      <c r="Q50" s="155">
        <f>E15</f>
        <v>16.889195537515253</v>
      </c>
      <c r="R50" s="156">
        <f>E5</f>
        <v>1</v>
      </c>
      <c r="S50" s="2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>
      <c r="A51" s="1"/>
      <c r="B51" s="2"/>
      <c r="C51" s="2"/>
      <c r="D51" s="69" t="s">
        <v>143</v>
      </c>
      <c r="E51" s="157"/>
      <c r="F51" s="2"/>
      <c r="G51" s="158">
        <f t="shared" si="4"/>
        <v>0</v>
      </c>
      <c r="H51" s="159">
        <f t="shared" si="5"/>
        <v>0</v>
      </c>
      <c r="I51" s="159">
        <f t="shared" si="6"/>
        <v>0</v>
      </c>
      <c r="J51" s="77">
        <v>80</v>
      </c>
      <c r="K51" s="174">
        <f>K42</f>
        <v>0.81</v>
      </c>
      <c r="L51" s="175">
        <v>0.9</v>
      </c>
      <c r="M51" s="161">
        <v>0</v>
      </c>
      <c r="N51" s="161">
        <v>0</v>
      </c>
      <c r="O51" s="162">
        <f>E12</f>
        <v>19.61</v>
      </c>
      <c r="P51" s="163">
        <f>E14</f>
        <v>19.61</v>
      </c>
      <c r="Q51" s="164">
        <f>E15</f>
        <v>16.889195537515253</v>
      </c>
      <c r="R51" s="165">
        <f>E5</f>
        <v>1</v>
      </c>
      <c r="S51" s="2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>
      <c r="A52" s="1"/>
      <c r="B52" s="2"/>
      <c r="C52" s="166"/>
      <c r="D52" s="166"/>
      <c r="E52" s="166"/>
      <c r="F52" s="83" t="s">
        <v>144</v>
      </c>
      <c r="G52" s="176">
        <f t="shared" ref="G52:I52" si="7">SUM(G46:G51)</f>
        <v>0</v>
      </c>
      <c r="H52" s="168">
        <f t="shared" si="7"/>
        <v>0</v>
      </c>
      <c r="I52" s="167">
        <f t="shared" si="7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>
      <c r="A53" s="1"/>
      <c r="B53" s="2"/>
      <c r="C53" s="2"/>
      <c r="D53" s="9" t="s">
        <v>149</v>
      </c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>
      <c r="A54" s="1"/>
      <c r="B54" s="2"/>
      <c r="C54" s="2"/>
      <c r="D54" s="9" t="s">
        <v>150</v>
      </c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>
      <c r="A55" s="1"/>
      <c r="B55" s="2"/>
      <c r="C55" s="2"/>
      <c r="D55" s="9" t="s">
        <v>151</v>
      </c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>
      <c r="A56" s="1"/>
      <c r="B56" s="2"/>
      <c r="C56" s="2"/>
      <c r="D56" s="9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>
      <c r="A57" s="1"/>
      <c r="B57" s="2"/>
      <c r="C57" s="60" t="s">
        <v>152</v>
      </c>
      <c r="D57" s="9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>
      <c r="A58" s="1"/>
      <c r="B58" s="2"/>
      <c r="C58" s="2"/>
      <c r="D58" s="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>
      <c r="A59" s="1"/>
      <c r="B59" s="2"/>
      <c r="C59" s="2" t="s">
        <v>153</v>
      </c>
      <c r="D59" s="1" t="s">
        <v>80</v>
      </c>
      <c r="E59" s="178">
        <v>5</v>
      </c>
      <c r="F59" s="2" t="s">
        <v>73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>
      <c r="A60" s="1"/>
      <c r="B60" s="2"/>
      <c r="C60" s="2" t="s">
        <v>154</v>
      </c>
      <c r="D60" s="1" t="s">
        <v>155</v>
      </c>
      <c r="E60" s="179">
        <v>10</v>
      </c>
      <c r="F60" s="2" t="s">
        <v>73</v>
      </c>
      <c r="G60" s="9"/>
      <c r="H60" s="2"/>
      <c r="I60" s="2"/>
      <c r="J60" s="1"/>
      <c r="K60" s="9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>
      <c r="A61" s="1"/>
      <c r="B61" s="2"/>
      <c r="C61" s="2" t="s">
        <v>156</v>
      </c>
      <c r="D61" s="1" t="s">
        <v>157</v>
      </c>
      <c r="E61" s="180">
        <v>0</v>
      </c>
      <c r="F61" s="2" t="s">
        <v>73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>
      <c r="A62" s="1"/>
      <c r="B62" s="2"/>
      <c r="C62" s="2" t="s">
        <v>158</v>
      </c>
      <c r="D62" s="1" t="s">
        <v>159</v>
      </c>
      <c r="E62" s="145">
        <v>0.9</v>
      </c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>
      <c r="A63" s="1"/>
      <c r="B63" s="2"/>
      <c r="C63" s="2" t="s">
        <v>160</v>
      </c>
      <c r="D63" s="1" t="s">
        <v>161</v>
      </c>
      <c r="E63" s="145">
        <v>0</v>
      </c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>
      <c r="A64" s="1"/>
      <c r="B64" s="2"/>
      <c r="C64" s="2" t="s">
        <v>162</v>
      </c>
      <c r="D64" s="1" t="s">
        <v>163</v>
      </c>
      <c r="E64" s="181">
        <f>IF(E60&gt;E59,(E60-E59)/E60*E62,E63)</f>
        <v>0.45</v>
      </c>
      <c r="F64" s="2"/>
      <c r="G64" s="182"/>
      <c r="H64" s="182"/>
      <c r="I64" s="182"/>
      <c r="J64" s="1"/>
      <c r="K64" s="182"/>
      <c r="L64" s="182"/>
      <c r="M64" s="18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>
      <c r="A65" s="1"/>
      <c r="B65" s="2"/>
      <c r="C65" s="2"/>
      <c r="D65" s="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>
      <c r="A66" s="1"/>
      <c r="B66" s="2"/>
      <c r="C66" s="2"/>
      <c r="D66" s="166" t="s">
        <v>164</v>
      </c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>
      <c r="A67" s="1"/>
      <c r="B67" s="2"/>
      <c r="C67" s="2"/>
      <c r="D67" s="119" t="s">
        <v>165</v>
      </c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>
      <c r="A68" s="1"/>
      <c r="B68" s="2"/>
      <c r="C68" s="2"/>
      <c r="D68" s="60" t="s">
        <v>166</v>
      </c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>
      <c r="A69" s="1"/>
      <c r="B69" s="2"/>
      <c r="C69" s="2"/>
      <c r="D69" s="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>
      <c r="A70" s="1"/>
      <c r="B70" s="2"/>
      <c r="C70" s="60" t="s">
        <v>167</v>
      </c>
      <c r="D70" s="9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>
      <c r="A71" s="1"/>
      <c r="B71" s="2"/>
      <c r="C71" s="2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>
      <c r="A72" s="1"/>
      <c r="B72" s="2"/>
      <c r="C72" s="2" t="s">
        <v>153</v>
      </c>
      <c r="D72" s="1" t="s">
        <v>80</v>
      </c>
      <c r="E72" s="178">
        <v>10</v>
      </c>
      <c r="F72" s="2" t="s">
        <v>73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>
      <c r="A73" s="1"/>
      <c r="B73" s="2"/>
      <c r="C73" s="2" t="s">
        <v>154</v>
      </c>
      <c r="D73" s="1" t="s">
        <v>155</v>
      </c>
      <c r="E73" s="179">
        <v>15</v>
      </c>
      <c r="F73" s="2" t="s">
        <v>73</v>
      </c>
      <c r="G73" s="9"/>
      <c r="H73" s="1"/>
      <c r="I73" s="1"/>
      <c r="J73" s="1"/>
      <c r="K73" s="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>
      <c r="A74" s="1"/>
      <c r="B74" s="2"/>
      <c r="C74" s="2" t="s">
        <v>156</v>
      </c>
      <c r="D74" s="1" t="s">
        <v>157</v>
      </c>
      <c r="E74" s="180">
        <v>0</v>
      </c>
      <c r="F74" s="2" t="s">
        <v>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>
      <c r="A75" s="1"/>
      <c r="B75" s="2"/>
      <c r="C75" s="2" t="s">
        <v>158</v>
      </c>
      <c r="D75" s="1" t="s">
        <v>159</v>
      </c>
      <c r="E75" s="145">
        <v>0.3</v>
      </c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>
      <c r="A76" s="1"/>
      <c r="B76" s="2"/>
      <c r="C76" s="2" t="s">
        <v>160</v>
      </c>
      <c r="D76" s="1" t="s">
        <v>168</v>
      </c>
      <c r="E76" s="145">
        <v>1</v>
      </c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>
      <c r="A77" s="1"/>
      <c r="B77" s="2"/>
      <c r="C77" s="2" t="s">
        <v>162</v>
      </c>
      <c r="D77" s="1" t="s">
        <v>163</v>
      </c>
      <c r="E77" s="181">
        <f>IF(E73&gt;E72,E72/E73*(E76-E75)+E75,E76)</f>
        <v>0.76666666666666661</v>
      </c>
      <c r="F77" s="2"/>
      <c r="G77" s="1"/>
      <c r="H77" s="182"/>
      <c r="I77" s="182"/>
      <c r="J77" s="1"/>
      <c r="K77" s="1"/>
      <c r="L77" s="182"/>
      <c r="M77" s="18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>
      <c r="A78" s="1"/>
      <c r="B78" s="2"/>
      <c r="C78" s="88"/>
      <c r="D78" s="183"/>
      <c r="E78" s="88"/>
      <c r="F78" s="8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>
      <c r="A79" s="1"/>
      <c r="B79" s="2"/>
      <c r="C79" s="88"/>
      <c r="D79" s="166" t="s">
        <v>169</v>
      </c>
      <c r="E79" s="88"/>
      <c r="F79" s="8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>
      <c r="A80" s="1"/>
      <c r="B80" s="2"/>
      <c r="C80" s="88"/>
      <c r="D80" s="119" t="s">
        <v>170</v>
      </c>
      <c r="E80" s="88"/>
      <c r="F80" s="8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>
      <c r="A81" s="1"/>
      <c r="B81" s="2"/>
      <c r="C81" s="2"/>
      <c r="D81" s="60" t="s">
        <v>171</v>
      </c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>
      <c r="A82" s="1"/>
      <c r="B82" s="2"/>
      <c r="C82" s="2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>
      <c r="A83" s="1"/>
      <c r="B83" s="2"/>
      <c r="C83" s="184" t="s">
        <v>172</v>
      </c>
      <c r="D83" s="104"/>
      <c r="E83" s="106"/>
      <c r="F83" s="105"/>
      <c r="G83" s="10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>
      <c r="A84" s="1"/>
      <c r="B84" s="2"/>
      <c r="C84" s="2"/>
      <c r="D84" s="104"/>
      <c r="E84" s="106"/>
      <c r="F84" s="105"/>
      <c r="G84" s="10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>
      <c r="A85" s="1"/>
      <c r="B85" s="2"/>
      <c r="C85" s="104" t="s">
        <v>173</v>
      </c>
      <c r="D85" s="185" t="s">
        <v>174</v>
      </c>
      <c r="E85" s="178">
        <v>10</v>
      </c>
      <c r="F85" s="2" t="s">
        <v>73</v>
      </c>
      <c r="G85" s="10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>
      <c r="A86" s="1"/>
      <c r="B86" s="2"/>
      <c r="C86" s="104" t="s">
        <v>175</v>
      </c>
      <c r="D86" s="106" t="s">
        <v>176</v>
      </c>
      <c r="E86" s="178">
        <v>60</v>
      </c>
      <c r="F86" s="2" t="s">
        <v>73</v>
      </c>
      <c r="G86" s="10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>
      <c r="A87" s="1"/>
      <c r="B87" s="2"/>
      <c r="C87" s="8" t="s">
        <v>75</v>
      </c>
      <c r="D87" s="1" t="s">
        <v>76</v>
      </c>
      <c r="E87" s="186">
        <v>1</v>
      </c>
      <c r="F87" s="104" t="s">
        <v>77</v>
      </c>
      <c r="G87" s="10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>
      <c r="A88" s="1"/>
      <c r="B88" s="2"/>
      <c r="C88" s="8" t="s">
        <v>75</v>
      </c>
      <c r="D88" s="1" t="s">
        <v>76</v>
      </c>
      <c r="E88" s="187">
        <f>9.81*E87</f>
        <v>9.81</v>
      </c>
      <c r="F88" s="2" t="s">
        <v>33</v>
      </c>
      <c r="G88" s="10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>
      <c r="A89" s="1"/>
      <c r="B89" s="2"/>
      <c r="C89" s="104" t="s">
        <v>93</v>
      </c>
      <c r="D89" s="106" t="s">
        <v>177</v>
      </c>
      <c r="E89" s="188">
        <f>E87*(1-(E85-E86/8)^0.5/(13/24*E86)^0.5)</f>
        <v>0.72264990188738543</v>
      </c>
      <c r="F89" s="104" t="s">
        <v>77</v>
      </c>
      <c r="G89" s="10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>
      <c r="A90" s="1"/>
      <c r="B90" s="2"/>
      <c r="C90" s="104" t="s">
        <v>93</v>
      </c>
      <c r="D90" s="106" t="s">
        <v>177</v>
      </c>
      <c r="E90" s="189">
        <f>9.81*E89</f>
        <v>7.0891955375152511</v>
      </c>
      <c r="F90" s="2" t="s">
        <v>33</v>
      </c>
      <c r="G90" s="10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>
      <c r="A91" s="1"/>
      <c r="B91" s="2"/>
      <c r="C91" s="104" t="s">
        <v>102</v>
      </c>
      <c r="D91" s="106" t="s">
        <v>178</v>
      </c>
      <c r="E91" s="189">
        <f>E87*(1-(E86/24)^0.5/(13/24*E86)^0.5)</f>
        <v>0.72264990188738543</v>
      </c>
      <c r="F91" s="104" t="s">
        <v>77</v>
      </c>
      <c r="G91" s="10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>
      <c r="A92" s="1"/>
      <c r="B92" s="2"/>
      <c r="C92" s="104" t="s">
        <v>102</v>
      </c>
      <c r="D92" s="106" t="s">
        <v>178</v>
      </c>
      <c r="E92" s="189">
        <f>9.81*E91</f>
        <v>7.0891955375152511</v>
      </c>
      <c r="F92" s="2" t="s">
        <v>33</v>
      </c>
      <c r="G92" s="10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>
      <c r="A93" s="1"/>
      <c r="B93" s="2"/>
      <c r="C93" s="104"/>
      <c r="D93" s="1"/>
      <c r="E93" s="2"/>
      <c r="F93" s="105"/>
      <c r="G93" s="10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>
      <c r="A94" s="1"/>
      <c r="B94" s="2"/>
      <c r="C94" s="104"/>
      <c r="D94" s="190" t="s">
        <v>179</v>
      </c>
      <c r="E94" s="2"/>
      <c r="F94" s="105"/>
      <c r="G94" s="104"/>
      <c r="H94" s="104"/>
      <c r="I94" s="105"/>
      <c r="J94" s="10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>
      <c r="A95" s="1"/>
      <c r="B95" s="2"/>
      <c r="C95" s="104"/>
      <c r="D95" s="191" t="s">
        <v>180</v>
      </c>
      <c r="E95" s="2"/>
      <c r="F95" s="105"/>
      <c r="G95" s="104"/>
      <c r="H95" s="105"/>
      <c r="I95" s="105"/>
      <c r="J95" s="10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>
      <c r="A96" s="1"/>
      <c r="B96" s="2"/>
      <c r="C96" s="104"/>
      <c r="D96" s="191" t="s">
        <v>181</v>
      </c>
      <c r="E96" s="2"/>
      <c r="F96" s="105"/>
      <c r="G96" s="105"/>
      <c r="H96" s="105"/>
      <c r="I96" s="105"/>
      <c r="J96" s="10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>
      <c r="A97" s="1"/>
      <c r="B97" s="2"/>
      <c r="C97" s="104"/>
      <c r="D97" s="1"/>
      <c r="E97" s="2"/>
      <c r="F97" s="105"/>
      <c r="G97" s="105"/>
      <c r="H97" s="104"/>
      <c r="I97" s="105"/>
      <c r="J97" s="10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>
      <c r="A98" s="1"/>
      <c r="B98" s="2"/>
      <c r="C98" s="104"/>
      <c r="D98" s="106" t="s">
        <v>182</v>
      </c>
      <c r="E98" s="2"/>
      <c r="F98" s="105"/>
      <c r="G98" s="104"/>
      <c r="H98" s="104"/>
      <c r="I98" s="105"/>
      <c r="J98" s="10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>
      <c r="A99" s="1"/>
      <c r="B99" s="2"/>
      <c r="C99" s="104"/>
      <c r="D99" s="106" t="s">
        <v>183</v>
      </c>
      <c r="E99" s="2"/>
      <c r="F99" s="105"/>
      <c r="G99" s="104"/>
      <c r="H99" s="104"/>
      <c r="I99" s="105"/>
      <c r="J99" s="10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>
      <c r="A100" s="1"/>
      <c r="B100" s="2"/>
      <c r="C100" s="104"/>
      <c r="D100" s="106" t="s">
        <v>184</v>
      </c>
      <c r="E100" s="2"/>
      <c r="F100" s="105"/>
      <c r="G100" s="104"/>
      <c r="H100" s="1"/>
      <c r="I100" s="105"/>
      <c r="J100" s="10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>
      <c r="A101" s="1"/>
      <c r="B101" s="2"/>
      <c r="C101" s="2"/>
      <c r="D101" s="106" t="s">
        <v>185</v>
      </c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>
      <c r="A102" s="1"/>
      <c r="B102" s="2"/>
      <c r="C102" s="2"/>
      <c r="D102" s="1"/>
      <c r="E102" s="2"/>
      <c r="F102" s="2"/>
      <c r="G102" s="1"/>
      <c r="H102" s="19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>
      <c r="A103" s="1"/>
      <c r="B103" s="2"/>
      <c r="C103" s="2"/>
      <c r="D103" s="190" t="s">
        <v>186</v>
      </c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>
      <c r="A104" s="1"/>
      <c r="B104" s="2"/>
      <c r="C104" s="2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>
      <c r="A105" s="1"/>
      <c r="B105" s="2"/>
      <c r="C105" s="2"/>
      <c r="D105" s="1" t="s">
        <v>182</v>
      </c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>
      <c r="A106" s="1"/>
      <c r="B106" s="2"/>
      <c r="C106" s="2"/>
      <c r="D106" s="106" t="s">
        <v>187</v>
      </c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>
      <c r="A107" s="1"/>
      <c r="B107" s="2"/>
      <c r="C107" s="2"/>
      <c r="D107" s="106" t="s">
        <v>188</v>
      </c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>
      <c r="A108" s="1"/>
      <c r="B108" s="2"/>
      <c r="C108" s="2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>
      <c r="A109" s="1"/>
      <c r="B109" s="2"/>
      <c r="C109" s="2"/>
      <c r="D109" s="1" t="s">
        <v>189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>
      <c r="A110" s="1"/>
      <c r="B110" s="2"/>
      <c r="C110" s="2"/>
      <c r="D110" s="1" t="s">
        <v>190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>
      <c r="A111" s="1"/>
      <c r="B111" s="2"/>
      <c r="C111" s="2"/>
      <c r="D111" s="1" t="s">
        <v>191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>
      <c r="A112" s="1"/>
      <c r="B112" s="2"/>
      <c r="C112" s="2"/>
      <c r="D112" s="9" t="s">
        <v>192</v>
      </c>
      <c r="E112" s="9"/>
      <c r="F112" s="9"/>
      <c r="G112" s="9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>
      <c r="A113" s="1"/>
      <c r="B113" s="2"/>
      <c r="C113" s="2"/>
      <c r="D113" s="192"/>
      <c r="E113" s="192"/>
      <c r="F113" s="192"/>
      <c r="G113" s="192"/>
      <c r="H113" s="19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>
      <c r="A114" s="1"/>
      <c r="B114" s="2"/>
      <c r="C114" s="2"/>
      <c r="D114" s="1" t="s">
        <v>193</v>
      </c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>
      <c r="A115" s="1"/>
      <c r="B115" s="2"/>
      <c r="C115" s="2"/>
      <c r="D115" s="193" t="s">
        <v>194</v>
      </c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>
      <c r="A116" s="1"/>
      <c r="B116" s="2"/>
      <c r="C116" s="2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>
      <c r="A117" s="1"/>
      <c r="B117" s="2"/>
      <c r="C117" s="2"/>
      <c r="D117" s="1" t="s">
        <v>195</v>
      </c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>
      <c r="A118" s="1"/>
      <c r="B118" s="2"/>
      <c r="C118" s="2"/>
      <c r="D118" s="193" t="s">
        <v>196</v>
      </c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>
      <c r="A119" s="1"/>
      <c r="B119" s="2"/>
      <c r="C119" s="2"/>
      <c r="D119" s="194" t="s">
        <v>197</v>
      </c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>
      <c r="A120" s="1"/>
      <c r="B120" s="2"/>
      <c r="C120" s="2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2">
    <mergeCell ref="F2:K2"/>
    <mergeCell ref="E21:F21"/>
  </mergeCells>
  <conditionalFormatting sqref="E8">
    <cfRule type="cellIs" dxfId="2" priority="1" operator="greaterThan">
      <formula>$E$6/3*2</formula>
    </cfRule>
  </conditionalFormatting>
  <conditionalFormatting sqref="E8">
    <cfRule type="cellIs" dxfId="1" priority="2" operator="lessThan">
      <formula>0</formula>
    </cfRule>
  </conditionalFormatting>
  <conditionalFormatting sqref="F8">
    <cfRule type="cellIs" dxfId="0" priority="3" operator="equal">
      <formula>"Error!!!"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B01C-8DE5-4CC9-9851-C607E4EC51C9}">
  <dimension ref="B3:I11"/>
  <sheetViews>
    <sheetView workbookViewId="0">
      <selection activeCell="H6" sqref="H6"/>
    </sheetView>
  </sheetViews>
  <sheetFormatPr defaultRowHeight="12.75"/>
  <cols>
    <col min="9" max="9" width="12" bestFit="1" customWidth="1"/>
  </cols>
  <sheetData>
    <row r="3" spans="2:9">
      <c r="G3" t="s">
        <v>202</v>
      </c>
      <c r="H3">
        <v>1490</v>
      </c>
    </row>
    <row r="4" spans="2:9">
      <c r="B4" t="s">
        <v>201</v>
      </c>
      <c r="C4">
        <v>100</v>
      </c>
      <c r="G4" t="s">
        <v>201</v>
      </c>
    </row>
    <row r="5" spans="2:9">
      <c r="B5" t="s">
        <v>201</v>
      </c>
      <c r="C5">
        <v>0</v>
      </c>
      <c r="G5" t="s">
        <v>201</v>
      </c>
      <c r="H5">
        <v>0</v>
      </c>
    </row>
    <row r="6" spans="2:9">
      <c r="B6" t="s">
        <v>198</v>
      </c>
      <c r="C6">
        <v>9.8000000000000007</v>
      </c>
      <c r="G6" t="s">
        <v>198</v>
      </c>
      <c r="H6">
        <v>9.8000000000000007</v>
      </c>
    </row>
    <row r="7" spans="2:9">
      <c r="B7" t="s">
        <v>35</v>
      </c>
      <c r="C7">
        <v>10</v>
      </c>
      <c r="D7" t="s">
        <v>199</v>
      </c>
      <c r="G7" t="s">
        <v>35</v>
      </c>
      <c r="H7">
        <v>10</v>
      </c>
    </row>
    <row r="10" spans="2:9">
      <c r="B10" t="s">
        <v>200</v>
      </c>
      <c r="C10">
        <f>(C6*POWER(C7,2))/2</f>
        <v>490.00000000000006</v>
      </c>
      <c r="G10" t="s">
        <v>203</v>
      </c>
      <c r="H10">
        <f>(H3-((H6*POWER(H7,2))/2))/H7</f>
        <v>100</v>
      </c>
      <c r="I10">
        <f>SQRT(2*H3*H6)</f>
        <v>170.89177862027185</v>
      </c>
    </row>
    <row r="11" spans="2:9">
      <c r="B11" s="195" t="s">
        <v>200</v>
      </c>
      <c r="C11" s="195">
        <f>C4*C7 + (C6*POWER(C7,2))/2</f>
        <v>1490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космос</vt:lpstr>
      <vt:lpstr>планеты</vt:lpstr>
      <vt:lpstr>планеты - развернутая версия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edik</dc:creator>
  <cp:lastModifiedBy>Levchenko, Eduard A</cp:lastModifiedBy>
  <dcterms:created xsi:type="dcterms:W3CDTF">2023-02-27T18:21:24Z</dcterms:created>
  <dcterms:modified xsi:type="dcterms:W3CDTF">2023-04-24T11:53:08Z</dcterms:modified>
</cp:coreProperties>
</file>