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440/Documents/Projects/Rockets/Chloe-database/"/>
    </mc:Choice>
  </mc:AlternateContent>
  <xr:revisionPtr revIDLastSave="0" documentId="13_ncr:1_{9A256005-D26D-BE47-BDD0-0DD646171534}" xr6:coauthVersionLast="36" xr6:coauthVersionMax="44" xr10:uidLastSave="{00000000-0000-0000-0000-000000000000}"/>
  <bookViews>
    <workbookView xWindow="880" yWindow="1000" windowWidth="31700" windowHeight="17260" xr2:uid="{92F1900D-8134-4B27-B48E-D6860F31700E}"/>
  </bookViews>
  <sheets>
    <sheet name="Launch emissions" sheetId="1" r:id="rId1"/>
    <sheet name="Re-entri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3" i="1" l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9" i="1"/>
  <c r="B8" i="1"/>
  <c r="B7" i="1"/>
  <c r="B6" i="1"/>
  <c r="B5" i="1"/>
  <c r="B3" i="1"/>
  <c r="B2" i="1"/>
  <c r="C184" i="2" l="1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O104" i="1" l="1"/>
  <c r="N104" i="1"/>
  <c r="M104" i="1"/>
  <c r="L104" i="1"/>
  <c r="K104" i="1"/>
  <c r="J104" i="1"/>
  <c r="I104" i="1"/>
</calcChain>
</file>

<file path=xl/sharedStrings.xml><?xml version="1.0" encoding="utf-8"?>
<sst xmlns="http://schemas.openxmlformats.org/spreadsheetml/2006/main" count="1076" uniqueCount="324">
  <si>
    <t>ID</t>
  </si>
  <si>
    <t>Time (UTC)</t>
  </si>
  <si>
    <t>Day</t>
  </si>
  <si>
    <t xml:space="preserve">Month </t>
  </si>
  <si>
    <t>Year</t>
  </si>
  <si>
    <t>Latitude</t>
  </si>
  <si>
    <t xml:space="preserve">Longitude </t>
  </si>
  <si>
    <t>Rocket Type</t>
  </si>
  <si>
    <t>2019-001</t>
  </si>
  <si>
    <t>CZ-3B/G3</t>
  </si>
  <si>
    <t>2019-002</t>
  </si>
  <si>
    <t>Falcon-9 v1.2 (Block 5)</t>
  </si>
  <si>
    <t>2019-F01</t>
  </si>
  <si>
    <t>Simorgh</t>
  </si>
  <si>
    <t>2019-003</t>
  </si>
  <si>
    <t>Epsilon (2) CLPS</t>
  </si>
  <si>
    <t>2019-004</t>
  </si>
  <si>
    <t>Delta-4H (upg.)</t>
  </si>
  <si>
    <t>2019-005</t>
  </si>
  <si>
    <t>CZ-11</t>
  </si>
  <si>
    <t>2019-006</t>
  </si>
  <si>
    <t>PSLV-DL</t>
  </si>
  <si>
    <t>2019-007</t>
  </si>
  <si>
    <t>Ariane-5ECA</t>
  </si>
  <si>
    <t>2019-F02</t>
  </si>
  <si>
    <t>Safir-1B</t>
  </si>
  <si>
    <t>2019-008</t>
  </si>
  <si>
    <t>Soyuz-2-1b Fregat-M</t>
  </si>
  <si>
    <t>2019-009</t>
  </si>
  <si>
    <t>2019-010</t>
  </si>
  <si>
    <t>Soyuz-ST-B Fregat-M</t>
  </si>
  <si>
    <t>2019-011</t>
  </si>
  <si>
    <t>Crew Dragon</t>
  </si>
  <si>
    <t>2019-012</t>
  </si>
  <si>
    <t>2019-013</t>
  </si>
  <si>
    <t>Soyuz-FG</t>
  </si>
  <si>
    <t>2019-014</t>
  </si>
  <si>
    <t>Delta-4M+(5,4) (upg.)</t>
  </si>
  <si>
    <t>2019-015</t>
  </si>
  <si>
    <t>Vega</t>
  </si>
  <si>
    <t>2019-F03</t>
  </si>
  <si>
    <t>OS-M1</t>
  </si>
  <si>
    <t>2019-016</t>
  </si>
  <si>
    <t>Electron KS</t>
  </si>
  <si>
    <t>2019-017</t>
  </si>
  <si>
    <t>2019-018</t>
  </si>
  <si>
    <t>PSLV-QL</t>
  </si>
  <si>
    <t>2019-019</t>
  </si>
  <si>
    <t>Soyuz-2-1a</t>
  </si>
  <si>
    <t>2019-020</t>
  </si>
  <si>
    <t>Soyuz-ST-B Fregat-MT</t>
  </si>
  <si>
    <t>2019-021</t>
  </si>
  <si>
    <t>Falcon-Heavy (Block 5)</t>
  </si>
  <si>
    <t>2019-022</t>
  </si>
  <si>
    <t>Antares-230</t>
  </si>
  <si>
    <t>2019-023</t>
  </si>
  <si>
    <t>2019-024</t>
  </si>
  <si>
    <t>CZ-4B</t>
  </si>
  <si>
    <t>2019/025</t>
  </si>
  <si>
    <t>2019/026</t>
  </si>
  <si>
    <t>2019/027</t>
  </si>
  <si>
    <t>CZ-3C/G2</t>
  </si>
  <si>
    <t>2019/028</t>
  </si>
  <si>
    <t>PSLV-CA</t>
  </si>
  <si>
    <t>2019/F04</t>
  </si>
  <si>
    <t>CZ-4C</t>
  </si>
  <si>
    <t>2019/029</t>
  </si>
  <si>
    <t>2019/030</t>
  </si>
  <si>
    <t>2019/031</t>
  </si>
  <si>
    <t>Proton-M Briz-M (Ph.3)</t>
  </si>
  <si>
    <t>2019/032</t>
  </si>
  <si>
    <t>CZ-11H</t>
  </si>
  <si>
    <t>2019/033</t>
  </si>
  <si>
    <t>2019/034</t>
  </si>
  <si>
    <t>2019/035</t>
  </si>
  <si>
    <t>Soyuz MS</t>
  </si>
  <si>
    <t>2019/036</t>
  </si>
  <si>
    <t>2019/037</t>
  </si>
  <si>
    <t>2019/038</t>
  </si>
  <si>
    <t>2019/039</t>
  </si>
  <si>
    <t>Soyuz-2-1v Volga</t>
  </si>
  <si>
    <t>2019/F05</t>
  </si>
  <si>
    <t>2019/040</t>
  </si>
  <si>
    <t>Proton-M Blok-DM-03</t>
  </si>
  <si>
    <t>2019/041</t>
  </si>
  <si>
    <t>2019/042</t>
  </si>
  <si>
    <t>GSLV Mk.3 (2)</t>
  </si>
  <si>
    <t>2019/043</t>
  </si>
  <si>
    <t>Hyperbola-1 (Shian Quxian-1)</t>
  </si>
  <si>
    <t>2019/044</t>
  </si>
  <si>
    <t>2019/045</t>
  </si>
  <si>
    <t>CZ-2C (3)</t>
  </si>
  <si>
    <t>2019/046</t>
  </si>
  <si>
    <t>Soyuz-2-1a Fregat-M</t>
  </si>
  <si>
    <t>2019/047</t>
  </si>
  <si>
    <t>2019/048</t>
  </si>
  <si>
    <t>2019/049</t>
  </si>
  <si>
    <t>Ariane-5ECA+</t>
  </si>
  <si>
    <t>2019/050</t>
  </si>
  <si>
    <t>2019/051</t>
  </si>
  <si>
    <t>Atlas-5(551)</t>
  </si>
  <si>
    <t>2019/052</t>
  </si>
  <si>
    <t>Jielong-1</t>
  </si>
  <si>
    <t>2019/053</t>
  </si>
  <si>
    <t>CZ-3B/G2</t>
  </si>
  <si>
    <t>2019/054</t>
  </si>
  <si>
    <t>2019/055</t>
  </si>
  <si>
    <t>2019/056</t>
  </si>
  <si>
    <t>Delta-4M+(4,2) (upg.)</t>
  </si>
  <si>
    <t>2019/057</t>
  </si>
  <si>
    <t>Rokot-KM</t>
  </si>
  <si>
    <t>2019/058</t>
  </si>
  <si>
    <t>Kuaizhou-1A</t>
  </si>
  <si>
    <t>2019/059</t>
  </si>
  <si>
    <t>2019/060</t>
  </si>
  <si>
    <t>2019/061</t>
  </si>
  <si>
    <t>CZ-3B/G3Z</t>
  </si>
  <si>
    <t>2019/062</t>
  </si>
  <si>
    <t>H-2B-304</t>
  </si>
  <si>
    <t>2019/063</t>
  </si>
  <si>
    <t>CZ-2D (2)</t>
  </si>
  <si>
    <t>2019/064</t>
  </si>
  <si>
    <t>2019/065</t>
  </si>
  <si>
    <t>2019/066</t>
  </si>
  <si>
    <t>2019/067</t>
  </si>
  <si>
    <t>Proton-M Briz-M (Ph.4)</t>
  </si>
  <si>
    <t>2019/068</t>
  </si>
  <si>
    <t>Pegasus-XL</t>
  </si>
  <si>
    <t>2019/069</t>
  </si>
  <si>
    <t>2019/070</t>
  </si>
  <si>
    <t>2019/071</t>
  </si>
  <si>
    <t>Antares-230+</t>
  </si>
  <si>
    <t>2019/072</t>
  </si>
  <si>
    <t>2019/073</t>
  </si>
  <si>
    <t>2019/074</t>
  </si>
  <si>
    <t>2019/075</t>
  </si>
  <si>
    <t>2019/076</t>
  </si>
  <si>
    <t>CZ-6</t>
  </si>
  <si>
    <t>2019/077</t>
  </si>
  <si>
    <t>2019/078</t>
  </si>
  <si>
    <t>2019/079</t>
  </si>
  <si>
    <t>2019/080</t>
  </si>
  <si>
    <t>2019/081</t>
  </si>
  <si>
    <t>PSLV-XL</t>
  </si>
  <si>
    <t>2019/082</t>
  </si>
  <si>
    <t>2019/083</t>
  </si>
  <si>
    <t>2019/084</t>
  </si>
  <si>
    <t>2019/085</t>
  </si>
  <si>
    <t>2019/086</t>
  </si>
  <si>
    <t>2019/087</t>
  </si>
  <si>
    <t>2019/088</t>
  </si>
  <si>
    <t>2019/089</t>
  </si>
  <si>
    <t>2019/090</t>
  </si>
  <si>
    <t>2019/091</t>
  </si>
  <si>
    <t>2019/092</t>
  </si>
  <si>
    <t>Soyuz-ST-A Fregat-M</t>
  </si>
  <si>
    <t>2019/093</t>
  </si>
  <si>
    <t>2019/094</t>
  </si>
  <si>
    <t>Atlas-5(N22)</t>
  </si>
  <si>
    <t>Starliner</t>
  </si>
  <si>
    <t>2019/095</t>
  </si>
  <si>
    <t>2019/096</t>
  </si>
  <si>
    <t>2019/097</t>
  </si>
  <si>
    <t>CZ-5</t>
  </si>
  <si>
    <t>Total</t>
  </si>
  <si>
    <t>Controlled?</t>
  </si>
  <si>
    <t>Part</t>
  </si>
  <si>
    <t>N</t>
  </si>
  <si>
    <t>2018-112H</t>
  </si>
  <si>
    <t>CZ-2D</t>
  </si>
  <si>
    <t>Rocket body</t>
  </si>
  <si>
    <t>2007-049A</t>
  </si>
  <si>
    <t>Cosmos 2430</t>
  </si>
  <si>
    <t>Payload</t>
  </si>
  <si>
    <t>2016-031B</t>
  </si>
  <si>
    <t>Faclon 9</t>
  </si>
  <si>
    <t>Second stage</t>
  </si>
  <si>
    <t>Y</t>
  </si>
  <si>
    <t>First stage</t>
  </si>
  <si>
    <t>1977-093A</t>
  </si>
  <si>
    <t xml:space="preserve">Prognoz 6 </t>
  </si>
  <si>
    <t>2018-004U</t>
  </si>
  <si>
    <t>PSLV</t>
  </si>
  <si>
    <t>2016-077B</t>
  </si>
  <si>
    <t>CZ-3B</t>
  </si>
  <si>
    <t>2002-005B</t>
  </si>
  <si>
    <t>Iridium 90</t>
  </si>
  <si>
    <t>2019-005D</t>
  </si>
  <si>
    <t>2018-104Q</t>
  </si>
  <si>
    <t>Electron</t>
  </si>
  <si>
    <t>2018-083F</t>
  </si>
  <si>
    <t>CZ-2C</t>
  </si>
  <si>
    <t>1975-105D</t>
  </si>
  <si>
    <t>SL-6 (2)</t>
  </si>
  <si>
    <t>1997-002C</t>
  </si>
  <si>
    <t>Ariane 44L</t>
  </si>
  <si>
    <t>1998-067PM</t>
  </si>
  <si>
    <t>RemDeb NET</t>
  </si>
  <si>
    <t>2017-051A</t>
  </si>
  <si>
    <t>IRNSS 1H/PSLV</t>
  </si>
  <si>
    <t>2018-010D</t>
  </si>
  <si>
    <t xml:space="preserve">Electon </t>
  </si>
  <si>
    <t>2018-085B</t>
  </si>
  <si>
    <t>2015-022D</t>
  </si>
  <si>
    <t>Ariane 5 Deb (SYLDA)</t>
  </si>
  <si>
    <t>Debris</t>
  </si>
  <si>
    <t>1997-051B</t>
  </si>
  <si>
    <t>Iridium 32</t>
  </si>
  <si>
    <t>1998-019D</t>
  </si>
  <si>
    <t>Iridium 59</t>
  </si>
  <si>
    <t>2018-056C</t>
  </si>
  <si>
    <t>2002-005A</t>
  </si>
  <si>
    <t>Iridium 91</t>
  </si>
  <si>
    <t>1999-032A</t>
  </si>
  <si>
    <t>Iridium 14</t>
  </si>
  <si>
    <t>1998-019E</t>
  </si>
  <si>
    <t>Iridium 60</t>
  </si>
  <si>
    <t>2019-013B</t>
  </si>
  <si>
    <t>SL-4</t>
  </si>
  <si>
    <t>1975-081D</t>
  </si>
  <si>
    <t>SL-6</t>
  </si>
  <si>
    <t>2002-005D</t>
  </si>
  <si>
    <t>Iridium 95</t>
  </si>
  <si>
    <t>1998-019A</t>
  </si>
  <si>
    <t>Iridium 55</t>
  </si>
  <si>
    <t>1998-021C</t>
  </si>
  <si>
    <t>Iridium 64</t>
  </si>
  <si>
    <t>2018-105B</t>
  </si>
  <si>
    <t>GSLV Mk II</t>
  </si>
  <si>
    <t>1989-070B</t>
  </si>
  <si>
    <t>H-1</t>
  </si>
  <si>
    <t>1998-019C</t>
  </si>
  <si>
    <t>Iridium 58</t>
  </si>
  <si>
    <t>2012-044D</t>
  </si>
  <si>
    <t>Breeze-M</t>
  </si>
  <si>
    <t>First stage &amp; boosters</t>
  </si>
  <si>
    <t>2019-016C</t>
  </si>
  <si>
    <t>2018-090B</t>
  </si>
  <si>
    <t>Falcon 9</t>
  </si>
  <si>
    <t>2019-022B</t>
  </si>
  <si>
    <t>Antares</t>
  </si>
  <si>
    <t>2016-054B</t>
  </si>
  <si>
    <t>2018-056D</t>
  </si>
  <si>
    <t>2012-043D</t>
  </si>
  <si>
    <t>2014-085B</t>
  </si>
  <si>
    <t xml:space="preserve">1998-010C </t>
  </si>
  <si>
    <t>Iridium 54</t>
  </si>
  <si>
    <t xml:space="preserve">1997-043C </t>
  </si>
  <si>
    <t>Iridium 24</t>
  </si>
  <si>
    <t>2018-089B</t>
  </si>
  <si>
    <t>GSLV Mk III</t>
  </si>
  <si>
    <t>2017-076B</t>
  </si>
  <si>
    <t>2019-026D</t>
  </si>
  <si>
    <t>1970-055B</t>
  </si>
  <si>
    <t xml:space="preserve">Delta 1 </t>
  </si>
  <si>
    <t>1977-018D</t>
  </si>
  <si>
    <t>2014-078D</t>
  </si>
  <si>
    <t>2018-037C</t>
  </si>
  <si>
    <t>Breeze-M (TANK)</t>
  </si>
  <si>
    <t>2019-001B</t>
  </si>
  <si>
    <t>2019-037J</t>
  </si>
  <si>
    <t>2018-067C</t>
  </si>
  <si>
    <t>2018-062C</t>
  </si>
  <si>
    <t>1998-018B</t>
  </si>
  <si>
    <t>Iridium 61</t>
  </si>
  <si>
    <t>2019-041B</t>
  </si>
  <si>
    <t>2019-044C</t>
  </si>
  <si>
    <t>Dragon-CRS-18</t>
  </si>
  <si>
    <t>2019-047B</t>
  </si>
  <si>
    <t>2019-003H</t>
  </si>
  <si>
    <t>Epsilon</t>
  </si>
  <si>
    <t>1977-032A</t>
  </si>
  <si>
    <t>Molniya 3-7</t>
  </si>
  <si>
    <t>2019-055B</t>
  </si>
  <si>
    <t>1998-054D</t>
  </si>
  <si>
    <t>2008-012B</t>
  </si>
  <si>
    <t>Delta 2 (PAM-D)</t>
  </si>
  <si>
    <t>2019-064B</t>
  </si>
  <si>
    <t>2016-00C</t>
  </si>
  <si>
    <t>CZ-3C</t>
  </si>
  <si>
    <t>1977-021D</t>
  </si>
  <si>
    <t>2019-042B</t>
  </si>
  <si>
    <t>2019-035B</t>
  </si>
  <si>
    <t>2018-093D</t>
  </si>
  <si>
    <t>2012-018C</t>
  </si>
  <si>
    <t>2010-035G</t>
  </si>
  <si>
    <t>2017-004B</t>
  </si>
  <si>
    <t>Atlas 5 Centaur</t>
  </si>
  <si>
    <t>2019-075B</t>
  </si>
  <si>
    <t>KZ-1A</t>
  </si>
  <si>
    <t>2006-030A</t>
  </si>
  <si>
    <t>Cosmos 2422</t>
  </si>
  <si>
    <t>2010-024B</t>
  </si>
  <si>
    <t>2018-027B</t>
  </si>
  <si>
    <t>2018-057B</t>
  </si>
  <si>
    <t>CZ-3A</t>
  </si>
  <si>
    <t>1977-010E</t>
  </si>
  <si>
    <t>2019-084C</t>
  </si>
  <si>
    <t>2019-094</t>
  </si>
  <si>
    <t>2002-031A</t>
  </si>
  <si>
    <t>Iridium 97</t>
  </si>
  <si>
    <t>2000-048A</t>
  </si>
  <si>
    <t>DM-F3</t>
  </si>
  <si>
    <t>Name</t>
  </si>
  <si>
    <t>Type</t>
  </si>
  <si>
    <t>NOx from re-entry / kg</t>
  </si>
  <si>
    <t>Total Mass / kg</t>
  </si>
  <si>
    <t>2018-098A</t>
  </si>
  <si>
    <t>2019-013A</t>
  </si>
  <si>
    <t>Boosters NOx / kg</t>
  </si>
  <si>
    <t xml:space="preserve">Stage 1 NOx / kg </t>
  </si>
  <si>
    <t>Boosters H2O / kg</t>
  </si>
  <si>
    <t>Stage 1 H2O / kg</t>
  </si>
  <si>
    <t>Boosters CO2 / kg</t>
  </si>
  <si>
    <t>Stage 1 CO2 / kg</t>
  </si>
  <si>
    <t>Boosters BC / kg</t>
  </si>
  <si>
    <t>Stage 1 BC / kg</t>
  </si>
  <si>
    <t>Boosters Alumina / kg</t>
  </si>
  <si>
    <t>Stage 1 Alumina / kg</t>
  </si>
  <si>
    <t>Boosters HCl / kg</t>
  </si>
  <si>
    <t>Stage 1 HCl / kg</t>
  </si>
  <si>
    <t>Boosters Cl / kg</t>
  </si>
  <si>
    <t>Stage 1 Cl / kg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</si>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</sst>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  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1" fontId="0" fillId="0" borderId="2" xfId="0" applyNumberFormat="1" applyFill="1" applyBorder="1"/>
    <xf numFmtId="1" fontId="0" fillId="0" borderId="3" xfId="0" applyNumberFormat="1" applyFill="1" applyBorder="1"/>
    <xf numFmtId="1" fontId="0" fillId="0" borderId="4" xfId="0" applyNumberFormat="1" applyFill="1" applyBorder="1"/>
    <xf numFmtId="0" fontId="0" fillId="0" borderId="5" xfId="0" applyFill="1" applyBorder="1"/>
    <xf numFmtId="0" fontId="0" fillId="0" borderId="6" xfId="0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4" fontId="0" fillId="0" borderId="5" xfId="0" applyNumberForma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1" fontId="0" fillId="0" borderId="9" xfId="0" applyNumberFormat="1" applyFill="1" applyBorder="1"/>
    <xf numFmtId="11" fontId="0" fillId="0" borderId="0" xfId="0" applyNumberFormat="1" applyFill="1"/>
    <xf numFmtId="0" fontId="0" fillId="0" borderId="0" xfId="0" applyFill="1" applyBorder="1"/>
    <xf numFmtId="164" fontId="2" fillId="0" borderId="2" xfId="1" applyNumberFormat="1" applyFont="1" applyFill="1" applyBorder="1"/>
    <xf numFmtId="164" fontId="2" fillId="0" borderId="4" xfId="1" applyNumberFormat="1" applyFont="1" applyFill="1" applyBorder="1"/>
    <xf numFmtId="164" fontId="0" fillId="0" borderId="5" xfId="0" applyNumberFormat="1" applyFill="1" applyBorder="1"/>
    <xf numFmtId="164" fontId="0" fillId="0" borderId="6" xfId="0" applyNumberFormat="1" applyFill="1" applyBorder="1"/>
    <xf numFmtId="164" fontId="2" fillId="0" borderId="5" xfId="0" applyNumberFormat="1" applyFont="1" applyFill="1" applyBorder="1"/>
    <xf numFmtId="164" fontId="2" fillId="0" borderId="6" xfId="0" applyNumberFormat="1" applyFont="1" applyFill="1" applyBorder="1"/>
    <xf numFmtId="164" fontId="3" fillId="0" borderId="5" xfId="0" applyNumberFormat="1" applyFont="1" applyFill="1" applyBorder="1"/>
    <xf numFmtId="164" fontId="0" fillId="0" borderId="7" xfId="0" applyNumberFormat="1" applyFill="1" applyBorder="1"/>
    <xf numFmtId="164" fontId="0" fillId="0" borderId="9" xfId="0" applyNumberFormat="1" applyFill="1" applyBorder="1"/>
    <xf numFmtId="0" fontId="0" fillId="0" borderId="11" xfId="0" applyFill="1" applyBorder="1"/>
    <xf numFmtId="0" fontId="0" fillId="0" borderId="10" xfId="0" applyBorder="1"/>
    <xf numFmtId="0" fontId="0" fillId="0" borderId="11" xfId="0" applyBorder="1"/>
    <xf numFmtId="164" fontId="0" fillId="0" borderId="5" xfId="0" applyNumberFormat="1" applyBorder="1"/>
    <xf numFmtId="164" fontId="0" fillId="0" borderId="6" xfId="0" applyNumberFormat="1" applyBorder="1"/>
    <xf numFmtId="164" fontId="4" fillId="0" borderId="5" xfId="0" applyNumberFormat="1" applyFont="1" applyBorder="1"/>
    <xf numFmtId="164" fontId="4" fillId="0" borderId="6" xfId="0" applyNumberFormat="1" applyFont="1" applyBorder="1"/>
    <xf numFmtId="0" fontId="0" fillId="0" borderId="12" xfId="0" applyBorder="1"/>
    <xf numFmtId="164" fontId="0" fillId="0" borderId="10" xfId="0" applyNumberFormat="1" applyBorder="1"/>
    <xf numFmtId="1" fontId="0" fillId="0" borderId="4" xfId="0" applyNumberFormat="1" applyBorder="1"/>
    <xf numFmtId="164" fontId="0" fillId="0" borderId="11" xfId="0" applyNumberFormat="1" applyBorder="1"/>
    <xf numFmtId="0" fontId="0" fillId="0" borderId="0" xfId="0" applyBorder="1"/>
    <xf numFmtId="1" fontId="0" fillId="0" borderId="6" xfId="0" applyNumberFormat="1" applyBorder="1"/>
    <xf numFmtId="164" fontId="2" fillId="0" borderId="5" xfId="1" applyNumberFormat="1" applyFont="1" applyFill="1" applyBorder="1"/>
    <xf numFmtId="164" fontId="2" fillId="0" borderId="6" xfId="1" applyNumberFormat="1" applyFont="1" applyFill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164" fontId="3" fillId="0" borderId="5" xfId="0" applyNumberFormat="1" applyFont="1" applyBorder="1"/>
    <xf numFmtId="14" fontId="0" fillId="0" borderId="11" xfId="0" applyNumberFormat="1" applyFill="1" applyBorder="1"/>
    <xf numFmtId="164" fontId="0" fillId="0" borderId="12" xfId="0" applyNumberFormat="1" applyBorder="1"/>
    <xf numFmtId="1" fontId="0" fillId="0" borderId="9" xfId="0" applyNumberFormat="1" applyBorder="1"/>
    <xf numFmtId="164" fontId="0" fillId="0" borderId="3" xfId="0" applyNumberFormat="1" applyBorder="1"/>
    <xf numFmtId="164" fontId="0" fillId="0" borderId="0" xfId="0" applyNumberFormat="1"/>
    <xf numFmtId="1" fontId="0" fillId="0" borderId="0" xfId="0" applyNumberFormat="1" applyFill="1" applyBorder="1"/>
    <xf numFmtId="1" fontId="0" fillId="0" borderId="0" xfId="0" applyNumberFormat="1" applyBorder="1"/>
    <xf numFmtId="164" fontId="0" fillId="0" borderId="8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DF328-511B-4F3E-9BB8-5335B87E6BF2}">
  <dimension ref="A1:V104"/>
  <sheetViews>
    <sheetView tabSelected="1" zoomScale="110" zoomScaleNormal="110" workbookViewId="0">
      <selection activeCell="I108" sqref="I108"/>
    </sheetView>
  </sheetViews>
  <sheetFormatPr baseColWidth="10" defaultColWidth="8.83203125" defaultRowHeight="15"/>
  <cols>
    <col min="1" max="1" width="10.5" bestFit="1" customWidth="1"/>
    <col min="2" max="2" width="13.1640625" customWidth="1"/>
    <col min="3" max="3" width="7.33203125" customWidth="1"/>
    <col min="4" max="4" width="8.6640625" customWidth="1"/>
    <col min="5" max="5" width="8.33203125" customWidth="1"/>
    <col min="6" max="6" width="13.33203125" customWidth="1"/>
    <col min="7" max="7" width="12.1640625" customWidth="1"/>
    <col min="8" max="8" width="24.1640625" customWidth="1"/>
    <col min="9" max="9" width="12.6640625" customWidth="1"/>
    <col min="10" max="10" width="10.83203125" customWidth="1"/>
    <col min="11" max="11" width="14.1640625" customWidth="1"/>
    <col min="12" max="12" width="13.83203125" customWidth="1"/>
    <col min="13" max="13" width="13.5" customWidth="1"/>
    <col min="14" max="14" width="11.83203125" customWidth="1"/>
    <col min="15" max="15" width="15.5" customWidth="1"/>
  </cols>
  <sheetData>
    <row r="1" spans="1:2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39" t="s">
        <v>309</v>
      </c>
      <c r="J1" s="39" t="s">
        <v>310</v>
      </c>
      <c r="K1" s="39" t="s">
        <v>311</v>
      </c>
      <c r="L1" s="39" t="s">
        <v>312</v>
      </c>
      <c r="M1" s="39" t="s">
        <v>313</v>
      </c>
      <c r="N1" s="39" t="s">
        <v>314</v>
      </c>
      <c r="O1" s="39" t="s">
        <v>315</v>
      </c>
      <c r="P1" s="39" t="s">
        <v>316</v>
      </c>
      <c r="Q1" s="39" t="s">
        <v>317</v>
      </c>
      <c r="R1" s="39" t="s">
        <v>318</v>
      </c>
      <c r="S1" s="39" t="s">
        <v>319</v>
      </c>
      <c r="T1" s="39" t="s">
        <v>320</v>
      </c>
      <c r="U1" s="39" t="s">
        <v>321</v>
      </c>
      <c r="V1" s="39" t="s">
        <v>322</v>
      </c>
    </row>
    <row r="2" spans="1:22">
      <c r="A2" s="11" t="s">
        <v>8</v>
      </c>
      <c r="B2" s="60">
        <f>17+5/60</f>
        <v>17.083333333333332</v>
      </c>
      <c r="C2" s="11">
        <v>10</v>
      </c>
      <c r="D2" s="12">
        <v>1</v>
      </c>
      <c r="E2" s="13">
        <v>2019</v>
      </c>
      <c r="F2" s="30">
        <v>28.245999999999999</v>
      </c>
      <c r="G2" s="31">
        <v>102.027</v>
      </c>
      <c r="H2" s="13" t="s">
        <v>9</v>
      </c>
      <c r="I2" s="14">
        <v>1096</v>
      </c>
      <c r="J2" s="16">
        <v>1241.3333333333333</v>
      </c>
      <c r="K2" s="14">
        <v>20824</v>
      </c>
      <c r="L2" s="16">
        <v>23585.333333333332</v>
      </c>
      <c r="M2" s="14">
        <v>18084</v>
      </c>
      <c r="N2" s="16">
        <v>20482</v>
      </c>
      <c r="O2" s="15">
        <v>219.20000000000002</v>
      </c>
      <c r="P2" s="15">
        <v>248.26666666666665</v>
      </c>
      <c r="Q2" s="14">
        <v>0</v>
      </c>
      <c r="R2" s="16">
        <v>0</v>
      </c>
      <c r="S2" s="15">
        <v>0</v>
      </c>
      <c r="T2" s="15">
        <v>0</v>
      </c>
      <c r="U2" s="14">
        <v>0</v>
      </c>
      <c r="V2" s="48">
        <v>0</v>
      </c>
    </row>
    <row r="3" spans="1:22">
      <c r="A3" s="17" t="s">
        <v>10</v>
      </c>
      <c r="B3" s="61">
        <f>15+31/60</f>
        <v>15.516666666666667</v>
      </c>
      <c r="C3" s="17">
        <v>11</v>
      </c>
      <c r="D3" s="29">
        <v>1</v>
      </c>
      <c r="E3" s="18">
        <v>2019</v>
      </c>
      <c r="F3" s="32">
        <v>34.631999999999998</v>
      </c>
      <c r="G3" s="33">
        <v>-120.611</v>
      </c>
      <c r="H3" s="18" t="s">
        <v>11</v>
      </c>
      <c r="I3" s="19">
        <v>0</v>
      </c>
      <c r="J3" s="20">
        <v>1646.5730337078653</v>
      </c>
      <c r="K3" s="19">
        <v>0</v>
      </c>
      <c r="L3" s="20">
        <v>35283.707865168537</v>
      </c>
      <c r="M3" s="19">
        <v>0</v>
      </c>
      <c r="N3" s="20">
        <v>94089.887640449451</v>
      </c>
      <c r="O3" s="62">
        <v>0</v>
      </c>
      <c r="P3" s="62">
        <v>4116.4325842696635</v>
      </c>
      <c r="Q3" s="19">
        <v>0</v>
      </c>
      <c r="R3" s="20">
        <v>0</v>
      </c>
      <c r="S3" s="62">
        <v>0</v>
      </c>
      <c r="T3" s="62">
        <v>0</v>
      </c>
      <c r="U3" s="19">
        <v>0</v>
      </c>
      <c r="V3" s="51">
        <v>0</v>
      </c>
    </row>
    <row r="4" spans="1:22">
      <c r="A4" s="17" t="s">
        <v>12</v>
      </c>
      <c r="B4" t="s">
        <v>323</v>
      </c>
      <c r="C4" s="17">
        <v>15</v>
      </c>
      <c r="D4" s="29">
        <v>1</v>
      </c>
      <c r="E4" s="18">
        <v>2019</v>
      </c>
      <c r="F4" s="32">
        <v>35.238</v>
      </c>
      <c r="G4" s="33">
        <v>53.951000000000001</v>
      </c>
      <c r="H4" s="18" t="s">
        <v>13</v>
      </c>
      <c r="I4" s="19">
        <v>0</v>
      </c>
      <c r="J4" s="20">
        <v>333.33333333333337</v>
      </c>
      <c r="K4" s="19">
        <v>0</v>
      </c>
      <c r="L4" s="20">
        <v>6333.3333333333339</v>
      </c>
      <c r="M4" s="19">
        <v>0</v>
      </c>
      <c r="N4" s="20">
        <v>5500.0000000000009</v>
      </c>
      <c r="O4" s="62">
        <v>0</v>
      </c>
      <c r="P4" s="62">
        <v>66.666666666666671</v>
      </c>
      <c r="Q4" s="19">
        <v>0</v>
      </c>
      <c r="R4" s="20">
        <v>0</v>
      </c>
      <c r="S4" s="62">
        <v>0</v>
      </c>
      <c r="T4" s="62">
        <v>0</v>
      </c>
      <c r="U4" s="19">
        <v>0</v>
      </c>
      <c r="V4" s="51">
        <v>0</v>
      </c>
    </row>
    <row r="5" spans="1:22">
      <c r="A5" s="17" t="s">
        <v>14</v>
      </c>
      <c r="B5" s="61">
        <f>50/60</f>
        <v>0.83333333333333337</v>
      </c>
      <c r="C5" s="17">
        <v>18</v>
      </c>
      <c r="D5" s="29">
        <v>1</v>
      </c>
      <c r="E5" s="18">
        <v>2019</v>
      </c>
      <c r="F5" s="32">
        <v>31.251000000000001</v>
      </c>
      <c r="G5" s="33">
        <v>131.08199999999999</v>
      </c>
      <c r="H5" s="18" t="s">
        <v>15</v>
      </c>
      <c r="I5" s="19">
        <v>0</v>
      </c>
      <c r="J5" s="20">
        <v>217.8</v>
      </c>
      <c r="K5" s="19">
        <v>0</v>
      </c>
      <c r="L5" s="20">
        <v>24420</v>
      </c>
      <c r="M5" s="19">
        <v>0</v>
      </c>
      <c r="N5" s="20">
        <v>20460</v>
      </c>
      <c r="O5" s="62">
        <v>0</v>
      </c>
      <c r="P5" s="62">
        <v>264</v>
      </c>
      <c r="Q5" s="19">
        <v>0</v>
      </c>
      <c r="R5" s="20">
        <v>25080</v>
      </c>
      <c r="S5" s="62">
        <v>0</v>
      </c>
      <c r="T5" s="62">
        <v>13860</v>
      </c>
      <c r="U5" s="19">
        <v>0</v>
      </c>
      <c r="V5" s="51">
        <v>184.8</v>
      </c>
    </row>
    <row r="6" spans="1:22">
      <c r="A6" s="17" t="s">
        <v>16</v>
      </c>
      <c r="B6" s="61">
        <f>19+5/60</f>
        <v>19.083333333333332</v>
      </c>
      <c r="C6" s="17">
        <v>19</v>
      </c>
      <c r="D6" s="29">
        <v>1</v>
      </c>
      <c r="E6" s="18">
        <v>2019</v>
      </c>
      <c r="F6" s="32">
        <v>34.582000000000001</v>
      </c>
      <c r="G6" s="33">
        <v>-120.626</v>
      </c>
      <c r="H6" s="18" t="s">
        <v>17</v>
      </c>
      <c r="I6" s="19">
        <v>1904</v>
      </c>
      <c r="J6" s="20">
        <v>952</v>
      </c>
      <c r="K6" s="19">
        <v>58285.714285714283</v>
      </c>
      <c r="L6" s="20">
        <v>29142.857142857141</v>
      </c>
      <c r="M6" s="19">
        <v>0</v>
      </c>
      <c r="N6" s="20">
        <v>0</v>
      </c>
      <c r="O6" s="62">
        <v>0</v>
      </c>
      <c r="P6" s="62">
        <v>0</v>
      </c>
      <c r="Q6" s="19">
        <v>0</v>
      </c>
      <c r="R6" s="20">
        <v>0</v>
      </c>
      <c r="S6" s="62">
        <v>0</v>
      </c>
      <c r="T6" s="62">
        <v>0</v>
      </c>
      <c r="U6" s="19">
        <v>0</v>
      </c>
      <c r="V6" s="51">
        <v>0</v>
      </c>
    </row>
    <row r="7" spans="1:22">
      <c r="A7" s="17" t="s">
        <v>18</v>
      </c>
      <c r="B7" s="61">
        <f>5+42/60</f>
        <v>5.7</v>
      </c>
      <c r="C7" s="17">
        <v>21</v>
      </c>
      <c r="D7" s="29">
        <v>1</v>
      </c>
      <c r="E7" s="18">
        <v>2019</v>
      </c>
      <c r="F7" s="34">
        <v>40.960999999999999</v>
      </c>
      <c r="G7" s="35">
        <v>100.298</v>
      </c>
      <c r="H7" s="18" t="s">
        <v>19</v>
      </c>
      <c r="I7" s="19">
        <v>0</v>
      </c>
      <c r="J7" s="20">
        <v>115.5</v>
      </c>
      <c r="K7" s="19">
        <v>0</v>
      </c>
      <c r="L7" s="20">
        <v>12950</v>
      </c>
      <c r="M7" s="19">
        <v>0</v>
      </c>
      <c r="N7" s="20">
        <v>10850</v>
      </c>
      <c r="O7" s="62">
        <v>0</v>
      </c>
      <c r="P7" s="62">
        <v>140</v>
      </c>
      <c r="Q7" s="19">
        <v>0</v>
      </c>
      <c r="R7" s="20">
        <v>13300</v>
      </c>
      <c r="S7" s="62">
        <v>0</v>
      </c>
      <c r="T7" s="62">
        <v>7350</v>
      </c>
      <c r="U7" s="19">
        <v>0</v>
      </c>
      <c r="V7" s="51">
        <v>98</v>
      </c>
    </row>
    <row r="8" spans="1:22">
      <c r="A8" s="17" t="s">
        <v>20</v>
      </c>
      <c r="B8" s="61">
        <f>18+7/60</f>
        <v>18.116666666666667</v>
      </c>
      <c r="C8" s="17">
        <v>24</v>
      </c>
      <c r="D8" s="29">
        <v>1</v>
      </c>
      <c r="E8" s="18">
        <v>2019</v>
      </c>
      <c r="F8" s="32">
        <v>13.72</v>
      </c>
      <c r="G8" s="33">
        <v>80.23</v>
      </c>
      <c r="H8" s="18" t="s">
        <v>21</v>
      </c>
      <c r="I8" s="19">
        <v>79.2</v>
      </c>
      <c r="J8" s="20">
        <v>455.4</v>
      </c>
      <c r="K8" s="19">
        <v>8880</v>
      </c>
      <c r="L8" s="20">
        <v>51060</v>
      </c>
      <c r="M8" s="19">
        <v>7440</v>
      </c>
      <c r="N8" s="20">
        <v>42780</v>
      </c>
      <c r="O8" s="62">
        <v>96</v>
      </c>
      <c r="P8" s="62">
        <v>552</v>
      </c>
      <c r="Q8" s="19">
        <v>9120</v>
      </c>
      <c r="R8" s="20">
        <v>52440</v>
      </c>
      <c r="S8" s="62">
        <v>5040</v>
      </c>
      <c r="T8" s="62">
        <v>28980</v>
      </c>
      <c r="U8" s="19">
        <v>67.2</v>
      </c>
      <c r="V8" s="51">
        <v>386.4</v>
      </c>
    </row>
    <row r="9" spans="1:22">
      <c r="A9" s="17" t="s">
        <v>22</v>
      </c>
      <c r="B9" s="61">
        <f>21+1/60</f>
        <v>21.016666666666666</v>
      </c>
      <c r="C9" s="17">
        <v>5</v>
      </c>
      <c r="D9" s="29">
        <v>2</v>
      </c>
      <c r="E9" s="18">
        <v>2019</v>
      </c>
      <c r="F9" s="32">
        <v>5.2389999999999999</v>
      </c>
      <c r="G9" s="33">
        <v>-52.768999999999998</v>
      </c>
      <c r="H9" s="18" t="s">
        <v>23</v>
      </c>
      <c r="I9" s="19">
        <v>1584</v>
      </c>
      <c r="J9" s="20">
        <v>816.66666666666674</v>
      </c>
      <c r="K9" s="19">
        <v>177600</v>
      </c>
      <c r="L9" s="20">
        <v>25000</v>
      </c>
      <c r="M9" s="19">
        <v>148800</v>
      </c>
      <c r="N9" s="20">
        <v>0</v>
      </c>
      <c r="O9" s="62">
        <v>1920</v>
      </c>
      <c r="P9" s="62">
        <v>0</v>
      </c>
      <c r="Q9" s="19">
        <v>182400</v>
      </c>
      <c r="R9" s="20">
        <v>0</v>
      </c>
      <c r="S9" s="62">
        <v>100800</v>
      </c>
      <c r="T9" s="62">
        <v>0</v>
      </c>
      <c r="U9" s="19">
        <v>1344</v>
      </c>
      <c r="V9" s="51">
        <v>0</v>
      </c>
    </row>
    <row r="10" spans="1:22">
      <c r="A10" s="17" t="s">
        <v>24</v>
      </c>
      <c r="B10" t="s">
        <v>323</v>
      </c>
      <c r="C10" s="17">
        <v>5</v>
      </c>
      <c r="D10" s="29">
        <v>2</v>
      </c>
      <c r="E10" s="18">
        <v>2019</v>
      </c>
      <c r="F10" s="32">
        <v>35.234000000000002</v>
      </c>
      <c r="G10" s="33">
        <v>53.920999999999999</v>
      </c>
      <c r="H10" s="18" t="s">
        <v>25</v>
      </c>
      <c r="I10" s="19">
        <v>0</v>
      </c>
      <c r="J10" s="20">
        <v>121.33333333333334</v>
      </c>
      <c r="K10" s="19">
        <v>0</v>
      </c>
      <c r="L10" s="20">
        <v>2305.3333333333335</v>
      </c>
      <c r="M10" s="19">
        <v>0</v>
      </c>
      <c r="N10" s="20">
        <v>2002.0000000000002</v>
      </c>
      <c r="O10" s="62">
        <v>0</v>
      </c>
      <c r="P10" s="62">
        <v>24.266666666666669</v>
      </c>
      <c r="Q10" s="19">
        <v>0</v>
      </c>
      <c r="R10" s="20">
        <v>0</v>
      </c>
      <c r="S10" s="62">
        <v>0</v>
      </c>
      <c r="T10" s="62">
        <v>0</v>
      </c>
      <c r="U10" s="19">
        <v>0</v>
      </c>
      <c r="V10" s="51">
        <v>0</v>
      </c>
    </row>
    <row r="11" spans="1:22">
      <c r="A11" s="17" t="s">
        <v>26</v>
      </c>
      <c r="B11" s="61">
        <f>16+47/60</f>
        <v>16.783333333333335</v>
      </c>
      <c r="C11" s="17">
        <v>21</v>
      </c>
      <c r="D11" s="29">
        <v>2</v>
      </c>
      <c r="E11" s="18">
        <v>2019</v>
      </c>
      <c r="F11" s="32">
        <v>45.996000000000002</v>
      </c>
      <c r="G11" s="33">
        <v>63.564</v>
      </c>
      <c r="H11" s="18" t="s">
        <v>27</v>
      </c>
      <c r="I11" s="19">
        <v>622.92134831460669</v>
      </c>
      <c r="J11" s="51">
        <v>365.53370786516859</v>
      </c>
      <c r="K11" s="19">
        <v>13348.314606741573</v>
      </c>
      <c r="L11" s="51">
        <v>7832.8651685393261</v>
      </c>
      <c r="M11" s="19">
        <v>35595.505617977527</v>
      </c>
      <c r="N11" s="51">
        <v>20887.640449438204</v>
      </c>
      <c r="O11" s="62">
        <v>1557.303370786517</v>
      </c>
      <c r="P11" s="63">
        <v>913.83426966292143</v>
      </c>
      <c r="Q11" s="19">
        <v>0</v>
      </c>
      <c r="R11" s="20">
        <v>0</v>
      </c>
      <c r="S11" s="62">
        <v>0</v>
      </c>
      <c r="T11" s="62">
        <v>0</v>
      </c>
      <c r="U11" s="19">
        <v>0</v>
      </c>
      <c r="V11" s="51">
        <v>0</v>
      </c>
    </row>
    <row r="12" spans="1:22">
      <c r="A12" s="17" t="s">
        <v>28</v>
      </c>
      <c r="B12" s="61">
        <f>1+45/60</f>
        <v>1.75</v>
      </c>
      <c r="C12" s="17">
        <v>22</v>
      </c>
      <c r="D12" s="29">
        <v>2</v>
      </c>
      <c r="E12" s="18">
        <v>2019</v>
      </c>
      <c r="F12" s="32">
        <v>28.562000000000001</v>
      </c>
      <c r="G12" s="33">
        <v>-80.576999999999998</v>
      </c>
      <c r="H12" s="18" t="s">
        <v>11</v>
      </c>
      <c r="I12" s="19">
        <v>0</v>
      </c>
      <c r="J12" s="20">
        <v>1646.5730337078653</v>
      </c>
      <c r="K12" s="19">
        <v>0</v>
      </c>
      <c r="L12" s="20">
        <v>35283.707865168537</v>
      </c>
      <c r="M12" s="19">
        <v>0</v>
      </c>
      <c r="N12" s="20">
        <v>94089.887640449451</v>
      </c>
      <c r="O12" s="62">
        <v>0</v>
      </c>
      <c r="P12" s="62">
        <v>4116.4325842696635</v>
      </c>
      <c r="Q12" s="19">
        <v>0</v>
      </c>
      <c r="R12" s="20">
        <v>0</v>
      </c>
      <c r="S12" s="62">
        <v>0</v>
      </c>
      <c r="T12" s="62">
        <v>0</v>
      </c>
      <c r="U12" s="19">
        <v>0</v>
      </c>
      <c r="V12" s="51">
        <v>0</v>
      </c>
    </row>
    <row r="13" spans="1:22">
      <c r="A13" s="17" t="s">
        <v>29</v>
      </c>
      <c r="B13" s="61">
        <f>21+37/60</f>
        <v>21.616666666666667</v>
      </c>
      <c r="C13" s="17">
        <v>27</v>
      </c>
      <c r="D13" s="29">
        <v>2</v>
      </c>
      <c r="E13" s="18">
        <v>2019</v>
      </c>
      <c r="F13" s="32">
        <v>5.3010000000000002</v>
      </c>
      <c r="G13" s="33">
        <v>-52.837000000000003</v>
      </c>
      <c r="H13" s="18" t="s">
        <v>30</v>
      </c>
      <c r="I13" s="19">
        <v>622.92134831460669</v>
      </c>
      <c r="J13" s="51">
        <v>365.53370786516859</v>
      </c>
      <c r="K13" s="19">
        <v>13348.314606741573</v>
      </c>
      <c r="L13" s="51">
        <v>7832.8651685393261</v>
      </c>
      <c r="M13" s="19">
        <v>35595.505617977527</v>
      </c>
      <c r="N13" s="51">
        <v>20887.640449438204</v>
      </c>
      <c r="O13" s="62">
        <v>1557.303370786517</v>
      </c>
      <c r="P13" s="63">
        <v>913.83426966292143</v>
      </c>
      <c r="Q13" s="19">
        <v>0</v>
      </c>
      <c r="R13" s="20">
        <v>0</v>
      </c>
      <c r="S13" s="62">
        <v>0</v>
      </c>
      <c r="T13" s="62">
        <v>0</v>
      </c>
      <c r="U13" s="19">
        <v>0</v>
      </c>
      <c r="V13" s="51">
        <v>0</v>
      </c>
    </row>
    <row r="14" spans="1:22">
      <c r="A14" s="17" t="s">
        <v>31</v>
      </c>
      <c r="B14" s="61">
        <f>7+49/60</f>
        <v>7.8166666666666664</v>
      </c>
      <c r="C14" s="17">
        <v>2</v>
      </c>
      <c r="D14" s="29">
        <v>3</v>
      </c>
      <c r="E14" s="18">
        <v>2019</v>
      </c>
      <c r="F14" s="32">
        <v>28.608000000000001</v>
      </c>
      <c r="G14" s="33">
        <v>-80.603999999999999</v>
      </c>
      <c r="H14" s="18" t="s">
        <v>11</v>
      </c>
      <c r="I14" s="19">
        <v>0</v>
      </c>
      <c r="J14" s="20">
        <v>1646.5730337078653</v>
      </c>
      <c r="K14" s="19">
        <v>0</v>
      </c>
      <c r="L14" s="20">
        <v>35283.707865168537</v>
      </c>
      <c r="M14" s="19">
        <v>0</v>
      </c>
      <c r="N14" s="20">
        <v>94089.887640449451</v>
      </c>
      <c r="O14" s="62">
        <v>0</v>
      </c>
      <c r="P14" s="62">
        <v>4116.4325842696635</v>
      </c>
      <c r="Q14" s="19">
        <v>0</v>
      </c>
      <c r="R14" s="20">
        <v>0</v>
      </c>
      <c r="S14" s="62">
        <v>0</v>
      </c>
      <c r="T14" s="62">
        <v>0</v>
      </c>
      <c r="U14" s="19">
        <v>0</v>
      </c>
      <c r="V14" s="51">
        <v>0</v>
      </c>
    </row>
    <row r="15" spans="1:22">
      <c r="A15" s="17" t="s">
        <v>33</v>
      </c>
      <c r="B15" s="61">
        <f>17+28/60</f>
        <v>17.466666666666665</v>
      </c>
      <c r="C15" s="17">
        <v>9</v>
      </c>
      <c r="D15" s="29">
        <v>3</v>
      </c>
      <c r="E15" s="18">
        <v>2019</v>
      </c>
      <c r="F15" s="32">
        <v>28.247</v>
      </c>
      <c r="G15" s="33">
        <v>102.029</v>
      </c>
      <c r="H15" s="18" t="s">
        <v>9</v>
      </c>
      <c r="I15" s="19">
        <v>1096</v>
      </c>
      <c r="J15" s="20">
        <v>1241.3333333333333</v>
      </c>
      <c r="K15" s="19">
        <v>20824</v>
      </c>
      <c r="L15" s="20">
        <v>23585.333333333332</v>
      </c>
      <c r="M15" s="19">
        <v>18084</v>
      </c>
      <c r="N15" s="20">
        <v>20482</v>
      </c>
      <c r="O15" s="62">
        <v>219.20000000000002</v>
      </c>
      <c r="P15" s="62">
        <v>248.26666666666665</v>
      </c>
      <c r="Q15" s="19">
        <v>0</v>
      </c>
      <c r="R15" s="20">
        <v>0</v>
      </c>
      <c r="S15" s="62">
        <v>0</v>
      </c>
      <c r="T15" s="62">
        <v>0</v>
      </c>
      <c r="U15" s="19">
        <v>0</v>
      </c>
      <c r="V15" s="51">
        <v>0</v>
      </c>
    </row>
    <row r="16" spans="1:22">
      <c r="A16" s="17" t="s">
        <v>34</v>
      </c>
      <c r="B16" s="61">
        <f>19+14/60</f>
        <v>19.233333333333334</v>
      </c>
      <c r="C16" s="17">
        <v>14</v>
      </c>
      <c r="D16" s="29">
        <v>3</v>
      </c>
      <c r="E16" s="18">
        <v>2019</v>
      </c>
      <c r="F16" s="32">
        <v>45.92</v>
      </c>
      <c r="G16" s="33">
        <v>63.341999999999999</v>
      </c>
      <c r="H16" s="18" t="s">
        <v>35</v>
      </c>
      <c r="I16" s="19">
        <v>622.92134831460669</v>
      </c>
      <c r="J16" s="51">
        <v>365.53370786516859</v>
      </c>
      <c r="K16" s="19">
        <v>13348.314606741573</v>
      </c>
      <c r="L16" s="51">
        <v>7832.8651685393261</v>
      </c>
      <c r="M16" s="19">
        <v>35595.505617977527</v>
      </c>
      <c r="N16" s="51">
        <v>20887.640449438204</v>
      </c>
      <c r="O16" s="62">
        <v>1557.303370786517</v>
      </c>
      <c r="P16" s="63">
        <v>913.83426966292143</v>
      </c>
      <c r="Q16" s="19">
        <v>0</v>
      </c>
      <c r="R16" s="20">
        <v>0</v>
      </c>
      <c r="S16" s="62">
        <v>0</v>
      </c>
      <c r="T16" s="62">
        <v>0</v>
      </c>
      <c r="U16" s="19">
        <v>0</v>
      </c>
      <c r="V16" s="51">
        <v>0</v>
      </c>
    </row>
    <row r="17" spans="1:22">
      <c r="A17" s="17" t="s">
        <v>36</v>
      </c>
      <c r="B17" s="61">
        <f>26/60</f>
        <v>0.43333333333333335</v>
      </c>
      <c r="C17" s="17">
        <v>16</v>
      </c>
      <c r="D17" s="29">
        <v>3</v>
      </c>
      <c r="E17" s="18">
        <v>2019</v>
      </c>
      <c r="F17" s="32">
        <v>28.530999999999999</v>
      </c>
      <c r="G17" s="33">
        <v>-80.564999999999998</v>
      </c>
      <c r="H17" s="18" t="s">
        <v>37</v>
      </c>
      <c r="I17" s="19">
        <v>392.04</v>
      </c>
      <c r="J17" s="20">
        <v>952.00000000000011</v>
      </c>
      <c r="K17" s="19">
        <v>43956</v>
      </c>
      <c r="L17" s="20">
        <v>29142.857142857141</v>
      </c>
      <c r="M17" s="19">
        <v>36828</v>
      </c>
      <c r="N17" s="20">
        <v>0</v>
      </c>
      <c r="O17" s="62">
        <v>475.2</v>
      </c>
      <c r="P17" s="62">
        <v>0</v>
      </c>
      <c r="Q17" s="19">
        <v>45144</v>
      </c>
      <c r="R17" s="20">
        <v>0</v>
      </c>
      <c r="S17" s="62">
        <v>24948</v>
      </c>
      <c r="T17" s="62">
        <v>0</v>
      </c>
      <c r="U17" s="19">
        <v>332.64</v>
      </c>
      <c r="V17" s="51">
        <v>0</v>
      </c>
    </row>
    <row r="18" spans="1:22">
      <c r="A18" s="17" t="s">
        <v>38</v>
      </c>
      <c r="B18" s="61">
        <f>1+50/60</f>
        <v>1.8333333333333335</v>
      </c>
      <c r="C18" s="17">
        <v>22</v>
      </c>
      <c r="D18" s="29">
        <v>3</v>
      </c>
      <c r="E18" s="18">
        <v>2019</v>
      </c>
      <c r="F18" s="32">
        <v>5.2359999999999998</v>
      </c>
      <c r="G18" s="33">
        <v>-52.774999999999999</v>
      </c>
      <c r="H18" s="18" t="s">
        <v>39</v>
      </c>
      <c r="I18" s="19">
        <v>0</v>
      </c>
      <c r="J18" s="20">
        <v>291.60449999999997</v>
      </c>
      <c r="K18" s="19">
        <v>0</v>
      </c>
      <c r="L18" s="20">
        <v>32695.05</v>
      </c>
      <c r="M18" s="19">
        <v>0</v>
      </c>
      <c r="N18" s="20">
        <v>27393.15</v>
      </c>
      <c r="O18" s="62">
        <v>0</v>
      </c>
      <c r="P18" s="62">
        <v>353.46</v>
      </c>
      <c r="Q18" s="19">
        <v>0</v>
      </c>
      <c r="R18" s="20">
        <v>33578.699999999997</v>
      </c>
      <c r="S18" s="62">
        <v>0</v>
      </c>
      <c r="T18" s="62">
        <v>18556.649999999998</v>
      </c>
      <c r="U18" s="19">
        <v>0</v>
      </c>
      <c r="V18" s="51">
        <v>247.422</v>
      </c>
    </row>
    <row r="19" spans="1:22">
      <c r="A19" s="17" t="s">
        <v>40</v>
      </c>
      <c r="B19" s="61">
        <f>9+39/60</f>
        <v>9.65</v>
      </c>
      <c r="C19" s="17">
        <v>27</v>
      </c>
      <c r="D19" s="29">
        <v>3</v>
      </c>
      <c r="E19" s="18">
        <v>2019</v>
      </c>
      <c r="F19" s="34">
        <v>40.960999999999999</v>
      </c>
      <c r="G19" s="35">
        <v>100.298</v>
      </c>
      <c r="H19" s="18" t="s">
        <v>41</v>
      </c>
      <c r="I19" s="19">
        <v>0</v>
      </c>
      <c r="J19" s="20">
        <v>49.533000000000001</v>
      </c>
      <c r="K19" s="19">
        <v>0</v>
      </c>
      <c r="L19" s="20">
        <v>5553.7</v>
      </c>
      <c r="M19" s="19">
        <v>0</v>
      </c>
      <c r="N19" s="20">
        <v>4653.1000000000004</v>
      </c>
      <c r="O19" s="62">
        <v>0</v>
      </c>
      <c r="P19" s="62">
        <v>60.04</v>
      </c>
      <c r="Q19" s="19">
        <v>0</v>
      </c>
      <c r="R19" s="20">
        <v>5703.8</v>
      </c>
      <c r="S19" s="62">
        <v>0</v>
      </c>
      <c r="T19" s="62">
        <v>3152.1</v>
      </c>
      <c r="U19" s="19">
        <v>0</v>
      </c>
      <c r="V19" s="51">
        <v>42.027999999999999</v>
      </c>
    </row>
    <row r="20" spans="1:22">
      <c r="A20" s="17" t="s">
        <v>42</v>
      </c>
      <c r="B20" s="61">
        <f>23+27/60</f>
        <v>23.45</v>
      </c>
      <c r="C20" s="17">
        <v>28</v>
      </c>
      <c r="D20" s="29">
        <v>3</v>
      </c>
      <c r="E20" s="18">
        <v>2019</v>
      </c>
      <c r="F20" s="32">
        <v>39.251199999999997</v>
      </c>
      <c r="G20" s="33">
        <v>177.8673</v>
      </c>
      <c r="H20" s="18" t="s">
        <v>43</v>
      </c>
      <c r="I20" s="19">
        <v>0</v>
      </c>
      <c r="J20" s="20">
        <v>36.376404494382022</v>
      </c>
      <c r="K20" s="19">
        <v>0</v>
      </c>
      <c r="L20" s="20">
        <v>779.49438202247177</v>
      </c>
      <c r="M20" s="19">
        <v>0</v>
      </c>
      <c r="N20" s="20">
        <v>2078.6516853932585</v>
      </c>
      <c r="O20" s="62">
        <v>0</v>
      </c>
      <c r="P20" s="62">
        <v>90.94101123595506</v>
      </c>
      <c r="Q20" s="19">
        <v>0</v>
      </c>
      <c r="R20" s="20">
        <v>0</v>
      </c>
      <c r="S20" s="62">
        <v>0</v>
      </c>
      <c r="T20" s="62">
        <v>0</v>
      </c>
      <c r="U20" s="19">
        <v>0</v>
      </c>
      <c r="V20" s="51">
        <v>0</v>
      </c>
    </row>
    <row r="21" spans="1:22">
      <c r="A21" s="17" t="s">
        <v>44</v>
      </c>
      <c r="B21" s="61">
        <f>15+50/60</f>
        <v>15.833333333333334</v>
      </c>
      <c r="C21" s="17">
        <v>31</v>
      </c>
      <c r="D21" s="29">
        <v>3</v>
      </c>
      <c r="E21" s="18">
        <v>2019</v>
      </c>
      <c r="F21" s="32">
        <v>28.245999999999999</v>
      </c>
      <c r="G21" s="33">
        <v>102.027</v>
      </c>
      <c r="H21" s="18" t="s">
        <v>9</v>
      </c>
      <c r="I21" s="19">
        <v>1096</v>
      </c>
      <c r="J21" s="20">
        <v>1241.3333333333333</v>
      </c>
      <c r="K21" s="19">
        <v>20824</v>
      </c>
      <c r="L21" s="20">
        <v>23585.333333333332</v>
      </c>
      <c r="M21" s="19">
        <v>18084</v>
      </c>
      <c r="N21" s="20">
        <v>20482</v>
      </c>
      <c r="O21" s="62">
        <v>219.20000000000002</v>
      </c>
      <c r="P21" s="62">
        <v>248.26666666666665</v>
      </c>
      <c r="Q21" s="19">
        <v>0</v>
      </c>
      <c r="R21" s="20">
        <v>0</v>
      </c>
      <c r="S21" s="62">
        <v>0</v>
      </c>
      <c r="T21" s="62">
        <v>0</v>
      </c>
      <c r="U21" s="19">
        <v>0</v>
      </c>
      <c r="V21" s="51">
        <v>0</v>
      </c>
    </row>
    <row r="22" spans="1:22">
      <c r="A22" s="17" t="s">
        <v>45</v>
      </c>
      <c r="B22" s="61">
        <f>3+57/60</f>
        <v>3.95</v>
      </c>
      <c r="C22" s="17">
        <v>1</v>
      </c>
      <c r="D22" s="29">
        <v>4</v>
      </c>
      <c r="E22" s="18">
        <v>2019</v>
      </c>
      <c r="F22" s="32">
        <v>13.72</v>
      </c>
      <c r="G22" s="33">
        <v>80.23</v>
      </c>
      <c r="H22" s="18" t="s">
        <v>46</v>
      </c>
      <c r="I22" s="19">
        <v>158.4</v>
      </c>
      <c r="J22" s="20">
        <v>455.4</v>
      </c>
      <c r="K22" s="19">
        <v>17760</v>
      </c>
      <c r="L22" s="20">
        <v>51060</v>
      </c>
      <c r="M22" s="19">
        <v>14880</v>
      </c>
      <c r="N22" s="20">
        <v>42780</v>
      </c>
      <c r="O22" s="62">
        <v>192</v>
      </c>
      <c r="P22" s="62">
        <v>552</v>
      </c>
      <c r="Q22" s="19">
        <v>18240</v>
      </c>
      <c r="R22" s="20">
        <v>52440</v>
      </c>
      <c r="S22" s="62">
        <v>10080</v>
      </c>
      <c r="T22" s="62">
        <v>28980</v>
      </c>
      <c r="U22" s="19">
        <v>134.4</v>
      </c>
      <c r="V22" s="51">
        <v>386.4</v>
      </c>
    </row>
    <row r="23" spans="1:22">
      <c r="A23" s="17" t="s">
        <v>47</v>
      </c>
      <c r="B23" s="61">
        <f>11+1/60</f>
        <v>11.016666666666667</v>
      </c>
      <c r="C23" s="17">
        <v>4</v>
      </c>
      <c r="D23" s="29">
        <v>4</v>
      </c>
      <c r="E23" s="18">
        <v>2019</v>
      </c>
      <c r="F23" s="32">
        <v>45.996000000000002</v>
      </c>
      <c r="G23" s="33">
        <v>63.564</v>
      </c>
      <c r="H23" s="18" t="s">
        <v>48</v>
      </c>
      <c r="I23" s="19">
        <v>622.92134831460669</v>
      </c>
      <c r="J23" s="51">
        <v>365.53370786516859</v>
      </c>
      <c r="K23" s="19">
        <v>13348.314606741573</v>
      </c>
      <c r="L23" s="51">
        <v>7832.8651685393261</v>
      </c>
      <c r="M23" s="19">
        <v>35595.505617977527</v>
      </c>
      <c r="N23" s="51">
        <v>20887.640449438204</v>
      </c>
      <c r="O23" s="62">
        <v>1557.303370786517</v>
      </c>
      <c r="P23" s="63">
        <v>913.83426966292143</v>
      </c>
      <c r="Q23" s="19">
        <v>0</v>
      </c>
      <c r="R23" s="20">
        <v>0</v>
      </c>
      <c r="S23" s="62">
        <v>0</v>
      </c>
      <c r="T23" s="62">
        <v>0</v>
      </c>
      <c r="U23" s="19">
        <v>0</v>
      </c>
      <c r="V23" s="51">
        <v>0</v>
      </c>
    </row>
    <row r="24" spans="1:22">
      <c r="A24" s="17" t="s">
        <v>49</v>
      </c>
      <c r="B24" s="61">
        <f>17+3/60</f>
        <v>17.05</v>
      </c>
      <c r="C24" s="17">
        <v>4</v>
      </c>
      <c r="D24" s="29">
        <v>4</v>
      </c>
      <c r="E24" s="18">
        <v>2019</v>
      </c>
      <c r="F24" s="32">
        <v>5.3010000000000002</v>
      </c>
      <c r="G24" s="33">
        <v>-52.837000000000003</v>
      </c>
      <c r="H24" s="18" t="s">
        <v>50</v>
      </c>
      <c r="I24" s="19">
        <v>622.92134831460669</v>
      </c>
      <c r="J24" s="51">
        <v>365.53370786516859</v>
      </c>
      <c r="K24" s="19">
        <v>13348.314606741573</v>
      </c>
      <c r="L24" s="51">
        <v>7832.8651685393261</v>
      </c>
      <c r="M24" s="19">
        <v>35595.505617977527</v>
      </c>
      <c r="N24" s="51">
        <v>20887.640449438204</v>
      </c>
      <c r="O24" s="62">
        <v>1557.303370786517</v>
      </c>
      <c r="P24" s="63">
        <v>913.83426966292143</v>
      </c>
      <c r="Q24" s="19">
        <v>0</v>
      </c>
      <c r="R24" s="20">
        <v>0</v>
      </c>
      <c r="S24" s="62">
        <v>0</v>
      </c>
      <c r="T24" s="62">
        <v>0</v>
      </c>
      <c r="U24" s="19">
        <v>0</v>
      </c>
      <c r="V24" s="51">
        <v>0</v>
      </c>
    </row>
    <row r="25" spans="1:22">
      <c r="A25" s="17" t="s">
        <v>51</v>
      </c>
      <c r="B25" s="61">
        <f>22+35/60</f>
        <v>22.583333333333332</v>
      </c>
      <c r="C25" s="17">
        <v>11</v>
      </c>
      <c r="D25" s="29">
        <v>4</v>
      </c>
      <c r="E25" s="18">
        <v>2019</v>
      </c>
      <c r="F25" s="32">
        <v>28.608000000000001</v>
      </c>
      <c r="G25" s="33">
        <v>-80.603999999999999</v>
      </c>
      <c r="H25" s="18" t="s">
        <v>52</v>
      </c>
      <c r="I25" s="19">
        <v>3205.8426966292136</v>
      </c>
      <c r="J25" s="20">
        <v>1602.9213483146068</v>
      </c>
      <c r="K25" s="19">
        <v>68696.629213483146</v>
      </c>
      <c r="L25" s="20">
        <v>34348.314606741573</v>
      </c>
      <c r="M25" s="19">
        <v>183191.01123595505</v>
      </c>
      <c r="N25" s="20">
        <v>91595.505617977527</v>
      </c>
      <c r="O25" s="62">
        <v>8014.606741573034</v>
      </c>
      <c r="P25" s="62">
        <v>4007.303370786517</v>
      </c>
      <c r="Q25" s="19">
        <v>0</v>
      </c>
      <c r="R25" s="20">
        <v>0</v>
      </c>
      <c r="S25" s="62">
        <v>0</v>
      </c>
      <c r="T25" s="62">
        <v>0</v>
      </c>
      <c r="U25" s="19">
        <v>0</v>
      </c>
      <c r="V25" s="51">
        <v>0</v>
      </c>
    </row>
    <row r="26" spans="1:22">
      <c r="A26" s="17" t="s">
        <v>53</v>
      </c>
      <c r="B26" s="61">
        <f>20+46/60</f>
        <v>20.766666666666666</v>
      </c>
      <c r="C26" s="17">
        <v>17</v>
      </c>
      <c r="D26" s="29">
        <v>4</v>
      </c>
      <c r="E26" s="18">
        <v>2019</v>
      </c>
      <c r="F26" s="32">
        <v>37.832999999999998</v>
      </c>
      <c r="G26" s="33">
        <v>-75.488</v>
      </c>
      <c r="H26" s="18" t="s">
        <v>54</v>
      </c>
      <c r="I26" s="19">
        <v>0</v>
      </c>
      <c r="J26" s="20">
        <v>906.36</v>
      </c>
      <c r="K26" s="19">
        <v>0</v>
      </c>
      <c r="L26" s="20">
        <v>19422</v>
      </c>
      <c r="M26" s="19">
        <v>0</v>
      </c>
      <c r="N26" s="20">
        <v>51792</v>
      </c>
      <c r="O26" s="62">
        <v>0</v>
      </c>
      <c r="P26" s="62">
        <v>2265.9</v>
      </c>
      <c r="Q26" s="19">
        <v>0</v>
      </c>
      <c r="R26" s="20">
        <v>0</v>
      </c>
      <c r="S26" s="62">
        <v>0</v>
      </c>
      <c r="T26" s="62">
        <v>0</v>
      </c>
      <c r="U26" s="19">
        <v>0</v>
      </c>
      <c r="V26" s="51">
        <v>0</v>
      </c>
    </row>
    <row r="27" spans="1:22">
      <c r="A27" s="17" t="s">
        <v>55</v>
      </c>
      <c r="B27" s="61">
        <f>14+41/60</f>
        <v>14.683333333333334</v>
      </c>
      <c r="C27" s="17">
        <v>20</v>
      </c>
      <c r="D27" s="29">
        <v>4</v>
      </c>
      <c r="E27" s="18">
        <v>2019</v>
      </c>
      <c r="F27" s="32">
        <v>28.247</v>
      </c>
      <c r="G27" s="33">
        <v>102.029</v>
      </c>
      <c r="H27" s="18" t="s">
        <v>9</v>
      </c>
      <c r="I27" s="19">
        <v>1096</v>
      </c>
      <c r="J27" s="20">
        <v>1241.3333333333333</v>
      </c>
      <c r="K27" s="19">
        <v>20824</v>
      </c>
      <c r="L27" s="20">
        <v>23585.333333333332</v>
      </c>
      <c r="M27" s="19">
        <v>18084</v>
      </c>
      <c r="N27" s="20">
        <v>20482</v>
      </c>
      <c r="O27" s="62">
        <v>219.20000000000002</v>
      </c>
      <c r="P27" s="62">
        <v>248.26666666666665</v>
      </c>
      <c r="Q27" s="19">
        <v>0</v>
      </c>
      <c r="R27" s="20">
        <v>0</v>
      </c>
      <c r="S27" s="62">
        <v>0</v>
      </c>
      <c r="T27" s="62">
        <v>0</v>
      </c>
      <c r="U27" s="19">
        <v>0</v>
      </c>
      <c r="V27" s="51">
        <v>0</v>
      </c>
    </row>
    <row r="28" spans="1:22">
      <c r="A28" s="17" t="s">
        <v>56</v>
      </c>
      <c r="B28" s="61">
        <f>22+52/60</f>
        <v>22.866666666666667</v>
      </c>
      <c r="C28" s="17">
        <v>29</v>
      </c>
      <c r="D28" s="29">
        <v>4</v>
      </c>
      <c r="E28" s="18">
        <v>2019</v>
      </c>
      <c r="F28" s="32">
        <v>38.863</v>
      </c>
      <c r="G28" s="33">
        <v>111.589</v>
      </c>
      <c r="H28" s="18" t="s">
        <v>57</v>
      </c>
      <c r="I28" s="19">
        <v>0</v>
      </c>
      <c r="J28" s="20">
        <v>1221.3333333333333</v>
      </c>
      <c r="K28" s="19">
        <v>0</v>
      </c>
      <c r="L28" s="20">
        <v>23205.333333333332</v>
      </c>
      <c r="M28" s="19">
        <v>0</v>
      </c>
      <c r="N28" s="20">
        <v>20152</v>
      </c>
      <c r="O28" s="62">
        <v>0</v>
      </c>
      <c r="P28" s="62">
        <v>244.26666666666665</v>
      </c>
      <c r="Q28" s="19">
        <v>0</v>
      </c>
      <c r="R28" s="20">
        <v>0</v>
      </c>
      <c r="S28" s="62">
        <v>0</v>
      </c>
      <c r="T28" s="62">
        <v>0</v>
      </c>
      <c r="U28" s="19">
        <v>0</v>
      </c>
      <c r="V28" s="51">
        <v>0</v>
      </c>
    </row>
    <row r="29" spans="1:22">
      <c r="A29" s="17" t="s">
        <v>58</v>
      </c>
      <c r="B29" s="61">
        <f>6+48/60</f>
        <v>6.8</v>
      </c>
      <c r="C29" s="17">
        <v>4</v>
      </c>
      <c r="D29" s="29">
        <v>5</v>
      </c>
      <c r="E29" s="18">
        <v>2019</v>
      </c>
      <c r="F29" s="32">
        <v>28.562000000000001</v>
      </c>
      <c r="G29" s="33">
        <v>-80.576999999999998</v>
      </c>
      <c r="H29" s="18" t="s">
        <v>11</v>
      </c>
      <c r="I29" s="19">
        <v>0</v>
      </c>
      <c r="J29" s="20">
        <v>1646.5730337078653</v>
      </c>
      <c r="K29" s="19">
        <v>0</v>
      </c>
      <c r="L29" s="20">
        <v>35283.707865168537</v>
      </c>
      <c r="M29" s="19">
        <v>0</v>
      </c>
      <c r="N29" s="20">
        <v>94089.887640449451</v>
      </c>
      <c r="O29" s="62">
        <v>0</v>
      </c>
      <c r="P29" s="62">
        <v>4116.4325842696635</v>
      </c>
      <c r="Q29" s="19">
        <v>0</v>
      </c>
      <c r="R29" s="20">
        <v>0</v>
      </c>
      <c r="S29" s="62">
        <v>0</v>
      </c>
      <c r="T29" s="62">
        <v>0</v>
      </c>
      <c r="U29" s="19">
        <v>0</v>
      </c>
      <c r="V29" s="51">
        <v>0</v>
      </c>
    </row>
    <row r="30" spans="1:22">
      <c r="A30" s="17" t="s">
        <v>59</v>
      </c>
      <c r="B30" s="61">
        <f>6</f>
        <v>6</v>
      </c>
      <c r="C30" s="17">
        <v>5</v>
      </c>
      <c r="D30" s="29">
        <v>5</v>
      </c>
      <c r="E30" s="18">
        <v>2019</v>
      </c>
      <c r="F30" s="32">
        <v>-39.251199999999997</v>
      </c>
      <c r="G30" s="33">
        <v>177.8673</v>
      </c>
      <c r="H30" s="18" t="s">
        <v>43</v>
      </c>
      <c r="I30" s="19">
        <v>0</v>
      </c>
      <c r="J30" s="20">
        <v>36.376404494382022</v>
      </c>
      <c r="K30" s="19">
        <v>0</v>
      </c>
      <c r="L30" s="20">
        <v>779.49438202247177</v>
      </c>
      <c r="M30" s="19">
        <v>0</v>
      </c>
      <c r="N30" s="20">
        <v>2078.6516853932585</v>
      </c>
      <c r="O30" s="62">
        <v>0</v>
      </c>
      <c r="P30" s="62">
        <v>90.94101123595506</v>
      </c>
      <c r="Q30" s="19">
        <v>0</v>
      </c>
      <c r="R30" s="20">
        <v>0</v>
      </c>
      <c r="S30" s="62">
        <v>0</v>
      </c>
      <c r="T30" s="62">
        <v>0</v>
      </c>
      <c r="U30" s="19">
        <v>0</v>
      </c>
      <c r="V30" s="51">
        <v>0</v>
      </c>
    </row>
    <row r="31" spans="1:22">
      <c r="A31" s="17" t="s">
        <v>60</v>
      </c>
      <c r="B31" s="61">
        <f>15+48/60</f>
        <v>15.8</v>
      </c>
      <c r="C31" s="17">
        <v>17</v>
      </c>
      <c r="D31" s="29">
        <v>5</v>
      </c>
      <c r="E31" s="18">
        <v>2019</v>
      </c>
      <c r="F31" s="32">
        <v>28.245999999999999</v>
      </c>
      <c r="G31" s="33">
        <v>102.027</v>
      </c>
      <c r="H31" s="18" t="s">
        <v>61</v>
      </c>
      <c r="I31" s="19">
        <v>548</v>
      </c>
      <c r="J31" s="20">
        <v>1241.3333333333333</v>
      </c>
      <c r="K31" s="19">
        <v>10412</v>
      </c>
      <c r="L31" s="20">
        <v>23585.333333333332</v>
      </c>
      <c r="M31" s="19">
        <v>9042</v>
      </c>
      <c r="N31" s="20">
        <v>20482</v>
      </c>
      <c r="O31" s="62">
        <v>109.60000000000001</v>
      </c>
      <c r="P31" s="62">
        <v>248.26666666666665</v>
      </c>
      <c r="Q31" s="19">
        <v>0</v>
      </c>
      <c r="R31" s="20">
        <v>0</v>
      </c>
      <c r="S31" s="62">
        <v>0</v>
      </c>
      <c r="T31" s="62">
        <v>0</v>
      </c>
      <c r="U31" s="19">
        <v>0</v>
      </c>
      <c r="V31" s="51">
        <v>0</v>
      </c>
    </row>
    <row r="32" spans="1:22">
      <c r="A32" s="17" t="s">
        <v>62</v>
      </c>
      <c r="B32" s="61">
        <f>0</f>
        <v>0</v>
      </c>
      <c r="C32" s="17">
        <v>22</v>
      </c>
      <c r="D32" s="29">
        <v>5</v>
      </c>
      <c r="E32" s="18">
        <v>2019</v>
      </c>
      <c r="F32" s="32">
        <v>13.72</v>
      </c>
      <c r="G32" s="33">
        <v>80.23</v>
      </c>
      <c r="H32" s="18" t="s">
        <v>63</v>
      </c>
      <c r="I32" s="19">
        <v>0</v>
      </c>
      <c r="J32" s="20">
        <v>455.4</v>
      </c>
      <c r="K32" s="19">
        <v>0</v>
      </c>
      <c r="L32" s="20">
        <v>51060</v>
      </c>
      <c r="M32" s="19">
        <v>0</v>
      </c>
      <c r="N32" s="20">
        <v>42780</v>
      </c>
      <c r="O32" s="62">
        <v>0</v>
      </c>
      <c r="P32" s="62">
        <v>552</v>
      </c>
      <c r="Q32" s="19">
        <v>0</v>
      </c>
      <c r="R32" s="20">
        <v>52440</v>
      </c>
      <c r="S32" s="62">
        <v>0</v>
      </c>
      <c r="T32" s="62">
        <v>28980</v>
      </c>
      <c r="U32" s="19">
        <v>0</v>
      </c>
      <c r="V32" s="51">
        <v>386.4</v>
      </c>
    </row>
    <row r="33" spans="1:22">
      <c r="A33" s="17" t="s">
        <v>64</v>
      </c>
      <c r="B33" s="61">
        <f>22+49/60</f>
        <v>22.816666666666666</v>
      </c>
      <c r="C33" s="17">
        <v>22</v>
      </c>
      <c r="D33" s="29">
        <v>5</v>
      </c>
      <c r="E33" s="18">
        <v>2019</v>
      </c>
      <c r="F33" s="32">
        <v>38.863</v>
      </c>
      <c r="G33" s="33">
        <v>111.589</v>
      </c>
      <c r="H33" s="18" t="s">
        <v>65</v>
      </c>
      <c r="I33" s="19">
        <v>0</v>
      </c>
      <c r="J33" s="20">
        <v>1221.3333333333333</v>
      </c>
      <c r="K33" s="19">
        <v>0</v>
      </c>
      <c r="L33" s="20">
        <v>23205.333333333332</v>
      </c>
      <c r="M33" s="19">
        <v>0</v>
      </c>
      <c r="N33" s="20">
        <v>20152</v>
      </c>
      <c r="O33" s="62">
        <v>0</v>
      </c>
      <c r="P33" s="62">
        <v>244.26666666666665</v>
      </c>
      <c r="Q33" s="19">
        <v>0</v>
      </c>
      <c r="R33" s="20">
        <v>0</v>
      </c>
      <c r="S33" s="62">
        <v>0</v>
      </c>
      <c r="T33" s="62">
        <v>0</v>
      </c>
      <c r="U33" s="19">
        <v>0</v>
      </c>
      <c r="V33" s="51">
        <v>0</v>
      </c>
    </row>
    <row r="34" spans="1:22">
      <c r="A34" s="17" t="s">
        <v>66</v>
      </c>
      <c r="B34" s="61">
        <f>2+30/60</f>
        <v>2.5</v>
      </c>
      <c r="C34" s="17">
        <v>24</v>
      </c>
      <c r="D34" s="29">
        <v>5</v>
      </c>
      <c r="E34" s="18">
        <v>2019</v>
      </c>
      <c r="F34" s="32">
        <v>28.562000000000001</v>
      </c>
      <c r="G34" s="33">
        <v>-80.576999999999998</v>
      </c>
      <c r="H34" s="18" t="s">
        <v>11</v>
      </c>
      <c r="I34" s="19">
        <v>0</v>
      </c>
      <c r="J34" s="20">
        <v>1646.5730337078653</v>
      </c>
      <c r="K34" s="19">
        <v>0</v>
      </c>
      <c r="L34" s="20">
        <v>35283.707865168537</v>
      </c>
      <c r="M34" s="19">
        <v>0</v>
      </c>
      <c r="N34" s="20">
        <v>94089.887640449451</v>
      </c>
      <c r="O34" s="62">
        <v>0</v>
      </c>
      <c r="P34" s="62">
        <v>4116.4325842696635</v>
      </c>
      <c r="Q34" s="19">
        <v>0</v>
      </c>
      <c r="R34" s="20">
        <v>0</v>
      </c>
      <c r="S34" s="62">
        <v>0</v>
      </c>
      <c r="T34" s="62">
        <v>0</v>
      </c>
      <c r="U34" s="19">
        <v>0</v>
      </c>
      <c r="V34" s="51">
        <v>0</v>
      </c>
    </row>
    <row r="35" spans="1:22">
      <c r="A35" s="17" t="s">
        <v>67</v>
      </c>
      <c r="B35" s="61">
        <f>6+23/60</f>
        <v>6.3833333333333337</v>
      </c>
      <c r="C35" s="17">
        <v>27</v>
      </c>
      <c r="D35" s="29">
        <v>5</v>
      </c>
      <c r="E35" s="18">
        <v>2019</v>
      </c>
      <c r="F35" s="32">
        <v>62.929000000000002</v>
      </c>
      <c r="G35" s="33">
        <v>40.457000000000001</v>
      </c>
      <c r="H35" s="18" t="s">
        <v>27</v>
      </c>
      <c r="I35" s="19">
        <v>622.92134831460669</v>
      </c>
      <c r="J35" s="51">
        <v>365.53370786516859</v>
      </c>
      <c r="K35" s="19">
        <v>13348.314606741573</v>
      </c>
      <c r="L35" s="51">
        <v>7832.8651685393261</v>
      </c>
      <c r="M35" s="19">
        <v>35595.505617977527</v>
      </c>
      <c r="N35" s="51">
        <v>20887.640449438204</v>
      </c>
      <c r="O35" s="62">
        <v>1557.303370786517</v>
      </c>
      <c r="P35" s="63">
        <v>913.83426966292143</v>
      </c>
      <c r="Q35" s="19">
        <v>0</v>
      </c>
      <c r="R35" s="20">
        <v>0</v>
      </c>
      <c r="S35" s="62">
        <v>0</v>
      </c>
      <c r="T35" s="62">
        <v>0</v>
      </c>
      <c r="U35" s="19">
        <v>0</v>
      </c>
      <c r="V35" s="51">
        <v>0</v>
      </c>
    </row>
    <row r="36" spans="1:22">
      <c r="A36" s="17" t="s">
        <v>68</v>
      </c>
      <c r="B36" s="61">
        <f>17+42/60</f>
        <v>17.7</v>
      </c>
      <c r="C36" s="17">
        <v>30</v>
      </c>
      <c r="D36" s="29">
        <v>5</v>
      </c>
      <c r="E36" s="18">
        <v>2019</v>
      </c>
      <c r="F36" s="32">
        <v>46.04</v>
      </c>
      <c r="G36" s="33">
        <v>63.031999999999996</v>
      </c>
      <c r="H36" s="18" t="s">
        <v>69</v>
      </c>
      <c r="I36" s="19">
        <v>0</v>
      </c>
      <c r="J36" s="20">
        <v>2855.333333333333</v>
      </c>
      <c r="K36" s="19">
        <v>0</v>
      </c>
      <c r="L36" s="20">
        <v>54251.333333333328</v>
      </c>
      <c r="M36" s="19">
        <v>0</v>
      </c>
      <c r="N36" s="20">
        <v>47113</v>
      </c>
      <c r="O36" s="62">
        <v>0</v>
      </c>
      <c r="P36" s="62">
        <v>571.06666666666661</v>
      </c>
      <c r="Q36" s="19">
        <v>0</v>
      </c>
      <c r="R36" s="20">
        <v>0</v>
      </c>
      <c r="S36" s="62">
        <v>0</v>
      </c>
      <c r="T36" s="62">
        <v>0</v>
      </c>
      <c r="U36" s="19">
        <v>0</v>
      </c>
      <c r="V36" s="51">
        <v>0</v>
      </c>
    </row>
    <row r="37" spans="1:22">
      <c r="A37" s="17" t="s">
        <v>70</v>
      </c>
      <c r="B37" s="61">
        <f>4+6/60</f>
        <v>4.0999999999999996</v>
      </c>
      <c r="C37" s="17">
        <v>5</v>
      </c>
      <c r="D37" s="29">
        <v>6</v>
      </c>
      <c r="E37" s="18">
        <v>2019</v>
      </c>
      <c r="F37" s="36">
        <v>34.9</v>
      </c>
      <c r="G37" s="35">
        <v>121.19</v>
      </c>
      <c r="H37" s="18" t="s">
        <v>71</v>
      </c>
      <c r="I37" s="19">
        <v>0</v>
      </c>
      <c r="J37" s="20">
        <v>115.5</v>
      </c>
      <c r="K37" s="19">
        <v>0</v>
      </c>
      <c r="L37" s="20">
        <v>12950</v>
      </c>
      <c r="M37" s="19">
        <v>0</v>
      </c>
      <c r="N37" s="20">
        <v>10850</v>
      </c>
      <c r="O37" s="62">
        <v>0</v>
      </c>
      <c r="P37" s="62">
        <v>140</v>
      </c>
      <c r="Q37" s="19">
        <v>0</v>
      </c>
      <c r="R37" s="20">
        <v>13300</v>
      </c>
      <c r="S37" s="62">
        <v>0</v>
      </c>
      <c r="T37" s="62">
        <v>7350</v>
      </c>
      <c r="U37" s="19">
        <v>0</v>
      </c>
      <c r="V37" s="51">
        <v>98</v>
      </c>
    </row>
    <row r="38" spans="1:22">
      <c r="A38" s="17" t="s">
        <v>72</v>
      </c>
      <c r="B38" s="61">
        <f>14+17/60</f>
        <v>14.283333333333333</v>
      </c>
      <c r="C38" s="17">
        <v>12</v>
      </c>
      <c r="D38" s="29">
        <v>6</v>
      </c>
      <c r="E38" s="18">
        <v>2019</v>
      </c>
      <c r="F38" s="32">
        <v>34.631999999999998</v>
      </c>
      <c r="G38" s="33">
        <v>-120.611</v>
      </c>
      <c r="H38" s="18" t="s">
        <v>11</v>
      </c>
      <c r="I38" s="19">
        <v>0</v>
      </c>
      <c r="J38" s="20">
        <v>1646.5730337078653</v>
      </c>
      <c r="K38" s="19">
        <v>0</v>
      </c>
      <c r="L38" s="20">
        <v>35283.707865168537</v>
      </c>
      <c r="M38" s="19">
        <v>0</v>
      </c>
      <c r="N38" s="20">
        <v>94089.887640449451</v>
      </c>
      <c r="O38" s="62">
        <v>0</v>
      </c>
      <c r="P38" s="62">
        <v>4116.4325842696635</v>
      </c>
      <c r="Q38" s="19">
        <v>0</v>
      </c>
      <c r="R38" s="20">
        <v>0</v>
      </c>
      <c r="S38" s="62">
        <v>0</v>
      </c>
      <c r="T38" s="62">
        <v>0</v>
      </c>
      <c r="U38" s="19">
        <v>0</v>
      </c>
      <c r="V38" s="51">
        <v>0</v>
      </c>
    </row>
    <row r="39" spans="1:22">
      <c r="A39" s="21" t="s">
        <v>73</v>
      </c>
      <c r="B39" s="61">
        <f>21+43/60</f>
        <v>21.716666666666665</v>
      </c>
      <c r="C39" s="17">
        <v>20</v>
      </c>
      <c r="D39" s="29">
        <v>6</v>
      </c>
      <c r="E39" s="18">
        <v>2019</v>
      </c>
      <c r="F39" s="32">
        <v>5.2389999999999999</v>
      </c>
      <c r="G39" s="33">
        <v>-52.768999999999998</v>
      </c>
      <c r="H39" s="18" t="s">
        <v>23</v>
      </c>
      <c r="I39" s="19">
        <v>1584</v>
      </c>
      <c r="J39" s="20">
        <v>816.66666666666674</v>
      </c>
      <c r="K39" s="19">
        <v>177600</v>
      </c>
      <c r="L39" s="20">
        <v>25000</v>
      </c>
      <c r="M39" s="19">
        <v>148800</v>
      </c>
      <c r="N39" s="20">
        <v>0</v>
      </c>
      <c r="O39" s="62">
        <v>1920</v>
      </c>
      <c r="P39" s="62">
        <v>0</v>
      </c>
      <c r="Q39" s="19">
        <v>91200</v>
      </c>
      <c r="R39" s="20">
        <v>0</v>
      </c>
      <c r="S39" s="62">
        <v>50400</v>
      </c>
      <c r="T39" s="62">
        <v>0</v>
      </c>
      <c r="U39" s="19">
        <v>672</v>
      </c>
      <c r="V39" s="51">
        <v>0</v>
      </c>
    </row>
    <row r="40" spans="1:22">
      <c r="A40" s="17" t="s">
        <v>74</v>
      </c>
      <c r="B40" s="61">
        <f>18+9/60</f>
        <v>18.149999999999999</v>
      </c>
      <c r="C40" s="17">
        <v>24</v>
      </c>
      <c r="D40" s="29">
        <v>6</v>
      </c>
      <c r="E40" s="18">
        <v>2019</v>
      </c>
      <c r="F40" s="32">
        <v>28.247</v>
      </c>
      <c r="G40" s="33">
        <v>102.029</v>
      </c>
      <c r="H40" s="18" t="s">
        <v>9</v>
      </c>
      <c r="I40" s="19">
        <v>1096</v>
      </c>
      <c r="J40" s="20">
        <v>1241.3333333333333</v>
      </c>
      <c r="K40" s="19">
        <v>20824</v>
      </c>
      <c r="L40" s="20">
        <v>23585.333333333332</v>
      </c>
      <c r="M40" s="19">
        <v>18084</v>
      </c>
      <c r="N40" s="20">
        <v>20482</v>
      </c>
      <c r="O40" s="62">
        <v>219.20000000000002</v>
      </c>
      <c r="P40" s="62">
        <v>248.26666666666665</v>
      </c>
      <c r="Q40" s="19">
        <v>0</v>
      </c>
      <c r="R40" s="20">
        <v>0</v>
      </c>
      <c r="S40" s="62">
        <v>0</v>
      </c>
      <c r="T40" s="62">
        <v>0</v>
      </c>
      <c r="U40" s="19">
        <v>0</v>
      </c>
      <c r="V40" s="51">
        <v>0</v>
      </c>
    </row>
    <row r="41" spans="1:22">
      <c r="A41" s="17" t="s">
        <v>76</v>
      </c>
      <c r="B41" s="61">
        <f>6+30/60</f>
        <v>6.5</v>
      </c>
      <c r="C41" s="17">
        <v>25</v>
      </c>
      <c r="D41" s="29">
        <v>6</v>
      </c>
      <c r="E41" s="18">
        <v>2019</v>
      </c>
      <c r="F41" s="32">
        <v>28.608000000000001</v>
      </c>
      <c r="G41" s="33">
        <v>-80.603999999999999</v>
      </c>
      <c r="H41" s="18" t="s">
        <v>52</v>
      </c>
      <c r="I41" s="19">
        <v>3205.8426966292136</v>
      </c>
      <c r="J41" s="20">
        <v>1602.9213483146068</v>
      </c>
      <c r="K41" s="19">
        <v>68696.629213483146</v>
      </c>
      <c r="L41" s="20">
        <v>34348.314606741573</v>
      </c>
      <c r="M41" s="19">
        <v>183191.01123595505</v>
      </c>
      <c r="N41" s="20">
        <v>91595.505617977527</v>
      </c>
      <c r="O41" s="62">
        <v>8014.606741573034</v>
      </c>
      <c r="P41" s="62">
        <v>4007.303370786517</v>
      </c>
      <c r="Q41" s="19">
        <v>0</v>
      </c>
      <c r="R41" s="20">
        <v>0</v>
      </c>
      <c r="S41" s="62">
        <v>0</v>
      </c>
      <c r="T41" s="62">
        <v>0</v>
      </c>
      <c r="U41" s="19">
        <v>0</v>
      </c>
      <c r="V41" s="51">
        <v>0</v>
      </c>
    </row>
    <row r="42" spans="1:22">
      <c r="A42" s="17" t="s">
        <v>77</v>
      </c>
      <c r="B42" s="61">
        <f>4+30/60</f>
        <v>4.5</v>
      </c>
      <c r="C42" s="17">
        <v>29</v>
      </c>
      <c r="D42" s="29">
        <v>6</v>
      </c>
      <c r="E42" s="18">
        <v>2019</v>
      </c>
      <c r="F42" s="32">
        <v>-39.251199999999997</v>
      </c>
      <c r="G42" s="33">
        <v>177.8673</v>
      </c>
      <c r="H42" s="18" t="s">
        <v>43</v>
      </c>
      <c r="I42" s="19">
        <v>0</v>
      </c>
      <c r="J42" s="20">
        <v>36.376404494382022</v>
      </c>
      <c r="K42" s="19">
        <v>0</v>
      </c>
      <c r="L42" s="20">
        <v>779.49438202247177</v>
      </c>
      <c r="M42" s="19">
        <v>0</v>
      </c>
      <c r="N42" s="20">
        <v>2078.6516853932585</v>
      </c>
      <c r="O42" s="62">
        <v>0</v>
      </c>
      <c r="P42" s="62">
        <v>90.94101123595506</v>
      </c>
      <c r="Q42" s="19">
        <v>0</v>
      </c>
      <c r="R42" s="20">
        <v>0</v>
      </c>
      <c r="S42" s="62">
        <v>0</v>
      </c>
      <c r="T42" s="62">
        <v>0</v>
      </c>
      <c r="U42" s="19">
        <v>0</v>
      </c>
      <c r="V42" s="51">
        <v>0</v>
      </c>
    </row>
    <row r="43" spans="1:22">
      <c r="A43" s="17" t="s">
        <v>78</v>
      </c>
      <c r="B43" s="61">
        <f>5+41/60</f>
        <v>5.6833333333333336</v>
      </c>
      <c r="C43" s="17">
        <v>5</v>
      </c>
      <c r="D43" s="29">
        <v>7</v>
      </c>
      <c r="E43" s="18">
        <v>2019</v>
      </c>
      <c r="F43" s="32">
        <v>51.884999999999998</v>
      </c>
      <c r="G43" s="33">
        <v>128.33500000000001</v>
      </c>
      <c r="H43" s="18" t="s">
        <v>27</v>
      </c>
      <c r="I43" s="19">
        <v>622.92134831460669</v>
      </c>
      <c r="J43" s="51">
        <v>365.53370786516859</v>
      </c>
      <c r="K43" s="19">
        <v>13348.314606741573</v>
      </c>
      <c r="L43" s="51">
        <v>7832.8651685393261</v>
      </c>
      <c r="M43" s="19">
        <v>35595.505617977527</v>
      </c>
      <c r="N43" s="51">
        <v>20887.640449438204</v>
      </c>
      <c r="O43" s="62">
        <v>1557.303370786517</v>
      </c>
      <c r="P43" s="63">
        <v>913.83426966292143</v>
      </c>
      <c r="Q43" s="19">
        <v>0</v>
      </c>
      <c r="R43" s="20">
        <v>0</v>
      </c>
      <c r="S43" s="62">
        <v>0</v>
      </c>
      <c r="T43" s="62">
        <v>0</v>
      </c>
      <c r="U43" s="19">
        <v>0</v>
      </c>
      <c r="V43" s="51">
        <v>0</v>
      </c>
    </row>
    <row r="44" spans="1:22">
      <c r="A44" s="17" t="s">
        <v>79</v>
      </c>
      <c r="B44" s="61">
        <f>17+14/60</f>
        <v>17.233333333333334</v>
      </c>
      <c r="C44" s="17">
        <v>10</v>
      </c>
      <c r="D44" s="29">
        <v>7</v>
      </c>
      <c r="E44" s="18">
        <v>2019</v>
      </c>
      <c r="F44" s="32">
        <v>62.929000000000002</v>
      </c>
      <c r="G44" s="33">
        <v>40.457000000000001</v>
      </c>
      <c r="H44" s="18" t="s">
        <v>80</v>
      </c>
      <c r="I44" s="19">
        <v>0</v>
      </c>
      <c r="J44" s="20">
        <v>470.62146892655363</v>
      </c>
      <c r="K44" s="19">
        <v>0</v>
      </c>
      <c r="L44" s="20">
        <v>10084.745762711864</v>
      </c>
      <c r="M44" s="19">
        <v>0</v>
      </c>
      <c r="N44" s="20">
        <v>26892.655367231637</v>
      </c>
      <c r="O44" s="62">
        <v>0</v>
      </c>
      <c r="P44" s="62">
        <v>1176.5536723163841</v>
      </c>
      <c r="Q44" s="19">
        <v>0</v>
      </c>
      <c r="R44" s="20">
        <v>0</v>
      </c>
      <c r="S44" s="62">
        <v>0</v>
      </c>
      <c r="T44" s="62">
        <v>0</v>
      </c>
      <c r="U44" s="19">
        <v>0</v>
      </c>
      <c r="V44" s="51">
        <v>0</v>
      </c>
    </row>
    <row r="45" spans="1:22">
      <c r="A45" s="17" t="s">
        <v>81</v>
      </c>
      <c r="B45" s="61">
        <f>1+53/60</f>
        <v>1.8833333333333333</v>
      </c>
      <c r="C45" s="17">
        <v>11</v>
      </c>
      <c r="D45" s="29">
        <v>7</v>
      </c>
      <c r="E45" s="18">
        <v>2019</v>
      </c>
      <c r="F45" s="32">
        <v>5.2359999999999998</v>
      </c>
      <c r="G45" s="33">
        <v>-52.774999999999999</v>
      </c>
      <c r="H45" s="18" t="s">
        <v>39</v>
      </c>
      <c r="I45" s="19">
        <v>0</v>
      </c>
      <c r="J45" s="20">
        <v>291.60449999999997</v>
      </c>
      <c r="K45" s="19">
        <v>0</v>
      </c>
      <c r="L45" s="20">
        <v>32695.05</v>
      </c>
      <c r="M45" s="19">
        <v>0</v>
      </c>
      <c r="N45" s="20">
        <v>27393.15</v>
      </c>
      <c r="O45" s="62">
        <v>0</v>
      </c>
      <c r="P45" s="62">
        <v>353.46</v>
      </c>
      <c r="Q45" s="19">
        <v>0</v>
      </c>
      <c r="R45" s="20">
        <v>33578.699999999997</v>
      </c>
      <c r="S45" s="62">
        <v>0</v>
      </c>
      <c r="T45" s="62">
        <v>18556.649999999998</v>
      </c>
      <c r="U45" s="19">
        <v>0</v>
      </c>
      <c r="V45" s="51">
        <v>247.422</v>
      </c>
    </row>
    <row r="46" spans="1:22">
      <c r="A46" s="17" t="s">
        <v>82</v>
      </c>
      <c r="B46" s="61">
        <f>12+31/60</f>
        <v>12.516666666666667</v>
      </c>
      <c r="C46" s="17">
        <v>13</v>
      </c>
      <c r="D46" s="29">
        <v>7</v>
      </c>
      <c r="E46" s="18">
        <v>2019</v>
      </c>
      <c r="F46" s="32">
        <v>46.070999999999998</v>
      </c>
      <c r="G46" s="33">
        <v>62.984999999999999</v>
      </c>
      <c r="H46" s="18" t="s">
        <v>83</v>
      </c>
      <c r="I46" s="19">
        <v>0</v>
      </c>
      <c r="J46" s="20">
        <v>2855.333333333333</v>
      </c>
      <c r="K46" s="19">
        <v>0</v>
      </c>
      <c r="L46" s="20">
        <v>54251.333333333328</v>
      </c>
      <c r="M46" s="19">
        <v>0</v>
      </c>
      <c r="N46" s="20">
        <v>47113</v>
      </c>
      <c r="O46" s="62">
        <v>0</v>
      </c>
      <c r="P46" s="62">
        <v>571.06666666666661</v>
      </c>
      <c r="Q46" s="19">
        <v>0</v>
      </c>
      <c r="R46" s="20">
        <v>0</v>
      </c>
      <c r="S46" s="62">
        <v>0</v>
      </c>
      <c r="T46" s="62">
        <v>0</v>
      </c>
      <c r="U46" s="19">
        <v>0</v>
      </c>
      <c r="V46" s="51">
        <v>0</v>
      </c>
    </row>
    <row r="47" spans="1:22">
      <c r="A47" s="17" t="s">
        <v>84</v>
      </c>
      <c r="B47" s="61">
        <f>16+28/60</f>
        <v>16.466666666666665</v>
      </c>
      <c r="C47" s="17">
        <v>20</v>
      </c>
      <c r="D47" s="29">
        <v>7</v>
      </c>
      <c r="E47" s="18">
        <v>2019</v>
      </c>
      <c r="F47" s="32">
        <v>45.92</v>
      </c>
      <c r="G47" s="33">
        <v>63.341999999999999</v>
      </c>
      <c r="H47" s="18" t="s">
        <v>35</v>
      </c>
      <c r="I47" s="19">
        <v>622.92134831460669</v>
      </c>
      <c r="J47" s="51">
        <v>365.53370786516859</v>
      </c>
      <c r="K47" s="19">
        <v>13348.314606741573</v>
      </c>
      <c r="L47" s="51">
        <v>7832.8651685393261</v>
      </c>
      <c r="M47" s="19">
        <v>35595.505617977527</v>
      </c>
      <c r="N47" s="51">
        <v>20887.640449438204</v>
      </c>
      <c r="O47" s="62">
        <v>1557.303370786517</v>
      </c>
      <c r="P47" s="63">
        <v>913.83426966292143</v>
      </c>
      <c r="Q47" s="19">
        <v>0</v>
      </c>
      <c r="R47" s="20">
        <v>0</v>
      </c>
      <c r="S47" s="62">
        <v>0</v>
      </c>
      <c r="T47" s="62">
        <v>0</v>
      </c>
      <c r="U47" s="19">
        <v>0</v>
      </c>
      <c r="V47" s="51">
        <v>0</v>
      </c>
    </row>
    <row r="48" spans="1:22">
      <c r="A48" s="17" t="s">
        <v>85</v>
      </c>
      <c r="B48" s="61">
        <f>9+13/60</f>
        <v>9.2166666666666668</v>
      </c>
      <c r="C48" s="17">
        <v>22</v>
      </c>
      <c r="D48" s="29">
        <v>7</v>
      </c>
      <c r="E48" s="18">
        <v>2019</v>
      </c>
      <c r="F48" s="32">
        <v>13.72</v>
      </c>
      <c r="G48" s="33">
        <v>80.23</v>
      </c>
      <c r="H48" s="18" t="s">
        <v>86</v>
      </c>
      <c r="I48" s="19">
        <v>1364.154</v>
      </c>
      <c r="J48" s="20">
        <v>766.66666666666674</v>
      </c>
      <c r="K48" s="19">
        <v>152950.6</v>
      </c>
      <c r="L48" s="20">
        <v>14566.666666666668</v>
      </c>
      <c r="M48" s="19">
        <v>128147.8</v>
      </c>
      <c r="N48" s="20">
        <v>12650.000000000002</v>
      </c>
      <c r="O48" s="62">
        <v>1653.52</v>
      </c>
      <c r="P48" s="62">
        <v>153.33333333333334</v>
      </c>
      <c r="Q48" s="19">
        <v>157084.4</v>
      </c>
      <c r="R48" s="20">
        <v>0</v>
      </c>
      <c r="S48" s="62">
        <v>86809.8</v>
      </c>
      <c r="T48" s="62">
        <v>0</v>
      </c>
      <c r="U48" s="19">
        <v>1157.4639999999999</v>
      </c>
      <c r="V48" s="51">
        <v>0</v>
      </c>
    </row>
    <row r="49" spans="1:22">
      <c r="A49" s="17" t="s">
        <v>87</v>
      </c>
      <c r="B49" s="61">
        <f>5</f>
        <v>5</v>
      </c>
      <c r="C49" s="17">
        <v>25</v>
      </c>
      <c r="D49" s="29">
        <v>7</v>
      </c>
      <c r="E49" s="18">
        <v>2019</v>
      </c>
      <c r="F49" s="32">
        <v>40.967500000000001</v>
      </c>
      <c r="G49" s="33">
        <v>100.2786</v>
      </c>
      <c r="H49" s="18" t="s">
        <v>88</v>
      </c>
      <c r="I49" s="19">
        <v>0</v>
      </c>
      <c r="J49" s="20">
        <v>66.33</v>
      </c>
      <c r="K49" s="19">
        <v>0</v>
      </c>
      <c r="L49" s="20">
        <v>7437</v>
      </c>
      <c r="M49" s="19">
        <v>0</v>
      </c>
      <c r="N49" s="20">
        <v>6231</v>
      </c>
      <c r="O49" s="62">
        <v>0</v>
      </c>
      <c r="P49" s="62">
        <v>80.400000000000006</v>
      </c>
      <c r="Q49" s="19">
        <v>0</v>
      </c>
      <c r="R49" s="20">
        <v>7638</v>
      </c>
      <c r="S49" s="62">
        <v>0</v>
      </c>
      <c r="T49" s="62">
        <v>4221</v>
      </c>
      <c r="U49" s="19">
        <v>0</v>
      </c>
      <c r="V49" s="51">
        <v>56.28</v>
      </c>
    </row>
    <row r="50" spans="1:22">
      <c r="A50" s="17" t="s">
        <v>89</v>
      </c>
      <c r="B50" s="61">
        <f>22+2/60</f>
        <v>22.033333333333335</v>
      </c>
      <c r="C50" s="17">
        <v>25</v>
      </c>
      <c r="D50" s="29">
        <v>7</v>
      </c>
      <c r="E50" s="18">
        <v>2019</v>
      </c>
      <c r="F50" s="32">
        <v>28.562000000000001</v>
      </c>
      <c r="G50" s="33">
        <v>-80.576999999999998</v>
      </c>
      <c r="H50" s="18" t="s">
        <v>11</v>
      </c>
      <c r="I50" s="19">
        <v>0</v>
      </c>
      <c r="J50" s="20">
        <v>1646.5730337078653</v>
      </c>
      <c r="K50" s="19">
        <v>0</v>
      </c>
      <c r="L50" s="20">
        <v>35283.707865168537</v>
      </c>
      <c r="M50" s="19">
        <v>0</v>
      </c>
      <c r="N50" s="20">
        <v>94089.887640449451</v>
      </c>
      <c r="O50" s="62">
        <v>0</v>
      </c>
      <c r="P50" s="62">
        <v>4116.4325842696635</v>
      </c>
      <c r="Q50" s="19">
        <v>0</v>
      </c>
      <c r="R50" s="20">
        <v>0</v>
      </c>
      <c r="S50" s="62">
        <v>0</v>
      </c>
      <c r="T50" s="62">
        <v>0</v>
      </c>
      <c r="U50" s="19">
        <v>0</v>
      </c>
      <c r="V50" s="51">
        <v>0</v>
      </c>
    </row>
    <row r="51" spans="1:22">
      <c r="A51" s="17" t="s">
        <v>90</v>
      </c>
      <c r="B51" s="61">
        <f>3+57/60</f>
        <v>3.95</v>
      </c>
      <c r="C51" s="17">
        <v>26</v>
      </c>
      <c r="D51" s="29">
        <v>7</v>
      </c>
      <c r="E51" s="18">
        <v>2019</v>
      </c>
      <c r="F51" s="32">
        <v>28.247</v>
      </c>
      <c r="G51" s="33">
        <v>102.029</v>
      </c>
      <c r="H51" s="18" t="s">
        <v>91</v>
      </c>
      <c r="I51" s="19">
        <v>0</v>
      </c>
      <c r="J51" s="20">
        <v>953.33333333333326</v>
      </c>
      <c r="K51" s="19">
        <v>0</v>
      </c>
      <c r="L51" s="20">
        <v>18113.333333333332</v>
      </c>
      <c r="M51" s="19">
        <v>0</v>
      </c>
      <c r="N51" s="20">
        <v>15730</v>
      </c>
      <c r="O51" s="62">
        <v>0</v>
      </c>
      <c r="P51" s="62">
        <v>190.66666666666666</v>
      </c>
      <c r="Q51" s="19">
        <v>0</v>
      </c>
      <c r="R51" s="20">
        <v>0</v>
      </c>
      <c r="S51" s="62">
        <v>0</v>
      </c>
      <c r="T51" s="62">
        <v>0</v>
      </c>
      <c r="U51" s="19">
        <v>0</v>
      </c>
      <c r="V51" s="51">
        <v>0</v>
      </c>
    </row>
    <row r="52" spans="1:22">
      <c r="A52" s="17" t="s">
        <v>92</v>
      </c>
      <c r="B52" s="61">
        <f>5+56/60</f>
        <v>5.9333333333333336</v>
      </c>
      <c r="C52" s="17">
        <v>30</v>
      </c>
      <c r="D52" s="29">
        <v>7</v>
      </c>
      <c r="E52" s="18">
        <v>2019</v>
      </c>
      <c r="F52" s="32">
        <v>62.929000000000002</v>
      </c>
      <c r="G52" s="33">
        <v>40.457000000000001</v>
      </c>
      <c r="H52" s="18" t="s">
        <v>93</v>
      </c>
      <c r="I52" s="19">
        <v>622.92134831460669</v>
      </c>
      <c r="J52" s="51">
        <v>365.53370786516859</v>
      </c>
      <c r="K52" s="19">
        <v>13348.314606741573</v>
      </c>
      <c r="L52" s="51">
        <v>7832.8651685393261</v>
      </c>
      <c r="M52" s="19">
        <v>35595.505617977527</v>
      </c>
      <c r="N52" s="51">
        <v>20887.640449438204</v>
      </c>
      <c r="O52" s="62">
        <v>1557.303370786517</v>
      </c>
      <c r="P52" s="63">
        <v>913.83426966292143</v>
      </c>
      <c r="Q52" s="19">
        <v>0</v>
      </c>
      <c r="R52" s="20">
        <v>0</v>
      </c>
      <c r="S52" s="62">
        <v>0</v>
      </c>
      <c r="T52" s="62">
        <v>0</v>
      </c>
      <c r="U52" s="19">
        <v>0</v>
      </c>
      <c r="V52" s="51">
        <v>0</v>
      </c>
    </row>
    <row r="53" spans="1:22">
      <c r="A53" s="17" t="s">
        <v>94</v>
      </c>
      <c r="B53" s="61">
        <f>12+11/60</f>
        <v>12.183333333333334</v>
      </c>
      <c r="C53" s="17">
        <v>31</v>
      </c>
      <c r="D53" s="29">
        <v>7</v>
      </c>
      <c r="E53" s="18">
        <v>2019</v>
      </c>
      <c r="F53" s="32">
        <v>45.996000000000002</v>
      </c>
      <c r="G53" s="33">
        <v>63.564</v>
      </c>
      <c r="H53" s="18" t="s">
        <v>48</v>
      </c>
      <c r="I53" s="19">
        <v>622.92134831460669</v>
      </c>
      <c r="J53" s="51">
        <v>365.53370786516859</v>
      </c>
      <c r="K53" s="19">
        <v>13348.314606741573</v>
      </c>
      <c r="L53" s="51">
        <v>7832.8651685393261</v>
      </c>
      <c r="M53" s="19">
        <v>35595.505617977527</v>
      </c>
      <c r="N53" s="51">
        <v>20887.640449438204</v>
      </c>
      <c r="O53" s="62">
        <v>1557.303370786517</v>
      </c>
      <c r="P53" s="63">
        <v>913.83426966292143</v>
      </c>
      <c r="Q53" s="19">
        <v>0</v>
      </c>
      <c r="R53" s="20">
        <v>0</v>
      </c>
      <c r="S53" s="62">
        <v>0</v>
      </c>
      <c r="T53" s="62">
        <v>0</v>
      </c>
      <c r="U53" s="19">
        <v>0</v>
      </c>
      <c r="V53" s="51">
        <v>0</v>
      </c>
    </row>
    <row r="54" spans="1:22">
      <c r="A54" s="17" t="s">
        <v>95</v>
      </c>
      <c r="B54" s="61">
        <f>21+56/60</f>
        <v>21.933333333333334</v>
      </c>
      <c r="C54" s="17">
        <v>6</v>
      </c>
      <c r="D54" s="29">
        <v>8</v>
      </c>
      <c r="E54" s="18">
        <v>2019</v>
      </c>
      <c r="F54" s="32">
        <v>46.070999999999998</v>
      </c>
      <c r="G54" s="33">
        <v>62.984999999999999</v>
      </c>
      <c r="H54" s="18" t="s">
        <v>69</v>
      </c>
      <c r="I54" s="19">
        <v>0</v>
      </c>
      <c r="J54" s="20">
        <v>2855.333333333333</v>
      </c>
      <c r="K54" s="19">
        <v>0</v>
      </c>
      <c r="L54" s="20">
        <v>54251.333333333328</v>
      </c>
      <c r="M54" s="19">
        <v>0</v>
      </c>
      <c r="N54" s="20">
        <v>47113</v>
      </c>
      <c r="O54" s="62">
        <v>0</v>
      </c>
      <c r="P54" s="62">
        <v>571.06666666666661</v>
      </c>
      <c r="Q54" s="19">
        <v>0</v>
      </c>
      <c r="R54" s="20">
        <v>0</v>
      </c>
      <c r="S54" s="62">
        <v>0</v>
      </c>
      <c r="T54" s="62">
        <v>0</v>
      </c>
      <c r="U54" s="19">
        <v>0</v>
      </c>
      <c r="V54" s="51">
        <v>0</v>
      </c>
    </row>
    <row r="55" spans="1:22">
      <c r="A55" s="17" t="s">
        <v>96</v>
      </c>
      <c r="B55" s="61">
        <f>19+30/60</f>
        <v>19.5</v>
      </c>
      <c r="C55" s="17">
        <v>6</v>
      </c>
      <c r="D55" s="29">
        <v>8</v>
      </c>
      <c r="E55" s="18">
        <v>2019</v>
      </c>
      <c r="F55" s="32">
        <v>5.2389999999999999</v>
      </c>
      <c r="G55" s="33">
        <v>-52.768999999999998</v>
      </c>
      <c r="H55" s="18" t="s">
        <v>97</v>
      </c>
      <c r="I55" s="19">
        <v>1584</v>
      </c>
      <c r="J55" s="20">
        <v>816.66666666666674</v>
      </c>
      <c r="K55" s="19">
        <v>177600</v>
      </c>
      <c r="L55" s="20">
        <v>25000</v>
      </c>
      <c r="M55" s="19">
        <v>148800</v>
      </c>
      <c r="N55" s="20">
        <v>0</v>
      </c>
      <c r="O55" s="62">
        <v>1920</v>
      </c>
      <c r="P55" s="62">
        <v>0</v>
      </c>
      <c r="Q55" s="19">
        <v>182400</v>
      </c>
      <c r="R55" s="20">
        <v>0</v>
      </c>
      <c r="S55" s="62">
        <v>100800</v>
      </c>
      <c r="T55" s="62">
        <v>0</v>
      </c>
      <c r="U55" s="19">
        <v>1344</v>
      </c>
      <c r="V55" s="51">
        <v>0</v>
      </c>
    </row>
    <row r="56" spans="1:22">
      <c r="A56" s="17" t="s">
        <v>98</v>
      </c>
      <c r="B56" s="61">
        <f>23+23/60</f>
        <v>23.383333333333333</v>
      </c>
      <c r="C56" s="17">
        <v>6</v>
      </c>
      <c r="D56" s="29">
        <v>8</v>
      </c>
      <c r="E56" s="18">
        <v>2019</v>
      </c>
      <c r="F56" s="32">
        <v>28.562000000000001</v>
      </c>
      <c r="G56" s="33">
        <v>-80.576999999999998</v>
      </c>
      <c r="H56" s="18" t="s">
        <v>11</v>
      </c>
      <c r="I56" s="19">
        <v>0</v>
      </c>
      <c r="J56" s="20">
        <v>1646.5730337078653</v>
      </c>
      <c r="K56" s="19">
        <v>0</v>
      </c>
      <c r="L56" s="20">
        <v>35283.707865168537</v>
      </c>
      <c r="M56" s="19">
        <v>0</v>
      </c>
      <c r="N56" s="20">
        <v>94089.887640449451</v>
      </c>
      <c r="O56" s="62">
        <v>0</v>
      </c>
      <c r="P56" s="62">
        <v>4116.4325842696635</v>
      </c>
      <c r="Q56" s="19">
        <v>0</v>
      </c>
      <c r="R56" s="20">
        <v>0</v>
      </c>
      <c r="S56" s="62">
        <v>0</v>
      </c>
      <c r="T56" s="62">
        <v>0</v>
      </c>
      <c r="U56" s="19">
        <v>0</v>
      </c>
      <c r="V56" s="51">
        <v>0</v>
      </c>
    </row>
    <row r="57" spans="1:22">
      <c r="A57" s="17" t="s">
        <v>99</v>
      </c>
      <c r="B57" s="61">
        <f>10+13/60</f>
        <v>10.216666666666667</v>
      </c>
      <c r="C57" s="17">
        <v>8</v>
      </c>
      <c r="D57" s="29">
        <v>8</v>
      </c>
      <c r="E57" s="18">
        <v>2019</v>
      </c>
      <c r="F57" s="32">
        <v>28.582999999999998</v>
      </c>
      <c r="G57" s="33">
        <v>-80.582999999999998</v>
      </c>
      <c r="H57" s="18" t="s">
        <v>100</v>
      </c>
      <c r="I57" s="19">
        <v>703.39499999999998</v>
      </c>
      <c r="J57" s="20">
        <v>1123.5197740112994</v>
      </c>
      <c r="K57" s="19">
        <v>78865.5</v>
      </c>
      <c r="L57" s="20">
        <v>24075.423728813559</v>
      </c>
      <c r="M57" s="19">
        <v>66076.5</v>
      </c>
      <c r="N57" s="20">
        <v>64201.129943502827</v>
      </c>
      <c r="O57" s="62">
        <v>852.6</v>
      </c>
      <c r="P57" s="62">
        <v>2808.7994350282488</v>
      </c>
      <c r="Q57" s="19">
        <v>80997</v>
      </c>
      <c r="R57" s="20">
        <v>0</v>
      </c>
      <c r="S57" s="62">
        <v>44761.5</v>
      </c>
      <c r="T57" s="62">
        <v>0</v>
      </c>
      <c r="U57" s="19">
        <v>596.82000000000005</v>
      </c>
      <c r="V57" s="51">
        <v>0</v>
      </c>
    </row>
    <row r="58" spans="1:22">
      <c r="A58" s="17" t="s">
        <v>101</v>
      </c>
      <c r="B58" s="61">
        <f>4+14/60</f>
        <v>4.2333333333333334</v>
      </c>
      <c r="C58" s="17">
        <v>17</v>
      </c>
      <c r="D58" s="29">
        <v>8</v>
      </c>
      <c r="E58" s="18">
        <v>2019</v>
      </c>
      <c r="F58" s="34">
        <v>40.960999999999999</v>
      </c>
      <c r="G58" s="35">
        <v>100.298</v>
      </c>
      <c r="H58" s="18" t="s">
        <v>102</v>
      </c>
      <c r="I58" s="19">
        <v>0</v>
      </c>
      <c r="J58" s="20">
        <v>51.15</v>
      </c>
      <c r="K58" s="19">
        <v>0</v>
      </c>
      <c r="L58" s="20">
        <v>5735</v>
      </c>
      <c r="M58" s="19">
        <v>0</v>
      </c>
      <c r="N58" s="20">
        <v>4805</v>
      </c>
      <c r="O58" s="62">
        <v>0</v>
      </c>
      <c r="P58" s="62">
        <v>62</v>
      </c>
      <c r="Q58" s="19">
        <v>0</v>
      </c>
      <c r="R58" s="20">
        <v>5890</v>
      </c>
      <c r="S58" s="62">
        <v>0</v>
      </c>
      <c r="T58" s="62">
        <v>3255</v>
      </c>
      <c r="U58" s="19">
        <v>0</v>
      </c>
      <c r="V58" s="51">
        <v>43.4</v>
      </c>
    </row>
    <row r="59" spans="1:22">
      <c r="A59" s="17" t="s">
        <v>103</v>
      </c>
      <c r="B59" s="61">
        <f>12+3/60</f>
        <v>12.05</v>
      </c>
      <c r="C59" s="17">
        <v>19</v>
      </c>
      <c r="D59" s="29">
        <v>8</v>
      </c>
      <c r="E59" s="18">
        <v>2019</v>
      </c>
      <c r="F59" s="32">
        <v>28.245999999999999</v>
      </c>
      <c r="G59" s="33">
        <v>102.027</v>
      </c>
      <c r="H59" s="18" t="s">
        <v>104</v>
      </c>
      <c r="I59" s="19">
        <v>1096</v>
      </c>
      <c r="J59" s="20">
        <v>1241.3333333333333</v>
      </c>
      <c r="K59" s="19">
        <v>20824</v>
      </c>
      <c r="L59" s="20">
        <v>23585.333333333332</v>
      </c>
      <c r="M59" s="19">
        <v>18084</v>
      </c>
      <c r="N59" s="20">
        <v>20482</v>
      </c>
      <c r="O59" s="62">
        <v>219.20000000000002</v>
      </c>
      <c r="P59" s="62">
        <v>248.26666666666665</v>
      </c>
      <c r="Q59" s="19">
        <v>0</v>
      </c>
      <c r="R59" s="20">
        <v>0</v>
      </c>
      <c r="S59" s="62">
        <v>0</v>
      </c>
      <c r="T59" s="62">
        <v>0</v>
      </c>
      <c r="U59" s="19">
        <v>0</v>
      </c>
      <c r="V59" s="51">
        <v>0</v>
      </c>
    </row>
    <row r="60" spans="1:22">
      <c r="A60" s="17" t="s">
        <v>105</v>
      </c>
      <c r="B60" s="61">
        <f>12+12/60</f>
        <v>12.2</v>
      </c>
      <c r="C60" s="17">
        <v>19</v>
      </c>
      <c r="D60" s="29">
        <v>8</v>
      </c>
      <c r="E60" s="18">
        <v>2019</v>
      </c>
      <c r="F60" s="32">
        <v>-39.251199999999997</v>
      </c>
      <c r="G60" s="33">
        <v>177.8673</v>
      </c>
      <c r="H60" s="18" t="s">
        <v>43</v>
      </c>
      <c r="I60" s="19">
        <v>0</v>
      </c>
      <c r="J60" s="20">
        <v>36.376404494382022</v>
      </c>
      <c r="K60" s="19">
        <v>0</v>
      </c>
      <c r="L60" s="20">
        <v>779.49438202247177</v>
      </c>
      <c r="M60" s="19">
        <v>0</v>
      </c>
      <c r="N60" s="20">
        <v>2078.6516853932585</v>
      </c>
      <c r="O60" s="62">
        <v>0</v>
      </c>
      <c r="P60" s="62">
        <v>90.94101123595506</v>
      </c>
      <c r="Q60" s="19">
        <v>0</v>
      </c>
      <c r="R60" s="20">
        <v>0</v>
      </c>
      <c r="S60" s="62">
        <v>0</v>
      </c>
      <c r="T60" s="62">
        <v>0</v>
      </c>
      <c r="U60" s="19">
        <v>0</v>
      </c>
      <c r="V60" s="51">
        <v>0</v>
      </c>
    </row>
    <row r="61" spans="1:22">
      <c r="A61" s="17" t="s">
        <v>106</v>
      </c>
      <c r="B61" s="61">
        <f>3+38/60</f>
        <v>3.6333333333333333</v>
      </c>
      <c r="C61" s="17">
        <v>22</v>
      </c>
      <c r="D61" s="29">
        <v>8</v>
      </c>
      <c r="E61" s="18">
        <v>2019</v>
      </c>
      <c r="F61" s="32">
        <v>45.996000000000002</v>
      </c>
      <c r="G61" s="33">
        <v>63.564</v>
      </c>
      <c r="H61" s="18" t="s">
        <v>48</v>
      </c>
      <c r="I61" s="19">
        <v>622.92134831460669</v>
      </c>
      <c r="J61" s="51">
        <v>365.53370786516859</v>
      </c>
      <c r="K61" s="19">
        <v>13348.314606741573</v>
      </c>
      <c r="L61" s="51">
        <v>7832.8651685393261</v>
      </c>
      <c r="M61" s="19">
        <v>35595.505617977527</v>
      </c>
      <c r="N61" s="51">
        <v>20887.640449438204</v>
      </c>
      <c r="O61" s="62">
        <v>1557.303370786517</v>
      </c>
      <c r="P61" s="63">
        <v>913.83426966292143</v>
      </c>
      <c r="Q61" s="19">
        <v>0</v>
      </c>
      <c r="R61" s="20">
        <v>0</v>
      </c>
      <c r="S61" s="62">
        <v>0</v>
      </c>
      <c r="T61" s="62">
        <v>0</v>
      </c>
      <c r="U61" s="19">
        <v>0</v>
      </c>
      <c r="V61" s="51">
        <v>0</v>
      </c>
    </row>
    <row r="62" spans="1:22">
      <c r="A62" s="17" t="s">
        <v>107</v>
      </c>
      <c r="B62" s="61">
        <f>13+6/60</f>
        <v>13.1</v>
      </c>
      <c r="C62" s="17">
        <v>22</v>
      </c>
      <c r="D62" s="29">
        <v>8</v>
      </c>
      <c r="E62" s="18">
        <v>2019</v>
      </c>
      <c r="F62" s="32">
        <v>28.530999999999999</v>
      </c>
      <c r="G62" s="33">
        <v>-80.564999999999998</v>
      </c>
      <c r="H62" s="18" t="s">
        <v>108</v>
      </c>
      <c r="I62" s="19">
        <v>196.02</v>
      </c>
      <c r="J62" s="20">
        <v>952</v>
      </c>
      <c r="K62" s="19">
        <v>21978</v>
      </c>
      <c r="L62" s="20">
        <v>29142.857142857141</v>
      </c>
      <c r="M62" s="19">
        <v>18414</v>
      </c>
      <c r="N62" s="20">
        <v>0</v>
      </c>
      <c r="O62" s="62">
        <v>237.6</v>
      </c>
      <c r="P62" s="62">
        <v>0</v>
      </c>
      <c r="Q62" s="19">
        <v>22572</v>
      </c>
      <c r="R62" s="20">
        <v>0</v>
      </c>
      <c r="S62" s="62">
        <v>12474</v>
      </c>
      <c r="T62" s="62">
        <v>0</v>
      </c>
      <c r="U62" s="19">
        <v>166.32</v>
      </c>
      <c r="V62" s="51">
        <v>0</v>
      </c>
    </row>
    <row r="63" spans="1:22">
      <c r="A63" s="17" t="s">
        <v>109</v>
      </c>
      <c r="B63" s="61">
        <f>14</f>
        <v>14</v>
      </c>
      <c r="C63" s="17">
        <v>30</v>
      </c>
      <c r="D63" s="29">
        <v>8</v>
      </c>
      <c r="E63" s="18">
        <v>2019</v>
      </c>
      <c r="F63" s="32">
        <v>62.887</v>
      </c>
      <c r="G63" s="33">
        <v>40.847000000000001</v>
      </c>
      <c r="H63" s="18" t="s">
        <v>110</v>
      </c>
      <c r="I63" s="19">
        <v>0</v>
      </c>
      <c r="J63" s="20">
        <v>476.33333333333337</v>
      </c>
      <c r="K63" s="19">
        <v>0</v>
      </c>
      <c r="L63" s="20">
        <v>9050.3333333333339</v>
      </c>
      <c r="M63" s="19">
        <v>0</v>
      </c>
      <c r="N63" s="20">
        <v>7859.5000000000009</v>
      </c>
      <c r="O63" s="62">
        <v>0</v>
      </c>
      <c r="P63" s="62">
        <v>95.26666666666668</v>
      </c>
      <c r="Q63" s="19">
        <v>0</v>
      </c>
      <c r="R63" s="20">
        <v>0</v>
      </c>
      <c r="S63" s="62">
        <v>0</v>
      </c>
      <c r="T63" s="62">
        <v>0</v>
      </c>
      <c r="U63" s="19">
        <v>0</v>
      </c>
      <c r="V63" s="51">
        <v>0</v>
      </c>
    </row>
    <row r="64" spans="1:22">
      <c r="A64" s="17" t="s">
        <v>111</v>
      </c>
      <c r="B64" s="61">
        <f>23+41/60</f>
        <v>23.683333333333334</v>
      </c>
      <c r="C64" s="17">
        <v>30</v>
      </c>
      <c r="D64" s="29">
        <v>8</v>
      </c>
      <c r="E64" s="18">
        <v>2019</v>
      </c>
      <c r="F64" s="32">
        <v>40.972000000000001</v>
      </c>
      <c r="G64" s="33">
        <v>100.364</v>
      </c>
      <c r="H64" s="18" t="s">
        <v>112</v>
      </c>
      <c r="I64" s="19">
        <v>0</v>
      </c>
      <c r="J64" s="20">
        <v>49.5</v>
      </c>
      <c r="K64" s="19">
        <v>0</v>
      </c>
      <c r="L64" s="20">
        <v>5550</v>
      </c>
      <c r="M64" s="19">
        <v>0</v>
      </c>
      <c r="N64" s="20">
        <v>4650</v>
      </c>
      <c r="O64" s="62">
        <v>0</v>
      </c>
      <c r="P64" s="62">
        <v>60</v>
      </c>
      <c r="Q64" s="19">
        <v>0</v>
      </c>
      <c r="R64" s="20">
        <v>5700</v>
      </c>
      <c r="S64" s="62">
        <v>0</v>
      </c>
      <c r="T64" s="62">
        <v>3150</v>
      </c>
      <c r="U64" s="19">
        <v>0</v>
      </c>
      <c r="V64" s="51">
        <v>42</v>
      </c>
    </row>
    <row r="65" spans="1:22">
      <c r="A65" s="17" t="s">
        <v>113</v>
      </c>
      <c r="B65" s="61">
        <f>3+26/60</f>
        <v>3.4333333333333336</v>
      </c>
      <c r="C65" s="17">
        <v>12</v>
      </c>
      <c r="D65" s="29">
        <v>9</v>
      </c>
      <c r="E65" s="18">
        <v>2019</v>
      </c>
      <c r="F65" s="32">
        <v>38.863</v>
      </c>
      <c r="G65" s="33">
        <v>111.589</v>
      </c>
      <c r="H65" s="18" t="s">
        <v>57</v>
      </c>
      <c r="I65" s="19">
        <v>0</v>
      </c>
      <c r="J65" s="20">
        <v>1221.3333333333333</v>
      </c>
      <c r="K65" s="19">
        <v>0</v>
      </c>
      <c r="L65" s="20">
        <v>23205.333333333332</v>
      </c>
      <c r="M65" s="19">
        <v>0</v>
      </c>
      <c r="N65" s="20">
        <v>20152</v>
      </c>
      <c r="O65" s="62">
        <v>0</v>
      </c>
      <c r="P65" s="62">
        <v>244.26666666666665</v>
      </c>
      <c r="Q65" s="19">
        <v>0</v>
      </c>
      <c r="R65" s="20">
        <v>0</v>
      </c>
      <c r="S65" s="62">
        <v>0</v>
      </c>
      <c r="T65" s="62">
        <v>0</v>
      </c>
      <c r="U65" s="19">
        <v>0</v>
      </c>
      <c r="V65" s="51">
        <v>0</v>
      </c>
    </row>
    <row r="66" spans="1:22">
      <c r="A66" s="17" t="s">
        <v>114</v>
      </c>
      <c r="B66" s="61">
        <f>6+42/60</f>
        <v>6.7</v>
      </c>
      <c r="C66" s="17">
        <v>19</v>
      </c>
      <c r="D66" s="29">
        <v>9</v>
      </c>
      <c r="E66" s="18">
        <v>2019</v>
      </c>
      <c r="F66" s="34">
        <v>40.960999999999999</v>
      </c>
      <c r="G66" s="35">
        <v>100.298</v>
      </c>
      <c r="H66" s="18" t="s">
        <v>19</v>
      </c>
      <c r="I66" s="19">
        <v>0</v>
      </c>
      <c r="J66" s="20">
        <v>115.5</v>
      </c>
      <c r="K66" s="19">
        <v>0</v>
      </c>
      <c r="L66" s="20">
        <v>12950</v>
      </c>
      <c r="M66" s="19">
        <v>0</v>
      </c>
      <c r="N66" s="20">
        <v>10850</v>
      </c>
      <c r="O66" s="62">
        <v>0</v>
      </c>
      <c r="P66" s="62">
        <v>140</v>
      </c>
      <c r="Q66" s="19">
        <v>0</v>
      </c>
      <c r="R66" s="20">
        <v>13300</v>
      </c>
      <c r="S66" s="62">
        <v>0</v>
      </c>
      <c r="T66" s="62">
        <v>7350</v>
      </c>
      <c r="U66" s="19">
        <v>0</v>
      </c>
      <c r="V66" s="51">
        <v>98</v>
      </c>
    </row>
    <row r="67" spans="1:22">
      <c r="A67" s="17" t="s">
        <v>115</v>
      </c>
      <c r="B67" s="61">
        <f>21+10/60</f>
        <v>21.166666666666668</v>
      </c>
      <c r="C67" s="17">
        <v>22</v>
      </c>
      <c r="D67" s="29">
        <v>9</v>
      </c>
      <c r="E67" s="18">
        <v>2019</v>
      </c>
      <c r="F67" s="32">
        <v>28.245999999999999</v>
      </c>
      <c r="G67" s="33">
        <v>102.027</v>
      </c>
      <c r="H67" s="18" t="s">
        <v>116</v>
      </c>
      <c r="I67" s="19">
        <v>1096</v>
      </c>
      <c r="J67" s="20">
        <v>1241.3333333333333</v>
      </c>
      <c r="K67" s="19">
        <v>20824</v>
      </c>
      <c r="L67" s="20">
        <v>23585.333333333332</v>
      </c>
      <c r="M67" s="19">
        <v>18084</v>
      </c>
      <c r="N67" s="20">
        <v>20482</v>
      </c>
      <c r="O67" s="62">
        <v>219.20000000000002</v>
      </c>
      <c r="P67" s="62">
        <v>248.26666666666665</v>
      </c>
      <c r="Q67" s="19">
        <v>0</v>
      </c>
      <c r="R67" s="20">
        <v>0</v>
      </c>
      <c r="S67" s="62">
        <v>0</v>
      </c>
      <c r="T67" s="62">
        <v>0</v>
      </c>
      <c r="U67" s="19">
        <v>0</v>
      </c>
      <c r="V67" s="51">
        <v>0</v>
      </c>
    </row>
    <row r="68" spans="1:22">
      <c r="A68" s="17" t="s">
        <v>117</v>
      </c>
      <c r="B68" s="61">
        <f>16+5/60</f>
        <v>16.083333333333332</v>
      </c>
      <c r="C68" s="17">
        <v>24</v>
      </c>
      <c r="D68" s="29">
        <v>9</v>
      </c>
      <c r="E68" s="18">
        <v>2019</v>
      </c>
      <c r="F68" s="32">
        <v>30.401</v>
      </c>
      <c r="G68" s="33">
        <v>130.97499999999999</v>
      </c>
      <c r="H68" s="18" t="s">
        <v>118</v>
      </c>
      <c r="I68" s="19">
        <v>871.2</v>
      </c>
      <c r="J68" s="20">
        <v>829.73333333333346</v>
      </c>
      <c r="K68" s="19">
        <v>97680</v>
      </c>
      <c r="L68" s="20">
        <v>25400</v>
      </c>
      <c r="M68" s="19">
        <v>81840</v>
      </c>
      <c r="N68" s="20">
        <v>0</v>
      </c>
      <c r="O68" s="62">
        <v>1056</v>
      </c>
      <c r="P68" s="62">
        <v>0</v>
      </c>
      <c r="Q68" s="19">
        <v>100320</v>
      </c>
      <c r="R68" s="20">
        <v>0</v>
      </c>
      <c r="S68" s="62">
        <v>55440</v>
      </c>
      <c r="T68" s="62">
        <v>0</v>
      </c>
      <c r="U68" s="19">
        <v>739.2</v>
      </c>
      <c r="V68" s="51">
        <v>0</v>
      </c>
    </row>
    <row r="69" spans="1:22">
      <c r="A69" s="17" t="s">
        <v>119</v>
      </c>
      <c r="B69" s="61">
        <f>54/60</f>
        <v>0.9</v>
      </c>
      <c r="C69" s="17">
        <v>25</v>
      </c>
      <c r="D69" s="29">
        <v>9</v>
      </c>
      <c r="E69" s="18">
        <v>2019</v>
      </c>
      <c r="F69" s="34">
        <v>40.960999999999999</v>
      </c>
      <c r="G69" s="35">
        <v>100.298</v>
      </c>
      <c r="H69" s="18" t="s">
        <v>120</v>
      </c>
      <c r="I69" s="19">
        <v>0</v>
      </c>
      <c r="J69" s="20">
        <v>1221.3333333333333</v>
      </c>
      <c r="K69" s="19">
        <v>0</v>
      </c>
      <c r="L69" s="20">
        <v>23205.333333333332</v>
      </c>
      <c r="M69" s="19">
        <v>0</v>
      </c>
      <c r="N69" s="20">
        <v>20152</v>
      </c>
      <c r="O69" s="62">
        <v>0</v>
      </c>
      <c r="P69" s="62">
        <v>244.26666666666665</v>
      </c>
      <c r="Q69" s="19">
        <v>0</v>
      </c>
      <c r="R69" s="20">
        <v>0</v>
      </c>
      <c r="S69" s="62">
        <v>0</v>
      </c>
      <c r="T69" s="62">
        <v>0</v>
      </c>
      <c r="U69" s="19">
        <v>0</v>
      </c>
      <c r="V69" s="51">
        <v>0</v>
      </c>
    </row>
    <row r="70" spans="1:22">
      <c r="A70" s="17" t="s">
        <v>121</v>
      </c>
      <c r="B70" s="61">
        <f>13+58/60</f>
        <v>13.966666666666667</v>
      </c>
      <c r="C70" s="17">
        <v>25</v>
      </c>
      <c r="D70" s="29">
        <v>9</v>
      </c>
      <c r="E70" s="18">
        <v>2019</v>
      </c>
      <c r="F70" s="32">
        <v>45.92</v>
      </c>
      <c r="G70" s="33">
        <v>63.341999999999999</v>
      </c>
      <c r="H70" s="18" t="s">
        <v>35</v>
      </c>
      <c r="I70" s="19">
        <v>622.92134831460669</v>
      </c>
      <c r="J70" s="51">
        <v>365.53370786516859</v>
      </c>
      <c r="K70" s="19">
        <v>13348.314606741573</v>
      </c>
      <c r="L70" s="51">
        <v>7832.8651685393261</v>
      </c>
      <c r="M70" s="19">
        <v>35595.505617977527</v>
      </c>
      <c r="N70" s="51">
        <v>20887.640449438204</v>
      </c>
      <c r="O70" s="62">
        <v>1557.303370786517</v>
      </c>
      <c r="P70" s="63">
        <v>913.83426966292143</v>
      </c>
      <c r="Q70" s="19">
        <v>0</v>
      </c>
      <c r="R70" s="20">
        <v>0</v>
      </c>
      <c r="S70" s="62">
        <v>0</v>
      </c>
      <c r="T70" s="62">
        <v>0</v>
      </c>
      <c r="U70" s="19">
        <v>0</v>
      </c>
      <c r="V70" s="51">
        <v>0</v>
      </c>
    </row>
    <row r="71" spans="1:22">
      <c r="A71" s="17" t="s">
        <v>122</v>
      </c>
      <c r="B71" s="61">
        <f>7+46/60</f>
        <v>7.7666666666666666</v>
      </c>
      <c r="C71" s="17">
        <v>26</v>
      </c>
      <c r="D71" s="29">
        <v>9</v>
      </c>
      <c r="E71" s="18">
        <v>2019</v>
      </c>
      <c r="F71" s="32">
        <v>62.929000000000002</v>
      </c>
      <c r="G71" s="33">
        <v>40.457000000000001</v>
      </c>
      <c r="H71" s="18" t="s">
        <v>27</v>
      </c>
      <c r="I71" s="19">
        <v>622.92134831460669</v>
      </c>
      <c r="J71" s="51">
        <v>365.53370786516859</v>
      </c>
      <c r="K71" s="19">
        <v>13348.314606741573</v>
      </c>
      <c r="L71" s="51">
        <v>7832.8651685393261</v>
      </c>
      <c r="M71" s="19">
        <v>35595.505617977527</v>
      </c>
      <c r="N71" s="51">
        <v>20887.640449438204</v>
      </c>
      <c r="O71" s="62">
        <v>1557.303370786517</v>
      </c>
      <c r="P71" s="63">
        <v>913.83426966292143</v>
      </c>
      <c r="Q71" s="19">
        <v>0</v>
      </c>
      <c r="R71" s="20">
        <v>0</v>
      </c>
      <c r="S71" s="62">
        <v>0</v>
      </c>
      <c r="T71" s="62">
        <v>0</v>
      </c>
      <c r="U71" s="19">
        <v>0</v>
      </c>
      <c r="V71" s="51">
        <v>0</v>
      </c>
    </row>
    <row r="72" spans="1:22">
      <c r="A72" s="17" t="s">
        <v>123</v>
      </c>
      <c r="B72" s="61">
        <f>18+51/60</f>
        <v>18.850000000000001</v>
      </c>
      <c r="C72" s="17">
        <v>4</v>
      </c>
      <c r="D72" s="29">
        <v>10</v>
      </c>
      <c r="E72" s="18">
        <v>2019</v>
      </c>
      <c r="F72" s="32">
        <v>38.863</v>
      </c>
      <c r="G72" s="33">
        <v>111.589</v>
      </c>
      <c r="H72" s="18" t="s">
        <v>65</v>
      </c>
      <c r="I72" s="19">
        <v>0</v>
      </c>
      <c r="J72" s="20">
        <v>1221.3333333333333</v>
      </c>
      <c r="K72" s="19">
        <v>0</v>
      </c>
      <c r="L72" s="20">
        <v>23205.333333333332</v>
      </c>
      <c r="M72" s="19">
        <v>0</v>
      </c>
      <c r="N72" s="20">
        <v>20152</v>
      </c>
      <c r="O72" s="62">
        <v>0</v>
      </c>
      <c r="P72" s="62">
        <v>244.26666666666665</v>
      </c>
      <c r="Q72" s="19">
        <v>0</v>
      </c>
      <c r="R72" s="20">
        <v>0</v>
      </c>
      <c r="S72" s="62">
        <v>0</v>
      </c>
      <c r="T72" s="62">
        <v>0</v>
      </c>
      <c r="U72" s="19">
        <v>0</v>
      </c>
      <c r="V72" s="51">
        <v>0</v>
      </c>
    </row>
    <row r="73" spans="1:22">
      <c r="A73" s="17" t="s">
        <v>124</v>
      </c>
      <c r="B73" s="61">
        <f>10+17/60</f>
        <v>10.283333333333333</v>
      </c>
      <c r="C73" s="17">
        <v>9</v>
      </c>
      <c r="D73" s="29">
        <v>10</v>
      </c>
      <c r="E73" s="18">
        <v>2019</v>
      </c>
      <c r="F73" s="32">
        <v>46.04</v>
      </c>
      <c r="G73" s="33">
        <v>63.031999999999996</v>
      </c>
      <c r="H73" s="18" t="s">
        <v>125</v>
      </c>
      <c r="I73" s="19">
        <v>0</v>
      </c>
      <c r="J73" s="20">
        <v>2855.333333333333</v>
      </c>
      <c r="K73" s="19">
        <v>0</v>
      </c>
      <c r="L73" s="20">
        <v>54251.333333333328</v>
      </c>
      <c r="M73" s="19">
        <v>0</v>
      </c>
      <c r="N73" s="20">
        <v>47113</v>
      </c>
      <c r="O73" s="62">
        <v>0</v>
      </c>
      <c r="P73" s="62">
        <v>571.06666666666661</v>
      </c>
      <c r="Q73" s="19">
        <v>0</v>
      </c>
      <c r="R73" s="20">
        <v>0</v>
      </c>
      <c r="S73" s="62">
        <v>0</v>
      </c>
      <c r="T73" s="62">
        <v>0</v>
      </c>
      <c r="U73" s="19">
        <v>0</v>
      </c>
      <c r="V73" s="51">
        <v>0</v>
      </c>
    </row>
    <row r="74" spans="1:22">
      <c r="A74" s="17" t="s">
        <v>126</v>
      </c>
      <c r="B74" s="61">
        <f>2</f>
        <v>2</v>
      </c>
      <c r="C74" s="17">
        <v>11</v>
      </c>
      <c r="D74" s="29">
        <v>10</v>
      </c>
      <c r="E74" s="18">
        <v>2019</v>
      </c>
      <c r="F74" s="34">
        <v>28.405999999999999</v>
      </c>
      <c r="G74" s="35">
        <v>-80.605000000000004</v>
      </c>
      <c r="H74" s="18" t="s">
        <v>127</v>
      </c>
      <c r="I74" s="19">
        <v>0</v>
      </c>
      <c r="J74" s="20">
        <v>49.533000000000001</v>
      </c>
      <c r="K74" s="19">
        <v>0</v>
      </c>
      <c r="L74" s="20">
        <v>5553.7</v>
      </c>
      <c r="M74" s="19">
        <v>0</v>
      </c>
      <c r="N74" s="20">
        <v>4653.1000000000004</v>
      </c>
      <c r="O74" s="62">
        <v>0</v>
      </c>
      <c r="P74" s="62">
        <v>60.04</v>
      </c>
      <c r="Q74" s="19">
        <v>0</v>
      </c>
      <c r="R74" s="20">
        <v>5703.8</v>
      </c>
      <c r="S74" s="62">
        <v>0</v>
      </c>
      <c r="T74" s="62">
        <v>3152.1</v>
      </c>
      <c r="U74" s="19">
        <v>0</v>
      </c>
      <c r="V74" s="51">
        <v>42.027999999999999</v>
      </c>
    </row>
    <row r="75" spans="1:22">
      <c r="A75" s="17" t="s">
        <v>128</v>
      </c>
      <c r="B75" s="61">
        <f>1+22/60</f>
        <v>1.3666666666666667</v>
      </c>
      <c r="C75" s="17">
        <v>17</v>
      </c>
      <c r="D75" s="29">
        <v>10</v>
      </c>
      <c r="E75" s="18">
        <v>2019</v>
      </c>
      <c r="F75" s="32">
        <v>-39.251199999999997</v>
      </c>
      <c r="G75" s="33">
        <v>177.8673</v>
      </c>
      <c r="H75" s="18" t="s">
        <v>43</v>
      </c>
      <c r="I75" s="19">
        <v>0</v>
      </c>
      <c r="J75" s="20">
        <v>36.376404494382022</v>
      </c>
      <c r="K75" s="19">
        <v>0</v>
      </c>
      <c r="L75" s="20">
        <v>779.49438202247177</v>
      </c>
      <c r="M75" s="19">
        <v>0</v>
      </c>
      <c r="N75" s="20">
        <v>2078.6516853932585</v>
      </c>
      <c r="O75" s="62">
        <v>0</v>
      </c>
      <c r="P75" s="62">
        <v>90.94101123595506</v>
      </c>
      <c r="Q75" s="19">
        <v>0</v>
      </c>
      <c r="R75" s="20">
        <v>0</v>
      </c>
      <c r="S75" s="62">
        <v>0</v>
      </c>
      <c r="T75" s="62">
        <v>0</v>
      </c>
      <c r="U75" s="19">
        <v>0</v>
      </c>
      <c r="V75" s="51">
        <v>0</v>
      </c>
    </row>
    <row r="76" spans="1:22">
      <c r="A76" s="17" t="s">
        <v>129</v>
      </c>
      <c r="B76" s="61">
        <f>15+21/60</f>
        <v>15.35</v>
      </c>
      <c r="C76" s="17">
        <v>17</v>
      </c>
      <c r="D76" s="29">
        <v>10</v>
      </c>
      <c r="E76" s="18">
        <v>2019</v>
      </c>
      <c r="F76" s="32">
        <v>28.247</v>
      </c>
      <c r="G76" s="33">
        <v>102.029</v>
      </c>
      <c r="H76" s="18" t="s">
        <v>9</v>
      </c>
      <c r="I76" s="19">
        <v>1096</v>
      </c>
      <c r="J76" s="20">
        <v>1241.3333333333333</v>
      </c>
      <c r="K76" s="19">
        <v>20824</v>
      </c>
      <c r="L76" s="20">
        <v>23585.333333333332</v>
      </c>
      <c r="M76" s="19">
        <v>18084</v>
      </c>
      <c r="N76" s="20">
        <v>20482</v>
      </c>
      <c r="O76" s="62">
        <v>219.20000000000002</v>
      </c>
      <c r="P76" s="62">
        <v>248.26666666666665</v>
      </c>
      <c r="Q76" s="19">
        <v>0</v>
      </c>
      <c r="R76" s="20">
        <v>0</v>
      </c>
      <c r="S76" s="62">
        <v>0</v>
      </c>
      <c r="T76" s="62">
        <v>0</v>
      </c>
      <c r="U76" s="19">
        <v>0</v>
      </c>
      <c r="V76" s="51">
        <v>0</v>
      </c>
    </row>
    <row r="77" spans="1:22">
      <c r="A77" s="17" t="s">
        <v>130</v>
      </c>
      <c r="B77" s="61">
        <f>14</f>
        <v>14</v>
      </c>
      <c r="C77" s="17">
        <v>2</v>
      </c>
      <c r="D77" s="29">
        <v>11</v>
      </c>
      <c r="E77" s="18">
        <v>2019</v>
      </c>
      <c r="F77" s="32">
        <v>37.832999999999998</v>
      </c>
      <c r="G77" s="33">
        <v>-75.488</v>
      </c>
      <c r="H77" s="18" t="s">
        <v>131</v>
      </c>
      <c r="I77" s="19">
        <v>0</v>
      </c>
      <c r="J77" s="20">
        <v>906.36</v>
      </c>
      <c r="K77" s="19">
        <v>0</v>
      </c>
      <c r="L77" s="20">
        <v>19422</v>
      </c>
      <c r="M77" s="19">
        <v>0</v>
      </c>
      <c r="N77" s="20">
        <v>51792</v>
      </c>
      <c r="O77" s="62">
        <v>0</v>
      </c>
      <c r="P77" s="62">
        <v>2265.9</v>
      </c>
      <c r="Q77" s="19">
        <v>0</v>
      </c>
      <c r="R77" s="20">
        <v>0</v>
      </c>
      <c r="S77" s="62">
        <v>0</v>
      </c>
      <c r="T77" s="62">
        <v>0</v>
      </c>
      <c r="U77" s="19">
        <v>0</v>
      </c>
      <c r="V77" s="51">
        <v>0</v>
      </c>
    </row>
    <row r="78" spans="1:22">
      <c r="A78" s="17" t="s">
        <v>132</v>
      </c>
      <c r="B78" s="61">
        <f>3+22/60</f>
        <v>3.3666666666666667</v>
      </c>
      <c r="C78" s="17">
        <v>3</v>
      </c>
      <c r="D78" s="29">
        <v>11</v>
      </c>
      <c r="E78" s="18">
        <v>2019</v>
      </c>
      <c r="F78" s="32">
        <v>38.863</v>
      </c>
      <c r="G78" s="33">
        <v>111.589</v>
      </c>
      <c r="H78" s="18" t="s">
        <v>57</v>
      </c>
      <c r="I78" s="19">
        <v>0</v>
      </c>
      <c r="J78" s="20">
        <v>1221.3333333333333</v>
      </c>
      <c r="K78" s="19">
        <v>0</v>
      </c>
      <c r="L78" s="20">
        <v>23205.333333333332</v>
      </c>
      <c r="M78" s="19">
        <v>0</v>
      </c>
      <c r="N78" s="20">
        <v>20152</v>
      </c>
      <c r="O78" s="62">
        <v>0</v>
      </c>
      <c r="P78" s="62">
        <v>244.26666666666665</v>
      </c>
      <c r="Q78" s="19">
        <v>0</v>
      </c>
      <c r="R78" s="20">
        <v>0</v>
      </c>
      <c r="S78" s="62">
        <v>0</v>
      </c>
      <c r="T78" s="62">
        <v>0</v>
      </c>
      <c r="U78" s="19">
        <v>0</v>
      </c>
      <c r="V78" s="51">
        <v>0</v>
      </c>
    </row>
    <row r="79" spans="1:22">
      <c r="A79" s="17" t="s">
        <v>133</v>
      </c>
      <c r="B79" s="61">
        <f>17+43/60</f>
        <v>17.716666666666665</v>
      </c>
      <c r="C79" s="17">
        <v>4</v>
      </c>
      <c r="D79" s="29">
        <v>11</v>
      </c>
      <c r="E79" s="18">
        <v>2019</v>
      </c>
      <c r="F79" s="32">
        <v>28.245999999999999</v>
      </c>
      <c r="G79" s="33">
        <v>102.027</v>
      </c>
      <c r="H79" s="18" t="s">
        <v>9</v>
      </c>
      <c r="I79" s="19">
        <v>1096</v>
      </c>
      <c r="J79" s="20">
        <v>1241.3333333333333</v>
      </c>
      <c r="K79" s="19">
        <v>20824</v>
      </c>
      <c r="L79" s="20">
        <v>23585.333333333332</v>
      </c>
      <c r="M79" s="19">
        <v>18084</v>
      </c>
      <c r="N79" s="20">
        <v>20482</v>
      </c>
      <c r="O79" s="62">
        <v>219.20000000000002</v>
      </c>
      <c r="P79" s="62">
        <v>248.26666666666665</v>
      </c>
      <c r="Q79" s="19">
        <v>0</v>
      </c>
      <c r="R79" s="20">
        <v>0</v>
      </c>
      <c r="S79" s="62">
        <v>0</v>
      </c>
      <c r="T79" s="62">
        <v>0</v>
      </c>
      <c r="U79" s="19">
        <v>0</v>
      </c>
      <c r="V79" s="51">
        <v>0</v>
      </c>
    </row>
    <row r="80" spans="1:22">
      <c r="A80" s="17" t="s">
        <v>134</v>
      </c>
      <c r="B80" s="61">
        <f>14+56/60</f>
        <v>14.933333333333334</v>
      </c>
      <c r="C80" s="17">
        <v>11</v>
      </c>
      <c r="D80" s="29">
        <v>11</v>
      </c>
      <c r="E80" s="18">
        <v>2019</v>
      </c>
      <c r="F80" s="32">
        <v>28.562000000000001</v>
      </c>
      <c r="G80" s="33">
        <v>-80.576999999999998</v>
      </c>
      <c r="H80" s="18" t="s">
        <v>11</v>
      </c>
      <c r="I80" s="19">
        <v>0</v>
      </c>
      <c r="J80" s="20">
        <v>1646.5730337078653</v>
      </c>
      <c r="K80" s="19">
        <v>0</v>
      </c>
      <c r="L80" s="20">
        <v>35283.707865168537</v>
      </c>
      <c r="M80" s="19">
        <v>0</v>
      </c>
      <c r="N80" s="20">
        <v>94089.887640449451</v>
      </c>
      <c r="O80" s="62">
        <v>0</v>
      </c>
      <c r="P80" s="62">
        <v>4116.4325842696635</v>
      </c>
      <c r="Q80" s="19">
        <v>0</v>
      </c>
      <c r="R80" s="20">
        <v>0</v>
      </c>
      <c r="S80" s="62">
        <v>0</v>
      </c>
      <c r="T80" s="62">
        <v>0</v>
      </c>
      <c r="U80" s="19">
        <v>0</v>
      </c>
      <c r="V80" s="51">
        <v>0</v>
      </c>
    </row>
    <row r="81" spans="1:22">
      <c r="A81" s="17" t="s">
        <v>135</v>
      </c>
      <c r="B81" s="61">
        <f>3+40/60</f>
        <v>3.6666666666666665</v>
      </c>
      <c r="C81" s="17">
        <v>13</v>
      </c>
      <c r="D81" s="29">
        <v>11</v>
      </c>
      <c r="E81" s="18">
        <v>2019</v>
      </c>
      <c r="F81" s="32">
        <v>40.972000000000001</v>
      </c>
      <c r="G81" s="33">
        <v>100.364</v>
      </c>
      <c r="H81" s="18" t="s">
        <v>112</v>
      </c>
      <c r="I81" s="19">
        <v>0</v>
      </c>
      <c r="J81" s="20">
        <v>49.5</v>
      </c>
      <c r="K81" s="19">
        <v>0</v>
      </c>
      <c r="L81" s="20">
        <v>5550</v>
      </c>
      <c r="M81" s="19">
        <v>0</v>
      </c>
      <c r="N81" s="20">
        <v>4650</v>
      </c>
      <c r="O81" s="62">
        <v>0</v>
      </c>
      <c r="P81" s="62">
        <v>60</v>
      </c>
      <c r="Q81" s="19">
        <v>0</v>
      </c>
      <c r="R81" s="20">
        <v>5700</v>
      </c>
      <c r="S81" s="62">
        <v>0</v>
      </c>
      <c r="T81" s="62">
        <v>3150</v>
      </c>
      <c r="U81" s="19">
        <v>0</v>
      </c>
      <c r="V81" s="51">
        <v>42</v>
      </c>
    </row>
    <row r="82" spans="1:22">
      <c r="A82" s="17" t="s">
        <v>136</v>
      </c>
      <c r="B82" s="61">
        <f>6+35/60</f>
        <v>6.583333333333333</v>
      </c>
      <c r="C82" s="17">
        <v>13</v>
      </c>
      <c r="D82" s="29">
        <v>11</v>
      </c>
      <c r="E82" s="18">
        <v>2019</v>
      </c>
      <c r="F82" s="32">
        <v>38.868000000000002</v>
      </c>
      <c r="G82" s="33">
        <v>111.58</v>
      </c>
      <c r="H82" s="18" t="s">
        <v>137</v>
      </c>
      <c r="I82" s="19">
        <v>0</v>
      </c>
      <c r="J82" s="20">
        <v>298.87640449438203</v>
      </c>
      <c r="K82" s="19">
        <v>0</v>
      </c>
      <c r="L82" s="20">
        <v>6404.4943820224717</v>
      </c>
      <c r="M82" s="19">
        <v>0</v>
      </c>
      <c r="N82" s="20">
        <v>17078.651685393259</v>
      </c>
      <c r="O82" s="62">
        <v>0</v>
      </c>
      <c r="P82" s="62">
        <v>747.1910112359551</v>
      </c>
      <c r="Q82" s="19">
        <v>0</v>
      </c>
      <c r="R82" s="20">
        <v>0</v>
      </c>
      <c r="S82" s="62">
        <v>0</v>
      </c>
      <c r="T82" s="62">
        <v>0</v>
      </c>
      <c r="U82" s="19">
        <v>0</v>
      </c>
      <c r="V82" s="51">
        <v>0</v>
      </c>
    </row>
    <row r="83" spans="1:22">
      <c r="A83" s="17" t="s">
        <v>138</v>
      </c>
      <c r="B83" s="61">
        <f>10</f>
        <v>10</v>
      </c>
      <c r="C83" s="17">
        <v>17</v>
      </c>
      <c r="D83" s="29">
        <v>11</v>
      </c>
      <c r="E83" s="18">
        <v>2019</v>
      </c>
      <c r="F83" s="32">
        <v>40.972000000000001</v>
      </c>
      <c r="G83" s="33">
        <v>100.364</v>
      </c>
      <c r="H83" s="18" t="s">
        <v>112</v>
      </c>
      <c r="I83" s="19">
        <v>0</v>
      </c>
      <c r="J83" s="20">
        <v>49.5</v>
      </c>
      <c r="K83" s="19">
        <v>0</v>
      </c>
      <c r="L83" s="20">
        <v>5550</v>
      </c>
      <c r="M83" s="19">
        <v>0</v>
      </c>
      <c r="N83" s="20">
        <v>4650</v>
      </c>
      <c r="O83" s="62">
        <v>0</v>
      </c>
      <c r="P83" s="62">
        <v>60</v>
      </c>
      <c r="Q83" s="19">
        <v>0</v>
      </c>
      <c r="R83" s="20">
        <v>5700</v>
      </c>
      <c r="S83" s="62">
        <v>0</v>
      </c>
      <c r="T83" s="62">
        <v>3150</v>
      </c>
      <c r="U83" s="19">
        <v>0</v>
      </c>
      <c r="V83" s="51">
        <v>42</v>
      </c>
    </row>
    <row r="84" spans="1:22">
      <c r="A84" s="17" t="s">
        <v>139</v>
      </c>
      <c r="B84" s="61">
        <f>55/60</f>
        <v>0.91666666666666663</v>
      </c>
      <c r="C84" s="17">
        <v>23</v>
      </c>
      <c r="D84" s="29">
        <v>11</v>
      </c>
      <c r="E84" s="18">
        <v>2019</v>
      </c>
      <c r="F84" s="32">
        <v>28.247</v>
      </c>
      <c r="G84" s="33">
        <v>102.029</v>
      </c>
      <c r="H84" s="18" t="s">
        <v>116</v>
      </c>
      <c r="I84" s="19">
        <v>1096</v>
      </c>
      <c r="J84" s="20">
        <v>1241.3333333333333</v>
      </c>
      <c r="K84" s="19">
        <v>20824</v>
      </c>
      <c r="L84" s="20">
        <v>23585.333333333332</v>
      </c>
      <c r="M84" s="19">
        <v>18084</v>
      </c>
      <c r="N84" s="20">
        <v>20482</v>
      </c>
      <c r="O84" s="62">
        <v>219.20000000000002</v>
      </c>
      <c r="P84" s="62">
        <v>248.26666666666665</v>
      </c>
      <c r="Q84" s="19">
        <v>0</v>
      </c>
      <c r="R84" s="20">
        <v>0</v>
      </c>
      <c r="S84" s="62">
        <v>0</v>
      </c>
      <c r="T84" s="62">
        <v>0</v>
      </c>
      <c r="U84" s="19">
        <v>0</v>
      </c>
      <c r="V84" s="51">
        <v>0</v>
      </c>
    </row>
    <row r="85" spans="1:22">
      <c r="A85" s="17" t="s">
        <v>140</v>
      </c>
      <c r="B85" s="61">
        <f>17+52/60</f>
        <v>17.866666666666667</v>
      </c>
      <c r="C85" s="17">
        <v>25</v>
      </c>
      <c r="D85" s="29">
        <v>11</v>
      </c>
      <c r="E85" s="18">
        <v>2019</v>
      </c>
      <c r="F85" s="32">
        <v>62.929000000000002</v>
      </c>
      <c r="G85" s="33">
        <v>40.457000000000001</v>
      </c>
      <c r="H85" s="18" t="s">
        <v>80</v>
      </c>
      <c r="I85" s="19">
        <v>0</v>
      </c>
      <c r="J85" s="20">
        <v>470.62146892655363</v>
      </c>
      <c r="K85" s="19">
        <v>0</v>
      </c>
      <c r="L85" s="20">
        <v>10084.745762711864</v>
      </c>
      <c r="M85" s="19">
        <v>0</v>
      </c>
      <c r="N85" s="20">
        <v>26892.655367231637</v>
      </c>
      <c r="O85" s="62">
        <v>0</v>
      </c>
      <c r="P85" s="62">
        <v>1176.5536723163841</v>
      </c>
      <c r="Q85" s="19">
        <v>0</v>
      </c>
      <c r="R85" s="20">
        <v>0</v>
      </c>
      <c r="S85" s="62">
        <v>0</v>
      </c>
      <c r="T85" s="62">
        <v>0</v>
      </c>
      <c r="U85" s="19">
        <v>0</v>
      </c>
      <c r="V85" s="51">
        <v>0</v>
      </c>
    </row>
    <row r="86" spans="1:22">
      <c r="A86" s="17" t="s">
        <v>141</v>
      </c>
      <c r="B86" s="61">
        <f>21+23/60</f>
        <v>21.383333333333333</v>
      </c>
      <c r="C86" s="17">
        <v>26</v>
      </c>
      <c r="D86" s="29">
        <v>11</v>
      </c>
      <c r="E86" s="18">
        <v>2019</v>
      </c>
      <c r="F86" s="32">
        <v>5.2389999999999999</v>
      </c>
      <c r="G86" s="33">
        <v>-52.768999999999998</v>
      </c>
      <c r="H86" s="18" t="s">
        <v>23</v>
      </c>
      <c r="I86" s="19">
        <v>1584</v>
      </c>
      <c r="J86" s="20">
        <v>816.66666666666674</v>
      </c>
      <c r="K86" s="19">
        <v>177600</v>
      </c>
      <c r="L86" s="20">
        <v>25000</v>
      </c>
      <c r="M86" s="19">
        <v>148800</v>
      </c>
      <c r="N86" s="20">
        <v>0</v>
      </c>
      <c r="O86" s="62">
        <v>1920</v>
      </c>
      <c r="P86" s="62">
        <v>0</v>
      </c>
      <c r="Q86" s="19">
        <v>182400</v>
      </c>
      <c r="R86" s="20">
        <v>0</v>
      </c>
      <c r="S86" s="62">
        <v>100800</v>
      </c>
      <c r="T86" s="62">
        <v>0</v>
      </c>
      <c r="U86" s="19">
        <v>1344</v>
      </c>
      <c r="V86" s="51">
        <v>0</v>
      </c>
    </row>
    <row r="87" spans="1:22">
      <c r="A87" s="17" t="s">
        <v>142</v>
      </c>
      <c r="B87" s="61">
        <f>3+58/60</f>
        <v>3.9666666666666668</v>
      </c>
      <c r="C87" s="17">
        <v>27</v>
      </c>
      <c r="D87" s="29">
        <v>11</v>
      </c>
      <c r="E87" s="18">
        <v>2019</v>
      </c>
      <c r="F87" s="32">
        <v>13.72</v>
      </c>
      <c r="G87" s="33">
        <v>80.23</v>
      </c>
      <c r="H87" s="18" t="s">
        <v>143</v>
      </c>
      <c r="I87" s="19">
        <v>237.6</v>
      </c>
      <c r="J87" s="20">
        <v>455.4</v>
      </c>
      <c r="K87" s="19">
        <v>26640</v>
      </c>
      <c r="L87" s="20">
        <v>51060</v>
      </c>
      <c r="M87" s="19">
        <v>22320</v>
      </c>
      <c r="N87" s="20">
        <v>42780</v>
      </c>
      <c r="O87" s="62">
        <v>288</v>
      </c>
      <c r="P87" s="62">
        <v>552</v>
      </c>
      <c r="Q87" s="19">
        <v>27360</v>
      </c>
      <c r="R87" s="20">
        <v>52440</v>
      </c>
      <c r="S87" s="62">
        <v>15120</v>
      </c>
      <c r="T87" s="62">
        <v>28980</v>
      </c>
      <c r="U87" s="19">
        <v>201.6</v>
      </c>
      <c r="V87" s="51">
        <v>386.4</v>
      </c>
    </row>
    <row r="88" spans="1:22">
      <c r="A88" s="17" t="s">
        <v>144</v>
      </c>
      <c r="B88" s="61">
        <f>23+52/60</f>
        <v>23.866666666666667</v>
      </c>
      <c r="C88" s="17">
        <v>27</v>
      </c>
      <c r="D88" s="29">
        <v>11</v>
      </c>
      <c r="E88" s="18">
        <v>2019</v>
      </c>
      <c r="F88" s="32">
        <v>38.863</v>
      </c>
      <c r="G88" s="33">
        <v>111.589</v>
      </c>
      <c r="H88" s="18" t="s">
        <v>65</v>
      </c>
      <c r="I88" s="19">
        <v>0</v>
      </c>
      <c r="J88" s="20">
        <v>1221.3333333333333</v>
      </c>
      <c r="K88" s="19">
        <v>0</v>
      </c>
      <c r="L88" s="20">
        <v>23205.333333333332</v>
      </c>
      <c r="M88" s="19">
        <v>0</v>
      </c>
      <c r="N88" s="20">
        <v>20152</v>
      </c>
      <c r="O88" s="62">
        <v>0</v>
      </c>
      <c r="P88" s="62">
        <v>244.26666666666665</v>
      </c>
      <c r="Q88" s="19">
        <v>0</v>
      </c>
      <c r="R88" s="20">
        <v>0</v>
      </c>
      <c r="S88" s="62">
        <v>0</v>
      </c>
      <c r="T88" s="62">
        <v>0</v>
      </c>
      <c r="U88" s="19">
        <v>0</v>
      </c>
      <c r="V88" s="51">
        <v>0</v>
      </c>
    </row>
    <row r="89" spans="1:22">
      <c r="A89" s="17" t="s">
        <v>145</v>
      </c>
      <c r="B89" s="61">
        <f>17+29/60</f>
        <v>17.483333333333334</v>
      </c>
      <c r="C89" s="17">
        <v>5</v>
      </c>
      <c r="D89" s="29">
        <v>12</v>
      </c>
      <c r="E89" s="18">
        <v>2019</v>
      </c>
      <c r="F89" s="32">
        <v>28.562000000000001</v>
      </c>
      <c r="G89" s="33">
        <v>-80.576999999999998</v>
      </c>
      <c r="H89" s="18" t="s">
        <v>11</v>
      </c>
      <c r="I89" s="19">
        <v>0</v>
      </c>
      <c r="J89" s="20">
        <v>1646.5730337078653</v>
      </c>
      <c r="K89" s="19">
        <v>0</v>
      </c>
      <c r="L89" s="20">
        <v>35283.707865168537</v>
      </c>
      <c r="M89" s="19">
        <v>0</v>
      </c>
      <c r="N89" s="20">
        <v>94089.887640449451</v>
      </c>
      <c r="O89" s="62">
        <v>0</v>
      </c>
      <c r="P89" s="62">
        <v>4116.4325842696635</v>
      </c>
      <c r="Q89" s="19">
        <v>0</v>
      </c>
      <c r="R89" s="20">
        <v>0</v>
      </c>
      <c r="S89" s="62">
        <v>0</v>
      </c>
      <c r="T89" s="62">
        <v>0</v>
      </c>
      <c r="U89" s="19">
        <v>0</v>
      </c>
      <c r="V89" s="51">
        <v>0</v>
      </c>
    </row>
    <row r="90" spans="1:22">
      <c r="A90" s="17" t="s">
        <v>146</v>
      </c>
      <c r="B90" s="61">
        <f>8+18/60</f>
        <v>8.3000000000000007</v>
      </c>
      <c r="C90" s="17">
        <v>6</v>
      </c>
      <c r="D90" s="29">
        <v>12</v>
      </c>
      <c r="E90" s="18">
        <v>2019</v>
      </c>
      <c r="F90" s="32">
        <v>-39.251199999999997</v>
      </c>
      <c r="G90" s="33">
        <v>177.8673</v>
      </c>
      <c r="H90" s="18" t="s">
        <v>43</v>
      </c>
      <c r="I90" s="19">
        <v>0</v>
      </c>
      <c r="J90" s="20">
        <v>36.376404494382022</v>
      </c>
      <c r="K90" s="19">
        <v>0</v>
      </c>
      <c r="L90" s="20">
        <v>779.49438202247177</v>
      </c>
      <c r="M90" s="19">
        <v>0</v>
      </c>
      <c r="N90" s="20">
        <v>2078.6516853932585</v>
      </c>
      <c r="O90" s="62">
        <v>0</v>
      </c>
      <c r="P90" s="62">
        <v>90.94101123595506</v>
      </c>
      <c r="Q90" s="19">
        <v>0</v>
      </c>
      <c r="R90" s="20">
        <v>0</v>
      </c>
      <c r="S90" s="62">
        <v>0</v>
      </c>
      <c r="T90" s="62">
        <v>0</v>
      </c>
      <c r="U90" s="19">
        <v>0</v>
      </c>
      <c r="V90" s="51">
        <v>0</v>
      </c>
    </row>
    <row r="91" spans="1:22">
      <c r="A91" s="17" t="s">
        <v>147</v>
      </c>
      <c r="B91" s="61">
        <f>9+34/60</f>
        <v>9.5666666666666664</v>
      </c>
      <c r="C91" s="17">
        <v>6</v>
      </c>
      <c r="D91" s="29">
        <v>12</v>
      </c>
      <c r="E91" s="18">
        <v>2019</v>
      </c>
      <c r="F91" s="32">
        <v>45.996000000000002</v>
      </c>
      <c r="G91" s="33">
        <v>63.564</v>
      </c>
      <c r="H91" s="18" t="s">
        <v>48</v>
      </c>
      <c r="I91" s="19">
        <v>622.92134831460669</v>
      </c>
      <c r="J91" s="51">
        <v>365.53370786516859</v>
      </c>
      <c r="K91" s="19">
        <v>13348.314606741573</v>
      </c>
      <c r="L91" s="51">
        <v>7832.8651685393261</v>
      </c>
      <c r="M91" s="19">
        <v>35595.505617977527</v>
      </c>
      <c r="N91" s="51">
        <v>20887.640449438204</v>
      </c>
      <c r="O91" s="62">
        <v>1557.303370786517</v>
      </c>
      <c r="P91" s="63">
        <v>913.83426966292143</v>
      </c>
      <c r="Q91" s="19">
        <v>0</v>
      </c>
      <c r="R91" s="20">
        <v>0</v>
      </c>
      <c r="S91" s="62">
        <v>0</v>
      </c>
      <c r="T91" s="62">
        <v>0</v>
      </c>
      <c r="U91" s="19">
        <v>0</v>
      </c>
      <c r="V91" s="51">
        <v>0</v>
      </c>
    </row>
    <row r="92" spans="1:22">
      <c r="A92" s="17" t="s">
        <v>148</v>
      </c>
      <c r="B92" s="61">
        <f>2+55/60</f>
        <v>2.9166666666666665</v>
      </c>
      <c r="C92" s="17">
        <v>7</v>
      </c>
      <c r="D92" s="29">
        <v>12</v>
      </c>
      <c r="E92" s="18">
        <v>2019</v>
      </c>
      <c r="F92" s="17">
        <v>38.848999999999997</v>
      </c>
      <c r="G92" s="18">
        <v>111.608</v>
      </c>
      <c r="H92" s="18" t="s">
        <v>112</v>
      </c>
      <c r="I92" s="19">
        <v>0</v>
      </c>
      <c r="J92" s="20">
        <v>49.5</v>
      </c>
      <c r="K92" s="19">
        <v>0</v>
      </c>
      <c r="L92" s="20">
        <v>5550</v>
      </c>
      <c r="M92" s="19">
        <v>0</v>
      </c>
      <c r="N92" s="20">
        <v>4650</v>
      </c>
      <c r="O92" s="62">
        <v>0</v>
      </c>
      <c r="P92" s="62">
        <v>60</v>
      </c>
      <c r="Q92" s="19">
        <v>0</v>
      </c>
      <c r="R92" s="20">
        <v>5700</v>
      </c>
      <c r="S92" s="62">
        <v>0</v>
      </c>
      <c r="T92" s="62">
        <v>3150</v>
      </c>
      <c r="U92" s="19">
        <v>0</v>
      </c>
      <c r="V92" s="51">
        <v>42</v>
      </c>
    </row>
    <row r="93" spans="1:22">
      <c r="A93" s="17" t="s">
        <v>149</v>
      </c>
      <c r="B93" s="61">
        <f>8+52/60</f>
        <v>8.8666666666666671</v>
      </c>
      <c r="C93" s="17">
        <v>7</v>
      </c>
      <c r="D93" s="29">
        <v>12</v>
      </c>
      <c r="E93" s="18">
        <v>2019</v>
      </c>
      <c r="F93" s="32">
        <v>38.868000000000002</v>
      </c>
      <c r="G93" s="33">
        <v>111.58</v>
      </c>
      <c r="H93" s="18" t="s">
        <v>112</v>
      </c>
      <c r="I93" s="19">
        <v>0</v>
      </c>
      <c r="J93" s="20">
        <v>49.5</v>
      </c>
      <c r="K93" s="19">
        <v>0</v>
      </c>
      <c r="L93" s="20">
        <v>5550</v>
      </c>
      <c r="M93" s="19">
        <v>0</v>
      </c>
      <c r="N93" s="20">
        <v>4650</v>
      </c>
      <c r="O93" s="62">
        <v>0</v>
      </c>
      <c r="P93" s="62">
        <v>60</v>
      </c>
      <c r="Q93" s="19">
        <v>0</v>
      </c>
      <c r="R93" s="20">
        <v>5700</v>
      </c>
      <c r="S93" s="62">
        <v>0</v>
      </c>
      <c r="T93" s="62">
        <v>3150</v>
      </c>
      <c r="U93" s="19">
        <v>0</v>
      </c>
      <c r="V93" s="51">
        <v>42</v>
      </c>
    </row>
    <row r="94" spans="1:22">
      <c r="A94" s="17" t="s">
        <v>150</v>
      </c>
      <c r="B94" s="61">
        <f>8+55/60</f>
        <v>8.9166666666666661</v>
      </c>
      <c r="C94" s="17">
        <v>11</v>
      </c>
      <c r="D94" s="29">
        <v>12</v>
      </c>
      <c r="E94" s="18">
        <v>2019</v>
      </c>
      <c r="F94" s="32">
        <v>62.927</v>
      </c>
      <c r="G94" s="33">
        <v>40.450000000000003</v>
      </c>
      <c r="H94" s="18" t="s">
        <v>27</v>
      </c>
      <c r="I94" s="19">
        <v>622.92134831460669</v>
      </c>
      <c r="J94" s="51">
        <v>365.53370786516859</v>
      </c>
      <c r="K94" s="19">
        <v>13348.314606741573</v>
      </c>
      <c r="L94" s="51">
        <v>7832.8651685393261</v>
      </c>
      <c r="M94" s="19">
        <v>35595.505617977527</v>
      </c>
      <c r="N94" s="20">
        <v>0</v>
      </c>
      <c r="O94" s="62">
        <v>1557.303370786517</v>
      </c>
      <c r="P94" s="63">
        <v>913.83426966292143</v>
      </c>
      <c r="Q94" s="19">
        <v>0</v>
      </c>
      <c r="R94" s="20">
        <v>0</v>
      </c>
      <c r="S94" s="62">
        <v>0</v>
      </c>
      <c r="T94" s="62">
        <v>0</v>
      </c>
      <c r="U94" s="19">
        <v>0</v>
      </c>
      <c r="V94" s="51">
        <v>0</v>
      </c>
    </row>
    <row r="95" spans="1:22">
      <c r="A95" s="17" t="s">
        <v>151</v>
      </c>
      <c r="B95" s="61">
        <f>9+55/60</f>
        <v>9.9166666666666661</v>
      </c>
      <c r="C95" s="17">
        <v>11</v>
      </c>
      <c r="D95" s="29">
        <v>12</v>
      </c>
      <c r="E95" s="18">
        <v>2019</v>
      </c>
      <c r="F95" s="32">
        <v>13.72</v>
      </c>
      <c r="G95" s="33">
        <v>80.23</v>
      </c>
      <c r="H95" s="18" t="s">
        <v>46</v>
      </c>
      <c r="I95" s="19">
        <v>158.4</v>
      </c>
      <c r="J95" s="20">
        <v>455.4</v>
      </c>
      <c r="K95" s="19">
        <v>17760</v>
      </c>
      <c r="L95" s="20">
        <v>51060</v>
      </c>
      <c r="M95" s="19">
        <v>14880</v>
      </c>
      <c r="N95" s="20">
        <v>42780</v>
      </c>
      <c r="O95" s="62">
        <v>192</v>
      </c>
      <c r="P95" s="62">
        <v>552</v>
      </c>
      <c r="Q95" s="19">
        <v>18240</v>
      </c>
      <c r="R95" s="20">
        <v>52440</v>
      </c>
      <c r="S95" s="62">
        <v>10080</v>
      </c>
      <c r="T95" s="62">
        <v>28980</v>
      </c>
      <c r="U95" s="19">
        <v>134.4</v>
      </c>
      <c r="V95" s="51">
        <v>386.4</v>
      </c>
    </row>
    <row r="96" spans="1:22">
      <c r="A96" s="17" t="s">
        <v>152</v>
      </c>
      <c r="B96" s="61">
        <f>7+22/60</f>
        <v>7.3666666666666663</v>
      </c>
      <c r="C96" s="17">
        <v>16</v>
      </c>
      <c r="D96" s="29">
        <v>12</v>
      </c>
      <c r="E96" s="18">
        <v>2019</v>
      </c>
      <c r="F96" s="32">
        <v>28.247</v>
      </c>
      <c r="G96" s="33">
        <v>102.029</v>
      </c>
      <c r="H96" s="18" t="s">
        <v>116</v>
      </c>
      <c r="I96" s="19">
        <v>1096</v>
      </c>
      <c r="J96" s="20">
        <v>1241.3333333333333</v>
      </c>
      <c r="K96" s="19">
        <v>20824</v>
      </c>
      <c r="L96" s="20">
        <v>23585.333333333332</v>
      </c>
      <c r="M96" s="19">
        <v>18084</v>
      </c>
      <c r="N96" s="20">
        <v>20482</v>
      </c>
      <c r="O96" s="62">
        <v>219.20000000000002</v>
      </c>
      <c r="P96" s="62">
        <v>248.26666666666665</v>
      </c>
      <c r="Q96" s="19">
        <v>0</v>
      </c>
      <c r="R96" s="20">
        <v>0</v>
      </c>
      <c r="S96" s="62">
        <v>0</v>
      </c>
      <c r="T96" s="62">
        <v>0</v>
      </c>
      <c r="U96" s="19">
        <v>0</v>
      </c>
      <c r="V96" s="51">
        <v>0</v>
      </c>
    </row>
    <row r="97" spans="1:22">
      <c r="A97" s="17" t="s">
        <v>153</v>
      </c>
      <c r="B97" s="61">
        <f>10/60</f>
        <v>0.16666666666666666</v>
      </c>
      <c r="C97" s="17">
        <v>17</v>
      </c>
      <c r="D97" s="29">
        <v>12</v>
      </c>
      <c r="E97" s="18">
        <v>2019</v>
      </c>
      <c r="F97" s="32">
        <v>28.562000000000001</v>
      </c>
      <c r="G97" s="33">
        <v>-80.576999999999998</v>
      </c>
      <c r="H97" s="18" t="s">
        <v>11</v>
      </c>
      <c r="I97" s="19">
        <v>0</v>
      </c>
      <c r="J97" s="20">
        <v>1646.5730337078653</v>
      </c>
      <c r="K97" s="19">
        <v>0</v>
      </c>
      <c r="L97" s="20">
        <v>35283.707865168537</v>
      </c>
      <c r="M97" s="19">
        <v>0</v>
      </c>
      <c r="N97" s="20">
        <v>94089.887640449451</v>
      </c>
      <c r="O97" s="62">
        <v>0</v>
      </c>
      <c r="P97" s="62">
        <v>4116.4325842696635</v>
      </c>
      <c r="Q97" s="19">
        <v>0</v>
      </c>
      <c r="R97" s="20">
        <v>0</v>
      </c>
      <c r="S97" s="62">
        <v>0</v>
      </c>
      <c r="T97" s="62">
        <v>0</v>
      </c>
      <c r="U97" s="19">
        <v>0</v>
      </c>
      <c r="V97" s="51">
        <v>0</v>
      </c>
    </row>
    <row r="98" spans="1:22">
      <c r="A98" s="17" t="s">
        <v>154</v>
      </c>
      <c r="B98" s="61">
        <f>8+54/60</f>
        <v>8.9</v>
      </c>
      <c r="C98" s="17">
        <v>18</v>
      </c>
      <c r="D98" s="29">
        <v>12</v>
      </c>
      <c r="E98" s="18">
        <v>2019</v>
      </c>
      <c r="F98" s="32">
        <v>5.3010000000000002</v>
      </c>
      <c r="G98" s="33">
        <v>-52.837000000000003</v>
      </c>
      <c r="H98" s="18" t="s">
        <v>155</v>
      </c>
      <c r="I98" s="19">
        <v>622.92134831460669</v>
      </c>
      <c r="J98" s="51">
        <v>365.53370786516859</v>
      </c>
      <c r="K98" s="19">
        <v>13348.314606741573</v>
      </c>
      <c r="L98" s="51">
        <v>7832.8651685393261</v>
      </c>
      <c r="M98" s="19">
        <v>35595.505617977527</v>
      </c>
      <c r="N98" s="51">
        <v>20887.640449438204</v>
      </c>
      <c r="O98" s="62">
        <v>1557.303370786517</v>
      </c>
      <c r="P98" s="63">
        <v>913.83426966292143</v>
      </c>
      <c r="Q98" s="19">
        <v>0</v>
      </c>
      <c r="R98" s="20">
        <v>0</v>
      </c>
      <c r="S98" s="62">
        <v>0</v>
      </c>
      <c r="T98" s="62">
        <v>0</v>
      </c>
      <c r="U98" s="19">
        <v>0</v>
      </c>
      <c r="V98" s="51">
        <v>0</v>
      </c>
    </row>
    <row r="99" spans="1:22">
      <c r="A99" s="17" t="s">
        <v>156</v>
      </c>
      <c r="B99" s="61">
        <f>3+22/60</f>
        <v>3.3666666666666667</v>
      </c>
      <c r="C99" s="17">
        <v>20</v>
      </c>
      <c r="D99" s="29">
        <v>12</v>
      </c>
      <c r="E99" s="18">
        <v>2019</v>
      </c>
      <c r="F99" s="32">
        <v>38.863</v>
      </c>
      <c r="G99" s="33">
        <v>111.589</v>
      </c>
      <c r="H99" s="18" t="s">
        <v>57</v>
      </c>
      <c r="I99" s="19">
        <v>0</v>
      </c>
      <c r="J99" s="20">
        <v>1221.3333333333333</v>
      </c>
      <c r="K99" s="19">
        <v>0</v>
      </c>
      <c r="L99" s="20">
        <v>23205.333333333332</v>
      </c>
      <c r="M99" s="19">
        <v>0</v>
      </c>
      <c r="N99" s="20">
        <v>20152</v>
      </c>
      <c r="O99" s="62">
        <v>0</v>
      </c>
      <c r="P99" s="62">
        <v>244.26666666666665</v>
      </c>
      <c r="Q99" s="19">
        <v>0</v>
      </c>
      <c r="R99" s="20">
        <v>0</v>
      </c>
      <c r="S99" s="62">
        <v>0</v>
      </c>
      <c r="T99" s="62">
        <v>0</v>
      </c>
      <c r="U99" s="19">
        <v>0</v>
      </c>
      <c r="V99" s="51">
        <v>0</v>
      </c>
    </row>
    <row r="100" spans="1:22">
      <c r="A100" s="17" t="s">
        <v>157</v>
      </c>
      <c r="B100" s="61">
        <f>11+37/60</f>
        <v>11.616666666666667</v>
      </c>
      <c r="C100" s="17">
        <v>20</v>
      </c>
      <c r="D100" s="29">
        <v>12</v>
      </c>
      <c r="E100" s="18">
        <v>2019</v>
      </c>
      <c r="F100" s="32">
        <v>28.582999999999998</v>
      </c>
      <c r="G100" s="33">
        <v>-80.582999999999998</v>
      </c>
      <c r="H100" s="18" t="s">
        <v>158</v>
      </c>
      <c r="I100" s="19">
        <v>281.358</v>
      </c>
      <c r="J100" s="20">
        <v>1123.5197740112994</v>
      </c>
      <c r="K100" s="19">
        <v>31546.2</v>
      </c>
      <c r="L100" s="20">
        <v>24075.423728813559</v>
      </c>
      <c r="M100" s="19">
        <v>26430.6</v>
      </c>
      <c r="N100" s="20">
        <v>64201.129943502827</v>
      </c>
      <c r="O100" s="62">
        <v>341.04</v>
      </c>
      <c r="P100" s="62">
        <v>2808.7994350282488</v>
      </c>
      <c r="Q100" s="19">
        <v>32398.799999999999</v>
      </c>
      <c r="R100" s="20">
        <v>0</v>
      </c>
      <c r="S100" s="62">
        <v>17904.599999999999</v>
      </c>
      <c r="T100" s="62">
        <v>0</v>
      </c>
      <c r="U100" s="19">
        <v>238.72800000000001</v>
      </c>
      <c r="V100" s="51">
        <v>0</v>
      </c>
    </row>
    <row r="101" spans="1:22">
      <c r="A101" s="17" t="s">
        <v>160</v>
      </c>
      <c r="B101" s="61">
        <f>12+3/60</f>
        <v>12.05</v>
      </c>
      <c r="C101" s="17">
        <v>24</v>
      </c>
      <c r="D101" s="29">
        <v>12</v>
      </c>
      <c r="E101" s="18">
        <v>2019</v>
      </c>
      <c r="F101" s="32">
        <v>46.070999999999998</v>
      </c>
      <c r="G101" s="33">
        <v>62.984999999999999</v>
      </c>
      <c r="H101" s="18" t="s">
        <v>83</v>
      </c>
      <c r="I101" s="19">
        <v>0</v>
      </c>
      <c r="J101" s="20">
        <v>2855.333333333333</v>
      </c>
      <c r="K101" s="19">
        <v>0</v>
      </c>
      <c r="L101" s="20">
        <v>54251.333333333328</v>
      </c>
      <c r="M101" s="19">
        <v>0</v>
      </c>
      <c r="N101" s="20">
        <v>47113</v>
      </c>
      <c r="O101" s="62">
        <v>0</v>
      </c>
      <c r="P101" s="62">
        <v>571.06666666666661</v>
      </c>
      <c r="Q101" s="19">
        <v>0</v>
      </c>
      <c r="R101" s="20">
        <v>0</v>
      </c>
      <c r="S101" s="62">
        <v>0</v>
      </c>
      <c r="T101" s="62">
        <v>0</v>
      </c>
      <c r="U101" s="19">
        <v>0</v>
      </c>
      <c r="V101" s="51">
        <v>0</v>
      </c>
    </row>
    <row r="102" spans="1:22">
      <c r="A102" s="17" t="s">
        <v>161</v>
      </c>
      <c r="B102" s="61">
        <f>23+12/60</f>
        <v>23.2</v>
      </c>
      <c r="C102" s="17">
        <v>26</v>
      </c>
      <c r="D102" s="29">
        <v>12</v>
      </c>
      <c r="E102" s="18">
        <v>2019</v>
      </c>
      <c r="F102" s="32">
        <v>62.887</v>
      </c>
      <c r="G102" s="33">
        <v>40.847000000000001</v>
      </c>
      <c r="H102" s="18" t="s">
        <v>110</v>
      </c>
      <c r="I102" s="19">
        <v>0</v>
      </c>
      <c r="J102" s="20">
        <v>476.33333333333337</v>
      </c>
      <c r="K102" s="19">
        <v>0</v>
      </c>
      <c r="L102" s="20">
        <v>9050.3333333333339</v>
      </c>
      <c r="M102" s="19">
        <v>0</v>
      </c>
      <c r="N102" s="20">
        <v>7859.5000000000009</v>
      </c>
      <c r="O102" s="62">
        <v>0</v>
      </c>
      <c r="P102" s="62">
        <v>95.26666666666668</v>
      </c>
      <c r="Q102" s="19">
        <v>0</v>
      </c>
      <c r="R102" s="20">
        <v>0</v>
      </c>
      <c r="S102" s="62">
        <v>0</v>
      </c>
      <c r="T102" s="62">
        <v>0</v>
      </c>
      <c r="U102" s="19">
        <v>0</v>
      </c>
      <c r="V102" s="51">
        <v>0</v>
      </c>
    </row>
    <row r="103" spans="1:22">
      <c r="A103" s="22" t="s">
        <v>162</v>
      </c>
      <c r="B103" s="64">
        <f>12+45/60</f>
        <v>12.75</v>
      </c>
      <c r="C103" s="22">
        <v>27</v>
      </c>
      <c r="D103" s="23">
        <v>12</v>
      </c>
      <c r="E103" s="24">
        <v>2019</v>
      </c>
      <c r="F103" s="37">
        <v>19.614000000000001</v>
      </c>
      <c r="G103" s="38">
        <v>110.95099999999999</v>
      </c>
      <c r="H103" s="24" t="s">
        <v>163</v>
      </c>
      <c r="I103" s="25">
        <v>2391.0112359550562</v>
      </c>
      <c r="J103" s="27">
        <v>737.33333333333337</v>
      </c>
      <c r="K103" s="25">
        <v>51235.955056179773</v>
      </c>
      <c r="L103" s="27">
        <v>22571.428571428572</v>
      </c>
      <c r="M103" s="25">
        <v>136629.21348314607</v>
      </c>
      <c r="N103" s="27">
        <v>0</v>
      </c>
      <c r="O103" s="26">
        <v>5977.5280898876408</v>
      </c>
      <c r="P103" s="26">
        <v>0</v>
      </c>
      <c r="Q103" s="25">
        <v>0</v>
      </c>
      <c r="R103" s="27">
        <v>0</v>
      </c>
      <c r="S103" s="26">
        <v>0</v>
      </c>
      <c r="T103" s="26">
        <v>0</v>
      </c>
      <c r="U103" s="25">
        <v>0</v>
      </c>
      <c r="V103" s="59">
        <v>0</v>
      </c>
    </row>
    <row r="104" spans="1:22">
      <c r="A104" s="9"/>
      <c r="B104" s="9"/>
      <c r="C104" s="9"/>
      <c r="D104" s="9"/>
      <c r="E104" s="9"/>
      <c r="F104" s="9"/>
      <c r="G104" s="9"/>
      <c r="H104" s="18" t="s">
        <v>164</v>
      </c>
      <c r="I104" s="28">
        <f t="shared" ref="I104:O104" si="0">SUM(I2:I103)</f>
        <v>44055.205202247183</v>
      </c>
      <c r="J104" s="28">
        <f t="shared" si="0"/>
        <v>86333.77771059479</v>
      </c>
      <c r="K104" s="28">
        <f t="shared" si="0"/>
        <v>1908380.2614767251</v>
      </c>
      <c r="L104" s="28">
        <f t="shared" si="0"/>
        <v>2171121.2247508406</v>
      </c>
      <c r="M104" s="28">
        <f t="shared" si="0"/>
        <v>2292962.2258426971</v>
      </c>
      <c r="N104" s="28">
        <f t="shared" si="0"/>
        <v>2906271.0144416946</v>
      </c>
      <c r="O104" s="28">
        <f t="shared" si="0"/>
        <v>62508.355505617976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CDB9-591E-4C75-8AD0-30630E5027D4}">
  <dimension ref="A1:M184"/>
  <sheetViews>
    <sheetView topLeftCell="G156" zoomScale="110" zoomScaleNormal="110" workbookViewId="0">
      <selection activeCell="M185" sqref="M185"/>
    </sheetView>
  </sheetViews>
  <sheetFormatPr baseColWidth="10" defaultColWidth="8.83203125" defaultRowHeight="15"/>
  <cols>
    <col min="1" max="1" width="11.5" customWidth="1"/>
    <col min="2" max="2" width="13.33203125" customWidth="1"/>
    <col min="3" max="3" width="13.1640625" customWidth="1"/>
    <col min="4" max="4" width="7.33203125" customWidth="1"/>
    <col min="5" max="5" width="8.6640625" customWidth="1"/>
    <col min="6" max="6" width="8.33203125" customWidth="1"/>
    <col min="7" max="7" width="22.6640625" customWidth="1"/>
    <col min="8" max="8" width="13.1640625" customWidth="1"/>
    <col min="9" max="9" width="24.1640625" customWidth="1"/>
    <col min="10" max="10" width="21.1640625" customWidth="1"/>
    <col min="11" max="13" width="21.83203125" customWidth="1"/>
  </cols>
  <sheetData>
    <row r="1" spans="1:13">
      <c r="A1" s="40" t="s">
        <v>165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  <c r="H1" s="40" t="s">
        <v>6</v>
      </c>
      <c r="I1" s="40" t="s">
        <v>303</v>
      </c>
      <c r="J1" s="40" t="s">
        <v>304</v>
      </c>
      <c r="K1" s="40" t="s">
        <v>166</v>
      </c>
      <c r="L1" s="40" t="s">
        <v>306</v>
      </c>
      <c r="M1" s="40" t="s">
        <v>305</v>
      </c>
    </row>
    <row r="2" spans="1:13">
      <c r="A2" s="1" t="s">
        <v>167</v>
      </c>
      <c r="B2" s="40" t="s">
        <v>168</v>
      </c>
      <c r="C2" s="47">
        <f>1+31/60</f>
        <v>1.5166666666666666</v>
      </c>
      <c r="D2" s="2">
        <v>1</v>
      </c>
      <c r="E2" s="2">
        <v>1</v>
      </c>
      <c r="F2" s="2">
        <v>2019</v>
      </c>
      <c r="G2" s="1">
        <v>7.8230000000000004</v>
      </c>
      <c r="H2" s="3">
        <v>54.164000000000001</v>
      </c>
      <c r="I2" s="1" t="s">
        <v>169</v>
      </c>
      <c r="J2" s="2" t="s">
        <v>170</v>
      </c>
      <c r="K2" s="3"/>
      <c r="L2" s="1">
        <v>5500</v>
      </c>
      <c r="M2" s="3">
        <v>962.49999999999989</v>
      </c>
    </row>
    <row r="3" spans="1:13">
      <c r="A3" s="4" t="s">
        <v>167</v>
      </c>
      <c r="B3" s="41" t="s">
        <v>171</v>
      </c>
      <c r="C3" s="49">
        <f>7+58/60</f>
        <v>7.9666666666666668</v>
      </c>
      <c r="D3" s="50">
        <v>5</v>
      </c>
      <c r="E3" s="50">
        <v>1</v>
      </c>
      <c r="F3" s="50">
        <v>2019</v>
      </c>
      <c r="G3" s="4">
        <v>-43.753</v>
      </c>
      <c r="H3" s="5">
        <v>-179.976</v>
      </c>
      <c r="I3" s="4" t="s">
        <v>172</v>
      </c>
      <c r="J3" s="50" t="s">
        <v>173</v>
      </c>
      <c r="K3" s="5"/>
      <c r="L3" s="4">
        <v>1900</v>
      </c>
      <c r="M3" s="5">
        <v>332.5</v>
      </c>
    </row>
    <row r="4" spans="1:13">
      <c r="A4" s="4" t="s">
        <v>167</v>
      </c>
      <c r="B4" s="41" t="s">
        <v>174</v>
      </c>
      <c r="C4" s="49">
        <f>9+32/60</f>
        <v>9.5333333333333332</v>
      </c>
      <c r="D4" s="50">
        <v>5</v>
      </c>
      <c r="E4" s="50">
        <v>1</v>
      </c>
      <c r="F4" s="50">
        <v>2019</v>
      </c>
      <c r="G4" s="4">
        <v>-1.2050000000000001</v>
      </c>
      <c r="H4" s="5">
        <v>89.745999999999995</v>
      </c>
      <c r="I4" s="4" t="s">
        <v>175</v>
      </c>
      <c r="J4" s="50" t="s">
        <v>170</v>
      </c>
      <c r="K4" s="5" t="s">
        <v>176</v>
      </c>
      <c r="L4" s="4">
        <v>4500</v>
      </c>
      <c r="M4" s="5">
        <v>787.5</v>
      </c>
    </row>
    <row r="5" spans="1:13">
      <c r="A5" s="17" t="s">
        <v>167</v>
      </c>
      <c r="B5" s="39" t="s">
        <v>8</v>
      </c>
      <c r="C5" s="49">
        <f>17+8/60</f>
        <v>17.133333333333333</v>
      </c>
      <c r="D5" s="50">
        <v>10</v>
      </c>
      <c r="E5" s="50">
        <v>1</v>
      </c>
      <c r="F5" s="50">
        <v>2019</v>
      </c>
      <c r="G5" s="52">
        <v>28.245999999999999</v>
      </c>
      <c r="H5" s="53">
        <v>102.027</v>
      </c>
      <c r="I5" s="4" t="s">
        <v>9</v>
      </c>
      <c r="J5" s="29" t="s">
        <v>170</v>
      </c>
      <c r="K5" s="5" t="s">
        <v>235</v>
      </c>
      <c r="L5" s="4">
        <v>25400</v>
      </c>
      <c r="M5" s="5">
        <v>4445</v>
      </c>
    </row>
    <row r="6" spans="1:13">
      <c r="A6" s="17" t="s">
        <v>177</v>
      </c>
      <c r="B6" s="39" t="s">
        <v>10</v>
      </c>
      <c r="C6" s="49">
        <f>15+34/60</f>
        <v>15.566666666666666</v>
      </c>
      <c r="D6" s="50">
        <v>11</v>
      </c>
      <c r="E6" s="50">
        <v>1</v>
      </c>
      <c r="F6" s="50">
        <v>2019</v>
      </c>
      <c r="G6" s="42">
        <v>34.631999999999998</v>
      </c>
      <c r="H6" s="43">
        <v>-120.611</v>
      </c>
      <c r="I6" s="4" t="s">
        <v>11</v>
      </c>
      <c r="J6" s="29" t="s">
        <v>170</v>
      </c>
      <c r="K6" s="5" t="s">
        <v>178</v>
      </c>
      <c r="L6" s="4">
        <v>27200</v>
      </c>
      <c r="M6" s="5">
        <v>4760</v>
      </c>
    </row>
    <row r="7" spans="1:13">
      <c r="A7" s="4" t="s">
        <v>167</v>
      </c>
      <c r="B7" s="41" t="s">
        <v>179</v>
      </c>
      <c r="C7" s="49">
        <f>12+57/60</f>
        <v>12.95</v>
      </c>
      <c r="D7" s="50">
        <v>16</v>
      </c>
      <c r="E7" s="50">
        <v>1</v>
      </c>
      <c r="F7" s="50">
        <v>2019</v>
      </c>
      <c r="G7" s="4">
        <v>-37.628999999999998</v>
      </c>
      <c r="H7" s="5">
        <v>-179.99100000000001</v>
      </c>
      <c r="I7" s="4" t="s">
        <v>180</v>
      </c>
      <c r="J7" s="50" t="s">
        <v>173</v>
      </c>
      <c r="K7" s="5"/>
      <c r="L7" s="4">
        <v>910</v>
      </c>
      <c r="M7" s="5">
        <v>159.25</v>
      </c>
    </row>
    <row r="8" spans="1:13">
      <c r="A8" s="4" t="s">
        <v>167</v>
      </c>
      <c r="B8" s="41" t="s">
        <v>181</v>
      </c>
      <c r="C8" s="49">
        <f>8+26/60</f>
        <v>8.4333333333333336</v>
      </c>
      <c r="D8" s="50">
        <v>17</v>
      </c>
      <c r="E8" s="50">
        <v>1</v>
      </c>
      <c r="F8" s="50">
        <v>2019</v>
      </c>
      <c r="G8" s="4">
        <v>-45.994</v>
      </c>
      <c r="H8" s="5">
        <v>38.680999999999997</v>
      </c>
      <c r="I8" s="4" t="s">
        <v>182</v>
      </c>
      <c r="J8" s="50" t="s">
        <v>170</v>
      </c>
      <c r="K8" s="5"/>
      <c r="L8" s="4">
        <v>920</v>
      </c>
      <c r="M8" s="5">
        <v>161</v>
      </c>
    </row>
    <row r="9" spans="1:13">
      <c r="A9" s="17" t="s">
        <v>167</v>
      </c>
      <c r="B9" s="39" t="s">
        <v>14</v>
      </c>
      <c r="C9" s="49">
        <f>53/60</f>
        <v>0.8833333333333333</v>
      </c>
      <c r="D9" s="50">
        <v>18</v>
      </c>
      <c r="E9" s="50">
        <v>1</v>
      </c>
      <c r="F9" s="50">
        <v>2019</v>
      </c>
      <c r="G9" s="42">
        <v>31.251000000000001</v>
      </c>
      <c r="H9" s="43">
        <v>131.08199999999999</v>
      </c>
      <c r="I9" s="4" t="s">
        <v>15</v>
      </c>
      <c r="J9" s="29" t="s">
        <v>170</v>
      </c>
      <c r="K9" s="5" t="s">
        <v>178</v>
      </c>
      <c r="L9" s="4">
        <v>9300</v>
      </c>
      <c r="M9" s="5">
        <v>1627.5</v>
      </c>
    </row>
    <row r="10" spans="1:13">
      <c r="A10" s="17" t="s">
        <v>167</v>
      </c>
      <c r="B10" s="39" t="s">
        <v>16</v>
      </c>
      <c r="C10" s="49">
        <f>19+8/60</f>
        <v>19.133333333333333</v>
      </c>
      <c r="D10" s="50">
        <v>19</v>
      </c>
      <c r="E10" s="50">
        <v>1</v>
      </c>
      <c r="F10" s="50">
        <v>2019</v>
      </c>
      <c r="G10" s="42">
        <v>34.582000000000001</v>
      </c>
      <c r="H10" s="43">
        <v>-120.626</v>
      </c>
      <c r="I10" s="4" t="s">
        <v>17</v>
      </c>
      <c r="J10" s="29" t="s">
        <v>170</v>
      </c>
      <c r="K10" s="5" t="s">
        <v>235</v>
      </c>
      <c r="L10" s="4">
        <v>84000</v>
      </c>
      <c r="M10" s="5">
        <v>14699.999999999998</v>
      </c>
    </row>
    <row r="11" spans="1:13">
      <c r="A11" s="4" t="s">
        <v>167</v>
      </c>
      <c r="B11" s="41" t="s">
        <v>183</v>
      </c>
      <c r="C11" s="49">
        <f>14+41/60</f>
        <v>14.683333333333334</v>
      </c>
      <c r="D11" s="50">
        <v>20</v>
      </c>
      <c r="E11" s="50">
        <v>1</v>
      </c>
      <c r="F11" s="50">
        <v>2019</v>
      </c>
      <c r="G11" s="4">
        <v>27.818999999999999</v>
      </c>
      <c r="H11" s="5">
        <v>-113.503</v>
      </c>
      <c r="I11" s="4" t="s">
        <v>184</v>
      </c>
      <c r="J11" s="50" t="s">
        <v>170</v>
      </c>
      <c r="K11" s="5"/>
      <c r="L11" s="4">
        <v>2740</v>
      </c>
      <c r="M11" s="5">
        <v>479.49999999999994</v>
      </c>
    </row>
    <row r="12" spans="1:13">
      <c r="A12" s="17" t="s">
        <v>167</v>
      </c>
      <c r="B12" s="39" t="s">
        <v>18</v>
      </c>
      <c r="C12" s="49">
        <f>5+45/60</f>
        <v>5.75</v>
      </c>
      <c r="D12" s="50">
        <v>21</v>
      </c>
      <c r="E12" s="50">
        <v>1</v>
      </c>
      <c r="F12" s="50">
        <v>2019</v>
      </c>
      <c r="G12" s="54">
        <v>40.960999999999999</v>
      </c>
      <c r="H12" s="55">
        <v>100.298</v>
      </c>
      <c r="I12" s="4" t="s">
        <v>19</v>
      </c>
      <c r="J12" s="29" t="s">
        <v>170</v>
      </c>
      <c r="K12" s="5" t="s">
        <v>178</v>
      </c>
      <c r="L12" s="4">
        <v>4770</v>
      </c>
      <c r="M12" s="5">
        <v>834.75</v>
      </c>
    </row>
    <row r="13" spans="1:13">
      <c r="A13" s="4" t="s">
        <v>167</v>
      </c>
      <c r="B13" s="41" t="s">
        <v>185</v>
      </c>
      <c r="C13" s="49">
        <f>21+22/60</f>
        <v>21.366666666666667</v>
      </c>
      <c r="D13" s="50">
        <v>23</v>
      </c>
      <c r="E13" s="50">
        <v>1</v>
      </c>
      <c r="F13" s="50">
        <v>2019</v>
      </c>
      <c r="G13" s="4">
        <v>-70.307000000000002</v>
      </c>
      <c r="H13" s="5">
        <v>-164.13200000000001</v>
      </c>
      <c r="I13" s="4" t="s">
        <v>186</v>
      </c>
      <c r="J13" s="50" t="s">
        <v>173</v>
      </c>
      <c r="K13" s="5"/>
      <c r="L13" s="4">
        <v>689</v>
      </c>
      <c r="M13" s="5">
        <v>120.57499999999999</v>
      </c>
    </row>
    <row r="14" spans="1:13">
      <c r="A14" s="17" t="s">
        <v>167</v>
      </c>
      <c r="B14" s="39" t="s">
        <v>20</v>
      </c>
      <c r="C14" s="49">
        <f>18+10/60</f>
        <v>18.166666666666668</v>
      </c>
      <c r="D14" s="50">
        <v>24</v>
      </c>
      <c r="E14" s="50">
        <v>1</v>
      </c>
      <c r="F14" s="50">
        <v>2019</v>
      </c>
      <c r="G14" s="42">
        <v>13.72</v>
      </c>
      <c r="H14" s="43">
        <v>80.23</v>
      </c>
      <c r="I14" s="4" t="s">
        <v>21</v>
      </c>
      <c r="J14" s="29" t="s">
        <v>170</v>
      </c>
      <c r="K14" s="5" t="s">
        <v>235</v>
      </c>
      <c r="L14" s="4">
        <v>35400</v>
      </c>
      <c r="M14" s="5">
        <v>6195</v>
      </c>
    </row>
    <row r="15" spans="1:13">
      <c r="A15" s="4" t="s">
        <v>167</v>
      </c>
      <c r="B15" s="41" t="s">
        <v>187</v>
      </c>
      <c r="C15" s="49">
        <f>9+7/60</f>
        <v>9.1166666666666671</v>
      </c>
      <c r="D15" s="50">
        <v>28</v>
      </c>
      <c r="E15" s="50">
        <v>1</v>
      </c>
      <c r="F15" s="50">
        <v>2019</v>
      </c>
      <c r="G15" s="4">
        <v>72.462000000000003</v>
      </c>
      <c r="H15" s="5">
        <v>74.34</v>
      </c>
      <c r="I15" s="4" t="s">
        <v>19</v>
      </c>
      <c r="J15" s="50" t="s">
        <v>170</v>
      </c>
      <c r="K15" s="5"/>
      <c r="L15" s="4">
        <v>2000</v>
      </c>
      <c r="M15" s="5">
        <v>350</v>
      </c>
    </row>
    <row r="16" spans="1:13">
      <c r="A16" s="4" t="s">
        <v>167</v>
      </c>
      <c r="B16" s="41" t="s">
        <v>188</v>
      </c>
      <c r="C16" s="49">
        <f>11+32/60</f>
        <v>11.533333333333333</v>
      </c>
      <c r="D16" s="50">
        <v>30</v>
      </c>
      <c r="E16" s="50">
        <v>1</v>
      </c>
      <c r="F16" s="50">
        <v>2019</v>
      </c>
      <c r="G16" s="4">
        <v>47.917999999999999</v>
      </c>
      <c r="H16" s="5">
        <v>15.971</v>
      </c>
      <c r="I16" s="4" t="s">
        <v>189</v>
      </c>
      <c r="J16" s="50" t="s">
        <v>170</v>
      </c>
      <c r="K16" s="5"/>
      <c r="L16" s="4">
        <v>250</v>
      </c>
      <c r="M16" s="5">
        <v>43.75</v>
      </c>
    </row>
    <row r="17" spans="1:13">
      <c r="A17" s="4" t="s">
        <v>167</v>
      </c>
      <c r="B17" s="41" t="s">
        <v>190</v>
      </c>
      <c r="C17" s="49">
        <f>3+36/60</f>
        <v>3.6</v>
      </c>
      <c r="D17" s="50">
        <v>5</v>
      </c>
      <c r="E17" s="50">
        <v>2</v>
      </c>
      <c r="F17" s="50">
        <v>2019</v>
      </c>
      <c r="G17" s="4">
        <v>-77.716999999999999</v>
      </c>
      <c r="H17" s="5">
        <v>-77.424999999999997</v>
      </c>
      <c r="I17" s="4" t="s">
        <v>191</v>
      </c>
      <c r="J17" s="50" t="s">
        <v>170</v>
      </c>
      <c r="K17" s="5"/>
      <c r="L17" s="4">
        <v>3200</v>
      </c>
      <c r="M17" s="5">
        <v>560</v>
      </c>
    </row>
    <row r="18" spans="1:13">
      <c r="A18" s="4" t="s">
        <v>167</v>
      </c>
      <c r="B18" s="41" t="s">
        <v>192</v>
      </c>
      <c r="C18" s="49">
        <f>19+11/60</f>
        <v>19.183333333333334</v>
      </c>
      <c r="D18" s="50">
        <v>5</v>
      </c>
      <c r="E18" s="50">
        <v>2</v>
      </c>
      <c r="F18" s="50">
        <v>2019</v>
      </c>
      <c r="G18" s="4">
        <v>-27.745000000000001</v>
      </c>
      <c r="H18" s="5">
        <v>156.75899999999999</v>
      </c>
      <c r="I18" s="4" t="s">
        <v>193</v>
      </c>
      <c r="J18" s="50" t="s">
        <v>170</v>
      </c>
      <c r="K18" s="5"/>
      <c r="L18" s="4">
        <v>1050</v>
      </c>
      <c r="M18" s="5">
        <v>183.75</v>
      </c>
    </row>
    <row r="19" spans="1:13">
      <c r="A19" s="17" t="s">
        <v>167</v>
      </c>
      <c r="B19" s="39" t="s">
        <v>22</v>
      </c>
      <c r="C19" s="49">
        <f>21+4/60</f>
        <v>21.066666666666666</v>
      </c>
      <c r="D19" s="50">
        <v>5</v>
      </c>
      <c r="E19" s="50">
        <v>2</v>
      </c>
      <c r="F19" s="50">
        <v>2019</v>
      </c>
      <c r="G19" s="42">
        <v>5.2389999999999999</v>
      </c>
      <c r="H19" s="43">
        <v>-52.768999999999998</v>
      </c>
      <c r="I19" s="4" t="s">
        <v>23</v>
      </c>
      <c r="J19" s="29" t="s">
        <v>170</v>
      </c>
      <c r="K19" s="5" t="s">
        <v>235</v>
      </c>
      <c r="L19" s="4">
        <v>90000</v>
      </c>
      <c r="M19" s="5">
        <v>15749.999999999998</v>
      </c>
    </row>
    <row r="20" spans="1:13">
      <c r="A20" s="17" t="s">
        <v>167</v>
      </c>
      <c r="B20" s="39" t="s">
        <v>26</v>
      </c>
      <c r="C20" s="49">
        <f>16+50/60</f>
        <v>16.833333333333332</v>
      </c>
      <c r="D20" s="50">
        <v>21</v>
      </c>
      <c r="E20" s="50">
        <v>2</v>
      </c>
      <c r="F20" s="50">
        <v>2019</v>
      </c>
      <c r="G20" s="42">
        <v>45.996000000000002</v>
      </c>
      <c r="H20" s="43">
        <v>63.564</v>
      </c>
      <c r="I20" s="4" t="s">
        <v>27</v>
      </c>
      <c r="J20" s="29" t="s">
        <v>170</v>
      </c>
      <c r="K20" s="5" t="s">
        <v>235</v>
      </c>
      <c r="L20" s="4">
        <v>21750</v>
      </c>
      <c r="M20" s="5">
        <v>3806.2499999999995</v>
      </c>
    </row>
    <row r="21" spans="1:13">
      <c r="A21" s="17" t="s">
        <v>177</v>
      </c>
      <c r="B21" s="39" t="s">
        <v>28</v>
      </c>
      <c r="C21" s="49">
        <f>1+48/60</f>
        <v>1.8</v>
      </c>
      <c r="D21" s="50">
        <v>22</v>
      </c>
      <c r="E21" s="50">
        <v>2</v>
      </c>
      <c r="F21" s="50">
        <v>2019</v>
      </c>
      <c r="G21" s="4">
        <v>28.41</v>
      </c>
      <c r="H21" s="5">
        <v>-80.61</v>
      </c>
      <c r="I21" s="4" t="s">
        <v>11</v>
      </c>
      <c r="J21" s="29" t="s">
        <v>170</v>
      </c>
      <c r="K21" s="5" t="s">
        <v>178</v>
      </c>
      <c r="L21" s="4">
        <v>27200</v>
      </c>
      <c r="M21" s="5">
        <v>4760</v>
      </c>
    </row>
    <row r="22" spans="1:13">
      <c r="A22" s="4" t="s">
        <v>167</v>
      </c>
      <c r="B22" s="41" t="s">
        <v>194</v>
      </c>
      <c r="C22" s="49">
        <f>22+59/60</f>
        <v>22.983333333333334</v>
      </c>
      <c r="D22" s="50">
        <v>24</v>
      </c>
      <c r="E22" s="50">
        <v>2</v>
      </c>
      <c r="F22" s="50">
        <v>2019</v>
      </c>
      <c r="G22" s="4">
        <v>0.128</v>
      </c>
      <c r="H22" s="5">
        <v>-136.554</v>
      </c>
      <c r="I22" s="4" t="s">
        <v>195</v>
      </c>
      <c r="J22" s="50" t="s">
        <v>170</v>
      </c>
      <c r="K22" s="5"/>
      <c r="L22" s="4">
        <v>1700</v>
      </c>
      <c r="M22" s="5">
        <v>297.5</v>
      </c>
    </row>
    <row r="23" spans="1:13">
      <c r="A23" s="17" t="s">
        <v>167</v>
      </c>
      <c r="B23" s="39" t="s">
        <v>29</v>
      </c>
      <c r="C23" s="49">
        <f>21+40/60</f>
        <v>21.666666666666668</v>
      </c>
      <c r="D23" s="50">
        <v>27</v>
      </c>
      <c r="E23" s="50">
        <v>2</v>
      </c>
      <c r="F23" s="50">
        <v>2019</v>
      </c>
      <c r="G23" s="42">
        <v>5.3010000000000002</v>
      </c>
      <c r="H23" s="43">
        <v>-52.837000000000003</v>
      </c>
      <c r="I23" s="4" t="s">
        <v>30</v>
      </c>
      <c r="J23" s="29" t="s">
        <v>170</v>
      </c>
      <c r="K23" s="5" t="s">
        <v>235</v>
      </c>
      <c r="L23" s="4">
        <v>21750</v>
      </c>
      <c r="M23" s="5">
        <v>3806.2499999999995</v>
      </c>
    </row>
    <row r="24" spans="1:13">
      <c r="A24" s="17" t="s">
        <v>177</v>
      </c>
      <c r="B24" s="39" t="s">
        <v>31</v>
      </c>
      <c r="C24" s="49">
        <f>7+52/60</f>
        <v>7.8666666666666671</v>
      </c>
      <c r="D24" s="50">
        <v>2</v>
      </c>
      <c r="E24" s="50">
        <v>3</v>
      </c>
      <c r="F24" s="50">
        <v>2019</v>
      </c>
      <c r="G24" s="4">
        <v>28.41</v>
      </c>
      <c r="H24" s="5">
        <v>-80.61</v>
      </c>
      <c r="I24" s="4" t="s">
        <v>11</v>
      </c>
      <c r="J24" s="29" t="s">
        <v>170</v>
      </c>
      <c r="K24" s="5" t="s">
        <v>178</v>
      </c>
      <c r="L24" s="4">
        <v>27200</v>
      </c>
      <c r="M24" s="5">
        <v>4760</v>
      </c>
    </row>
    <row r="25" spans="1:13">
      <c r="A25" s="4" t="s">
        <v>167</v>
      </c>
      <c r="B25" s="41" t="s">
        <v>196</v>
      </c>
      <c r="C25" s="49">
        <f>9+12/60</f>
        <v>9.1999999999999993</v>
      </c>
      <c r="D25" s="50">
        <v>2</v>
      </c>
      <c r="E25" s="50">
        <v>3</v>
      </c>
      <c r="F25" s="50">
        <v>2019</v>
      </c>
      <c r="G25" s="4">
        <v>33.244900000000001</v>
      </c>
      <c r="H25" s="5">
        <v>3.0169999999999999</v>
      </c>
      <c r="I25" s="4" t="s">
        <v>197</v>
      </c>
      <c r="J25" s="50" t="s">
        <v>173</v>
      </c>
      <c r="K25" s="5"/>
      <c r="L25" s="4">
        <v>1000</v>
      </c>
      <c r="M25" s="5">
        <v>175</v>
      </c>
    </row>
    <row r="26" spans="1:13">
      <c r="A26" s="4" t="s">
        <v>167</v>
      </c>
      <c r="B26" s="41" t="s">
        <v>198</v>
      </c>
      <c r="C26" s="49">
        <f>18+51/60</f>
        <v>18.850000000000001</v>
      </c>
      <c r="D26" s="50">
        <v>2</v>
      </c>
      <c r="E26" s="50">
        <v>3</v>
      </c>
      <c r="F26" s="50">
        <v>2019</v>
      </c>
      <c r="G26" s="4">
        <v>17.765999999999998</v>
      </c>
      <c r="H26" s="5">
        <v>32.195999999999998</v>
      </c>
      <c r="I26" s="4" t="s">
        <v>199</v>
      </c>
      <c r="J26" s="50" t="s">
        <v>173</v>
      </c>
      <c r="K26" s="5"/>
      <c r="L26" s="4">
        <v>594</v>
      </c>
      <c r="M26" s="5">
        <v>103.94999999999999</v>
      </c>
    </row>
    <row r="27" spans="1:13">
      <c r="A27" s="4" t="s">
        <v>167</v>
      </c>
      <c r="B27" s="41" t="s">
        <v>200</v>
      </c>
      <c r="C27" s="49">
        <f>12+14/60</f>
        <v>12.233333333333333</v>
      </c>
      <c r="D27" s="50">
        <v>3</v>
      </c>
      <c r="E27" s="50">
        <v>3</v>
      </c>
      <c r="F27" s="50">
        <v>2019</v>
      </c>
      <c r="G27" s="4">
        <v>35.838999999999999</v>
      </c>
      <c r="H27" s="5">
        <v>103.55</v>
      </c>
      <c r="I27" s="4" t="s">
        <v>201</v>
      </c>
      <c r="J27" s="50" t="s">
        <v>170</v>
      </c>
      <c r="K27" s="5"/>
      <c r="L27" s="4">
        <v>250</v>
      </c>
      <c r="M27" s="5">
        <v>43.75</v>
      </c>
    </row>
    <row r="28" spans="1:13">
      <c r="A28" s="4" t="s">
        <v>177</v>
      </c>
      <c r="B28" s="41" t="s">
        <v>31</v>
      </c>
      <c r="C28" s="49">
        <f>13+45/60</f>
        <v>13.75</v>
      </c>
      <c r="D28" s="50">
        <v>3</v>
      </c>
      <c r="E28" s="50">
        <v>3</v>
      </c>
      <c r="F28" s="50">
        <v>2019</v>
      </c>
      <c r="G28" s="54">
        <v>27.564</v>
      </c>
      <c r="H28" s="55">
        <v>-76.418999999999997</v>
      </c>
      <c r="I28" s="4" t="s">
        <v>32</v>
      </c>
      <c r="J28" s="50" t="s">
        <v>173</v>
      </c>
      <c r="K28" s="5"/>
      <c r="L28" s="4">
        <v>12525</v>
      </c>
      <c r="M28" s="5">
        <v>2191.875</v>
      </c>
    </row>
    <row r="29" spans="1:13">
      <c r="A29" s="17" t="s">
        <v>167</v>
      </c>
      <c r="B29" s="39" t="s">
        <v>33</v>
      </c>
      <c r="C29" s="49">
        <f>17+31/60</f>
        <v>17.516666666666666</v>
      </c>
      <c r="D29" s="50">
        <v>9</v>
      </c>
      <c r="E29" s="50">
        <v>3</v>
      </c>
      <c r="F29" s="50">
        <v>2019</v>
      </c>
      <c r="G29" s="42">
        <v>28.247</v>
      </c>
      <c r="H29" s="43">
        <v>102.029</v>
      </c>
      <c r="I29" s="4" t="s">
        <v>9</v>
      </c>
      <c r="J29" s="29" t="s">
        <v>170</v>
      </c>
      <c r="K29" s="5" t="s">
        <v>235</v>
      </c>
      <c r="L29" s="4">
        <v>25400</v>
      </c>
      <c r="M29" s="5">
        <v>4445</v>
      </c>
    </row>
    <row r="30" spans="1:13">
      <c r="A30" s="4" t="s">
        <v>167</v>
      </c>
      <c r="B30" s="41" t="s">
        <v>202</v>
      </c>
      <c r="C30" s="49">
        <f>1+36/60</f>
        <v>1.6</v>
      </c>
      <c r="D30" s="50">
        <v>10</v>
      </c>
      <c r="E30" s="50">
        <v>3</v>
      </c>
      <c r="F30" s="50">
        <v>2019</v>
      </c>
      <c r="G30" s="4">
        <v>11.29</v>
      </c>
      <c r="H30" s="5">
        <v>-5.7850000000000001</v>
      </c>
      <c r="I30" s="4" t="s">
        <v>184</v>
      </c>
      <c r="J30" s="50" t="s">
        <v>170</v>
      </c>
      <c r="K30" s="5"/>
      <c r="L30" s="4">
        <v>2740</v>
      </c>
      <c r="M30" s="5">
        <v>479.49999999999994</v>
      </c>
    </row>
    <row r="31" spans="1:13">
      <c r="A31" s="4" t="s">
        <v>167</v>
      </c>
      <c r="B31" s="41" t="s">
        <v>203</v>
      </c>
      <c r="C31" s="49">
        <f>6+51/60</f>
        <v>6.85</v>
      </c>
      <c r="D31" s="50">
        <v>10</v>
      </c>
      <c r="E31" s="50">
        <v>3</v>
      </c>
      <c r="F31" s="50">
        <v>2019</v>
      </c>
      <c r="G31" s="4">
        <v>7.1260000000000003</v>
      </c>
      <c r="H31" s="5">
        <v>20.933</v>
      </c>
      <c r="I31" s="4" t="s">
        <v>204</v>
      </c>
      <c r="J31" s="50" t="s">
        <v>205</v>
      </c>
      <c r="K31" s="5"/>
      <c r="L31" s="4">
        <v>535</v>
      </c>
      <c r="M31" s="5">
        <v>93.625</v>
      </c>
    </row>
    <row r="32" spans="1:13">
      <c r="A32" s="4" t="s">
        <v>167</v>
      </c>
      <c r="B32" s="41" t="s">
        <v>206</v>
      </c>
      <c r="C32" s="49">
        <f>14+54/60</f>
        <v>14.9</v>
      </c>
      <c r="D32" s="50">
        <v>10</v>
      </c>
      <c r="E32" s="50">
        <v>3</v>
      </c>
      <c r="F32" s="50">
        <v>2019</v>
      </c>
      <c r="G32" s="4">
        <v>-79.728999999999999</v>
      </c>
      <c r="H32" s="5">
        <v>-171.02</v>
      </c>
      <c r="I32" s="4" t="s">
        <v>207</v>
      </c>
      <c r="J32" s="50" t="s">
        <v>173</v>
      </c>
      <c r="K32" s="5"/>
      <c r="L32" s="4">
        <v>689</v>
      </c>
      <c r="M32" s="5">
        <v>120.57499999999999</v>
      </c>
    </row>
    <row r="33" spans="1:13">
      <c r="A33" s="4" t="s">
        <v>167</v>
      </c>
      <c r="B33" s="41" t="s">
        <v>208</v>
      </c>
      <c r="C33" s="49">
        <f>11+24/60</f>
        <v>11.4</v>
      </c>
      <c r="D33" s="50">
        <v>11</v>
      </c>
      <c r="E33" s="50">
        <v>3</v>
      </c>
      <c r="F33" s="50">
        <v>2019</v>
      </c>
      <c r="G33" s="4">
        <v>74.805999999999997</v>
      </c>
      <c r="H33" s="5">
        <v>-169.262</v>
      </c>
      <c r="I33" s="4" t="s">
        <v>209</v>
      </c>
      <c r="J33" s="50" t="s">
        <v>173</v>
      </c>
      <c r="K33" s="5"/>
      <c r="L33" s="4">
        <v>689</v>
      </c>
      <c r="M33" s="5">
        <v>120.57499999999999</v>
      </c>
    </row>
    <row r="34" spans="1:13">
      <c r="A34" s="4" t="s">
        <v>167</v>
      </c>
      <c r="B34" s="41" t="s">
        <v>210</v>
      </c>
      <c r="C34" s="49">
        <f>2+11/60</f>
        <v>2.1833333333333331</v>
      </c>
      <c r="D34" s="50">
        <v>12</v>
      </c>
      <c r="E34" s="50">
        <v>3</v>
      </c>
      <c r="F34" s="50">
        <v>2019</v>
      </c>
      <c r="G34" s="4">
        <v>-36.506999999999998</v>
      </c>
      <c r="H34" s="5">
        <v>152.76900000000001</v>
      </c>
      <c r="I34" s="4" t="s">
        <v>191</v>
      </c>
      <c r="J34" s="50" t="s">
        <v>205</v>
      </c>
      <c r="K34" s="5"/>
      <c r="L34" s="4">
        <v>3200</v>
      </c>
      <c r="M34" s="5">
        <v>560</v>
      </c>
    </row>
    <row r="35" spans="1:13">
      <c r="A35" s="4" t="s">
        <v>167</v>
      </c>
      <c r="B35" s="41" t="s">
        <v>211</v>
      </c>
      <c r="C35" s="49">
        <f>8+29/60</f>
        <v>8.4833333333333325</v>
      </c>
      <c r="D35" s="50">
        <v>13</v>
      </c>
      <c r="E35" s="50">
        <v>3</v>
      </c>
      <c r="F35" s="50">
        <v>2019</v>
      </c>
      <c r="G35" s="4">
        <v>13.35</v>
      </c>
      <c r="H35" s="5">
        <v>82.808000000000007</v>
      </c>
      <c r="I35" s="4" t="s">
        <v>212</v>
      </c>
      <c r="J35" s="50" t="s">
        <v>173</v>
      </c>
      <c r="K35" s="5"/>
      <c r="L35" s="4">
        <v>689</v>
      </c>
      <c r="M35" s="5">
        <v>120.57499999999999</v>
      </c>
    </row>
    <row r="36" spans="1:13">
      <c r="A36" s="17" t="s">
        <v>167</v>
      </c>
      <c r="B36" s="39" t="s">
        <v>34</v>
      </c>
      <c r="C36" s="49">
        <f>19+17/60</f>
        <v>19.283333333333335</v>
      </c>
      <c r="D36" s="50">
        <v>14</v>
      </c>
      <c r="E36" s="50">
        <v>3</v>
      </c>
      <c r="F36" s="50">
        <v>2019</v>
      </c>
      <c r="G36" s="42">
        <v>45.92</v>
      </c>
      <c r="H36" s="43">
        <v>63.341999999999999</v>
      </c>
      <c r="I36" s="4" t="s">
        <v>35</v>
      </c>
      <c r="J36" s="29" t="s">
        <v>170</v>
      </c>
      <c r="K36" s="5" t="s">
        <v>235</v>
      </c>
      <c r="L36" s="4">
        <v>21750</v>
      </c>
      <c r="M36" s="5">
        <v>3806.2499999999995</v>
      </c>
    </row>
    <row r="37" spans="1:13">
      <c r="A37" s="4" t="s">
        <v>167</v>
      </c>
      <c r="B37" s="41" t="s">
        <v>213</v>
      </c>
      <c r="C37" s="49">
        <f>4+43/60</f>
        <v>4.7166666666666668</v>
      </c>
      <c r="D37" s="50">
        <v>15</v>
      </c>
      <c r="E37" s="50">
        <v>3</v>
      </c>
      <c r="F37" s="50">
        <v>2019</v>
      </c>
      <c r="G37" s="4">
        <v>-50.887</v>
      </c>
      <c r="H37" s="5">
        <v>72.260999999999996</v>
      </c>
      <c r="I37" s="4" t="s">
        <v>214</v>
      </c>
      <c r="J37" s="50" t="s">
        <v>173</v>
      </c>
      <c r="K37" s="5"/>
      <c r="L37" s="4">
        <v>689</v>
      </c>
      <c r="M37" s="5">
        <v>120.57499999999999</v>
      </c>
    </row>
    <row r="38" spans="1:13">
      <c r="A38" s="17" t="s">
        <v>167</v>
      </c>
      <c r="B38" s="39" t="s">
        <v>36</v>
      </c>
      <c r="C38" s="49">
        <f>29/60</f>
        <v>0.48333333333333334</v>
      </c>
      <c r="D38" s="50">
        <v>16</v>
      </c>
      <c r="E38" s="50">
        <v>3</v>
      </c>
      <c r="F38" s="50">
        <v>2019</v>
      </c>
      <c r="G38" s="42">
        <v>28.530999999999999</v>
      </c>
      <c r="H38" s="43">
        <v>-80.564999999999998</v>
      </c>
      <c r="I38" s="4" t="s">
        <v>37</v>
      </c>
      <c r="J38" s="29" t="s">
        <v>170</v>
      </c>
      <c r="K38" s="5" t="s">
        <v>235</v>
      </c>
      <c r="L38" s="4">
        <v>43160</v>
      </c>
      <c r="M38" s="5">
        <v>7552.9999999999991</v>
      </c>
    </row>
    <row r="39" spans="1:13">
      <c r="A39" s="4" t="s">
        <v>167</v>
      </c>
      <c r="B39" s="41" t="s">
        <v>215</v>
      </c>
      <c r="C39" s="49">
        <f>5+17/60</f>
        <v>5.2833333333333332</v>
      </c>
      <c r="D39" s="50">
        <v>17</v>
      </c>
      <c r="E39" s="50">
        <v>3</v>
      </c>
      <c r="F39" s="50">
        <v>2019</v>
      </c>
      <c r="G39" s="4">
        <v>52.122</v>
      </c>
      <c r="H39" s="5">
        <v>-49.731000000000002</v>
      </c>
      <c r="I39" s="4" t="s">
        <v>216</v>
      </c>
      <c r="J39" s="50" t="s">
        <v>173</v>
      </c>
      <c r="K39" s="5"/>
      <c r="L39" s="4">
        <v>689</v>
      </c>
      <c r="M39" s="5">
        <v>120.57499999999999</v>
      </c>
    </row>
    <row r="40" spans="1:13">
      <c r="A40" s="4" t="s">
        <v>167</v>
      </c>
      <c r="B40" s="41" t="s">
        <v>217</v>
      </c>
      <c r="C40" s="49">
        <f>14+20/60</f>
        <v>14.333333333333334</v>
      </c>
      <c r="D40" s="50">
        <v>17</v>
      </c>
      <c r="E40" s="50">
        <v>3</v>
      </c>
      <c r="F40" s="50">
        <v>2019</v>
      </c>
      <c r="G40" s="4">
        <v>-41.948999999999998</v>
      </c>
      <c r="H40" s="5">
        <v>7.2220000000000004</v>
      </c>
      <c r="I40" s="4" t="s">
        <v>218</v>
      </c>
      <c r="J40" s="50" t="s">
        <v>170</v>
      </c>
      <c r="K40" s="5"/>
      <c r="L40" s="4">
        <v>2400</v>
      </c>
      <c r="M40" s="5">
        <v>420</v>
      </c>
    </row>
    <row r="41" spans="1:13">
      <c r="A41" s="17" t="s">
        <v>167</v>
      </c>
      <c r="B41" s="39" t="s">
        <v>38</v>
      </c>
      <c r="C41" s="49">
        <f>1+53/60</f>
        <v>1.8833333333333333</v>
      </c>
      <c r="D41" s="50">
        <v>22</v>
      </c>
      <c r="E41" s="50">
        <v>3</v>
      </c>
      <c r="F41" s="50">
        <v>2019</v>
      </c>
      <c r="G41" s="42">
        <v>5.2359999999999998</v>
      </c>
      <c r="H41" s="43">
        <v>-52.774999999999999</v>
      </c>
      <c r="I41" s="4" t="s">
        <v>39</v>
      </c>
      <c r="J41" s="29" t="s">
        <v>170</v>
      </c>
      <c r="K41" s="5" t="s">
        <v>178</v>
      </c>
      <c r="L41" s="4">
        <v>8650</v>
      </c>
      <c r="M41" s="5">
        <v>1513.75</v>
      </c>
    </row>
    <row r="42" spans="1:13">
      <c r="A42" s="4" t="s">
        <v>167</v>
      </c>
      <c r="B42" s="41" t="s">
        <v>219</v>
      </c>
      <c r="C42" s="49">
        <f>2+39/60</f>
        <v>2.65</v>
      </c>
      <c r="D42" s="50">
        <v>24</v>
      </c>
      <c r="E42" s="50">
        <v>3</v>
      </c>
      <c r="F42" s="50">
        <v>2019</v>
      </c>
      <c r="G42" s="4">
        <v>-45.994</v>
      </c>
      <c r="H42" s="5">
        <v>151.011</v>
      </c>
      <c r="I42" s="4" t="s">
        <v>220</v>
      </c>
      <c r="J42" s="50" t="s">
        <v>170</v>
      </c>
      <c r="K42" s="5"/>
      <c r="L42" s="4">
        <v>1050</v>
      </c>
      <c r="M42" s="5">
        <v>183.75</v>
      </c>
    </row>
    <row r="43" spans="1:13">
      <c r="A43" s="4" t="s">
        <v>167</v>
      </c>
      <c r="B43" s="41" t="s">
        <v>221</v>
      </c>
      <c r="C43" s="49">
        <f>19+23/60</f>
        <v>19.383333333333333</v>
      </c>
      <c r="D43" s="50">
        <v>25</v>
      </c>
      <c r="E43" s="50">
        <v>3</v>
      </c>
      <c r="F43" s="50">
        <v>2019</v>
      </c>
      <c r="G43" s="4">
        <v>74.527000000000001</v>
      </c>
      <c r="H43" s="5">
        <v>-91.566999999999993</v>
      </c>
      <c r="I43" s="4" t="s">
        <v>222</v>
      </c>
      <c r="J43" s="50" t="s">
        <v>173</v>
      </c>
      <c r="K43" s="5"/>
      <c r="L43" s="4">
        <v>689</v>
      </c>
      <c r="M43" s="5">
        <v>120.57499999999999</v>
      </c>
    </row>
    <row r="44" spans="1:13">
      <c r="A44" s="17" t="s">
        <v>167</v>
      </c>
      <c r="B44" s="39" t="s">
        <v>40</v>
      </c>
      <c r="C44" s="49">
        <f>9+42/60</f>
        <v>9.6999999999999993</v>
      </c>
      <c r="D44" s="50">
        <v>27</v>
      </c>
      <c r="E44" s="50">
        <v>3</v>
      </c>
      <c r="F44" s="50">
        <v>2019</v>
      </c>
      <c r="G44" s="54">
        <v>40.960999999999999</v>
      </c>
      <c r="H44" s="55">
        <v>100.298</v>
      </c>
      <c r="I44" s="4" t="s">
        <v>41</v>
      </c>
      <c r="J44" s="29" t="s">
        <v>170</v>
      </c>
      <c r="K44" s="5" t="s">
        <v>178</v>
      </c>
      <c r="L44" s="4">
        <v>850</v>
      </c>
      <c r="M44" s="5">
        <v>148.75</v>
      </c>
    </row>
    <row r="45" spans="1:13">
      <c r="A45" s="17" t="s">
        <v>167</v>
      </c>
      <c r="B45" s="39" t="s">
        <v>42</v>
      </c>
      <c r="C45" s="49">
        <f>23+30/60</f>
        <v>23.5</v>
      </c>
      <c r="D45" s="50">
        <v>28</v>
      </c>
      <c r="E45" s="50">
        <v>3</v>
      </c>
      <c r="F45" s="50">
        <v>2019</v>
      </c>
      <c r="G45" s="42">
        <v>39.251199999999997</v>
      </c>
      <c r="H45" s="43">
        <v>177.8673</v>
      </c>
      <c r="I45" s="4" t="s">
        <v>43</v>
      </c>
      <c r="J45" s="29" t="s">
        <v>170</v>
      </c>
      <c r="K45" s="5" t="s">
        <v>178</v>
      </c>
      <c r="L45" s="4">
        <v>950</v>
      </c>
      <c r="M45" s="5">
        <v>166.25</v>
      </c>
    </row>
    <row r="46" spans="1:13">
      <c r="A46" s="4" t="s">
        <v>167</v>
      </c>
      <c r="B46" s="41" t="s">
        <v>223</v>
      </c>
      <c r="C46" s="49">
        <f>7+40/60</f>
        <v>7.666666666666667</v>
      </c>
      <c r="D46" s="50">
        <v>31</v>
      </c>
      <c r="E46" s="50">
        <v>3</v>
      </c>
      <c r="F46" s="50">
        <v>2019</v>
      </c>
      <c r="G46" s="4">
        <v>-42.21</v>
      </c>
      <c r="H46" s="5">
        <v>64.527000000000001</v>
      </c>
      <c r="I46" s="4" t="s">
        <v>224</v>
      </c>
      <c r="J46" s="50" t="s">
        <v>173</v>
      </c>
      <c r="K46" s="5"/>
      <c r="L46" s="4">
        <v>689</v>
      </c>
      <c r="M46" s="5">
        <v>120.57499999999999</v>
      </c>
    </row>
    <row r="47" spans="1:13">
      <c r="A47" s="17" t="s">
        <v>167</v>
      </c>
      <c r="B47" s="39" t="s">
        <v>44</v>
      </c>
      <c r="C47" s="49">
        <f>15+53/60</f>
        <v>15.883333333333333</v>
      </c>
      <c r="D47" s="50">
        <v>31</v>
      </c>
      <c r="E47" s="50">
        <v>3</v>
      </c>
      <c r="F47" s="50">
        <v>2019</v>
      </c>
      <c r="G47" s="42">
        <v>28.245999999999999</v>
      </c>
      <c r="H47" s="43">
        <v>102.027</v>
      </c>
      <c r="I47" s="4" t="s">
        <v>9</v>
      </c>
      <c r="J47" s="29" t="s">
        <v>170</v>
      </c>
      <c r="K47" s="5" t="s">
        <v>235</v>
      </c>
      <c r="L47" s="4">
        <v>25400</v>
      </c>
      <c r="M47" s="5">
        <v>4445</v>
      </c>
    </row>
    <row r="48" spans="1:13">
      <c r="A48" s="17" t="s">
        <v>167</v>
      </c>
      <c r="B48" s="39" t="s">
        <v>45</v>
      </c>
      <c r="C48" s="49">
        <f>4</f>
        <v>4</v>
      </c>
      <c r="D48" s="50">
        <v>1</v>
      </c>
      <c r="E48" s="50">
        <v>4</v>
      </c>
      <c r="F48" s="50">
        <v>2019</v>
      </c>
      <c r="G48" s="42">
        <v>13.72</v>
      </c>
      <c r="H48" s="43">
        <v>80.23</v>
      </c>
      <c r="I48" s="4" t="s">
        <v>46</v>
      </c>
      <c r="J48" s="29" t="s">
        <v>170</v>
      </c>
      <c r="K48" s="5" t="s">
        <v>235</v>
      </c>
      <c r="L48" s="4">
        <v>40800</v>
      </c>
      <c r="M48" s="5">
        <v>7140</v>
      </c>
    </row>
    <row r="49" spans="1:13">
      <c r="A49" s="4" t="s">
        <v>167</v>
      </c>
      <c r="B49" s="41" t="s">
        <v>225</v>
      </c>
      <c r="C49" s="49">
        <f>20+9/60</f>
        <v>20.149999999999999</v>
      </c>
      <c r="D49" s="50">
        <v>1</v>
      </c>
      <c r="E49" s="50">
        <v>4</v>
      </c>
      <c r="F49" s="50">
        <v>2019</v>
      </c>
      <c r="G49" s="4">
        <v>8.8670000000000009</v>
      </c>
      <c r="H49" s="5">
        <v>-4.3789999999999996</v>
      </c>
      <c r="I49" s="4" t="s">
        <v>226</v>
      </c>
      <c r="J49" s="50" t="s">
        <v>173</v>
      </c>
      <c r="K49" s="5"/>
      <c r="L49" s="4">
        <v>689</v>
      </c>
      <c r="M49" s="5">
        <v>120.57499999999999</v>
      </c>
    </row>
    <row r="50" spans="1:13">
      <c r="A50" s="17" t="s">
        <v>167</v>
      </c>
      <c r="B50" s="39" t="s">
        <v>47</v>
      </c>
      <c r="C50" s="49">
        <f>11+4/60</f>
        <v>11.066666666666666</v>
      </c>
      <c r="D50" s="50">
        <v>4</v>
      </c>
      <c r="E50" s="50">
        <v>4</v>
      </c>
      <c r="F50" s="50">
        <v>2019</v>
      </c>
      <c r="G50" s="42">
        <v>45.996000000000002</v>
      </c>
      <c r="H50" s="43">
        <v>63.564</v>
      </c>
      <c r="I50" s="4" t="s">
        <v>48</v>
      </c>
      <c r="J50" s="29" t="s">
        <v>170</v>
      </c>
      <c r="K50" s="5" t="s">
        <v>235</v>
      </c>
      <c r="L50" s="4">
        <v>21750</v>
      </c>
      <c r="M50" s="5">
        <v>3806.2499999999995</v>
      </c>
    </row>
    <row r="51" spans="1:13">
      <c r="A51" s="17" t="s">
        <v>167</v>
      </c>
      <c r="B51" s="39" t="s">
        <v>49</v>
      </c>
      <c r="C51" s="49">
        <f>17+6/60</f>
        <v>17.100000000000001</v>
      </c>
      <c r="D51" s="50">
        <v>4</v>
      </c>
      <c r="E51" s="50">
        <v>4</v>
      </c>
      <c r="F51" s="50">
        <v>2019</v>
      </c>
      <c r="G51" s="42">
        <v>5.3010000000000002</v>
      </c>
      <c r="H51" s="43">
        <v>-52.837000000000003</v>
      </c>
      <c r="I51" s="4" t="s">
        <v>50</v>
      </c>
      <c r="J51" s="29" t="s">
        <v>170</v>
      </c>
      <c r="K51" s="5" t="s">
        <v>235</v>
      </c>
      <c r="L51" s="4">
        <v>21750</v>
      </c>
      <c r="M51" s="5">
        <v>3806.2499999999995</v>
      </c>
    </row>
    <row r="52" spans="1:13">
      <c r="A52" s="4" t="s">
        <v>167</v>
      </c>
      <c r="B52" s="41" t="s">
        <v>227</v>
      </c>
      <c r="C52" s="49">
        <f>22+46/60</f>
        <v>22.766666666666666</v>
      </c>
      <c r="D52" s="50">
        <v>4</v>
      </c>
      <c r="E52" s="50">
        <v>4</v>
      </c>
      <c r="F52" s="50">
        <v>2019</v>
      </c>
      <c r="G52" s="4">
        <v>-20.855</v>
      </c>
      <c r="H52" s="5">
        <v>-104.926</v>
      </c>
      <c r="I52" s="4" t="s">
        <v>228</v>
      </c>
      <c r="J52" s="50" t="s">
        <v>170</v>
      </c>
      <c r="K52" s="5"/>
      <c r="L52" s="4">
        <v>2500</v>
      </c>
      <c r="M52" s="5">
        <v>437.5</v>
      </c>
    </row>
    <row r="53" spans="1:13">
      <c r="A53" s="4" t="s">
        <v>167</v>
      </c>
      <c r="B53" s="41" t="s">
        <v>229</v>
      </c>
      <c r="C53" s="49">
        <f>20+4/60</f>
        <v>20.066666666666666</v>
      </c>
      <c r="D53" s="50">
        <v>5</v>
      </c>
      <c r="E53" s="50">
        <v>4</v>
      </c>
      <c r="F53" s="50">
        <v>2019</v>
      </c>
      <c r="G53" s="4">
        <v>-26.957999999999998</v>
      </c>
      <c r="H53" s="5">
        <v>23.042999999999999</v>
      </c>
      <c r="I53" s="4" t="s">
        <v>230</v>
      </c>
      <c r="J53" s="50" t="s">
        <v>170</v>
      </c>
      <c r="K53" s="5"/>
      <c r="L53" s="4">
        <v>1000</v>
      </c>
      <c r="M53" s="5">
        <v>175</v>
      </c>
    </row>
    <row r="54" spans="1:13">
      <c r="A54" s="4" t="s">
        <v>167</v>
      </c>
      <c r="B54" s="41" t="s">
        <v>231</v>
      </c>
      <c r="C54" s="49">
        <f>9+57/60</f>
        <v>9.9499999999999993</v>
      </c>
      <c r="D54" s="50">
        <v>7</v>
      </c>
      <c r="E54" s="50">
        <v>4</v>
      </c>
      <c r="F54" s="50">
        <v>2019</v>
      </c>
      <c r="G54" s="4">
        <v>-46.481000000000002</v>
      </c>
      <c r="H54" s="5">
        <v>-154.49600000000001</v>
      </c>
      <c r="I54" s="4" t="s">
        <v>232</v>
      </c>
      <c r="J54" s="50" t="s">
        <v>173</v>
      </c>
      <c r="K54" s="5"/>
      <c r="L54" s="4">
        <v>689</v>
      </c>
      <c r="M54" s="5">
        <v>120.57499999999999</v>
      </c>
    </row>
    <row r="55" spans="1:13">
      <c r="A55" s="4" t="s">
        <v>167</v>
      </c>
      <c r="B55" s="41" t="s">
        <v>233</v>
      </c>
      <c r="C55" s="49">
        <f>2+38/60</f>
        <v>2.6333333333333333</v>
      </c>
      <c r="D55" s="50">
        <v>9</v>
      </c>
      <c r="E55" s="50">
        <v>4</v>
      </c>
      <c r="F55" s="50">
        <v>2019</v>
      </c>
      <c r="G55" s="4">
        <v>47.594000000000001</v>
      </c>
      <c r="H55" s="5">
        <v>-113.012</v>
      </c>
      <c r="I55" s="4" t="s">
        <v>234</v>
      </c>
      <c r="J55" s="50" t="s">
        <v>205</v>
      </c>
      <c r="K55" s="5"/>
      <c r="L55" s="4">
        <v>2370</v>
      </c>
      <c r="M55" s="5">
        <v>414.75</v>
      </c>
    </row>
    <row r="56" spans="1:13">
      <c r="A56" s="17" t="s">
        <v>177</v>
      </c>
      <c r="B56" s="39" t="s">
        <v>51</v>
      </c>
      <c r="C56" s="49">
        <f>22+38/60</f>
        <v>22.633333333333333</v>
      </c>
      <c r="D56" s="50">
        <v>11</v>
      </c>
      <c r="E56" s="50">
        <v>4</v>
      </c>
      <c r="F56" s="50">
        <v>2019</v>
      </c>
      <c r="G56" s="42">
        <v>28.485800000000001</v>
      </c>
      <c r="H56" s="43">
        <v>-80.544439999999994</v>
      </c>
      <c r="I56" s="4" t="s">
        <v>52</v>
      </c>
      <c r="J56" s="29" t="s">
        <v>170</v>
      </c>
      <c r="K56" s="5" t="s">
        <v>235</v>
      </c>
      <c r="L56" s="4">
        <v>51000</v>
      </c>
      <c r="M56" s="5">
        <v>8925</v>
      </c>
    </row>
    <row r="57" spans="1:13">
      <c r="A57" s="4" t="s">
        <v>167</v>
      </c>
      <c r="B57" s="41" t="s">
        <v>237</v>
      </c>
      <c r="C57" s="49">
        <f>2+20/60</f>
        <v>2.3333333333333335</v>
      </c>
      <c r="D57" s="50">
        <v>15</v>
      </c>
      <c r="E57" s="50">
        <v>4</v>
      </c>
      <c r="F57" s="50">
        <v>2019</v>
      </c>
      <c r="G57" s="4">
        <v>-19.867000000000001</v>
      </c>
      <c r="H57" s="5">
        <v>178.43299999999999</v>
      </c>
      <c r="I57" s="4" t="s">
        <v>238</v>
      </c>
      <c r="J57" s="50" t="s">
        <v>170</v>
      </c>
      <c r="K57" s="5" t="s">
        <v>176</v>
      </c>
      <c r="L57" s="4">
        <v>4500</v>
      </c>
      <c r="M57" s="5">
        <v>787.5</v>
      </c>
    </row>
    <row r="58" spans="1:13">
      <c r="A58" s="4" t="s">
        <v>167</v>
      </c>
      <c r="B58" s="41" t="s">
        <v>236</v>
      </c>
      <c r="C58" s="49">
        <f>4+59/60</f>
        <v>4.9833333333333334</v>
      </c>
      <c r="D58" s="50">
        <v>15</v>
      </c>
      <c r="E58" s="50">
        <v>4</v>
      </c>
      <c r="F58" s="50">
        <v>2019</v>
      </c>
      <c r="G58" s="4">
        <v>-1.2929999999999999</v>
      </c>
      <c r="H58" s="5">
        <v>60.66</v>
      </c>
      <c r="I58" s="4" t="s">
        <v>189</v>
      </c>
      <c r="J58" s="50" t="s">
        <v>170</v>
      </c>
      <c r="K58" s="5"/>
      <c r="L58" s="4">
        <v>250</v>
      </c>
      <c r="M58" s="5">
        <v>43.75</v>
      </c>
    </row>
    <row r="59" spans="1:13">
      <c r="A59" s="17" t="s">
        <v>167</v>
      </c>
      <c r="B59" s="39" t="s">
        <v>53</v>
      </c>
      <c r="C59" s="49">
        <f>20+49/60</f>
        <v>20.816666666666666</v>
      </c>
      <c r="D59" s="50">
        <v>17</v>
      </c>
      <c r="E59" s="50">
        <v>4</v>
      </c>
      <c r="F59" s="50">
        <v>2019</v>
      </c>
      <c r="G59" s="42">
        <v>37.832999999999998</v>
      </c>
      <c r="H59" s="43">
        <v>-75.488</v>
      </c>
      <c r="I59" s="4" t="s">
        <v>54</v>
      </c>
      <c r="J59" s="29" t="s">
        <v>170</v>
      </c>
      <c r="K59" s="5" t="s">
        <v>178</v>
      </c>
      <c r="L59" s="4">
        <v>20600</v>
      </c>
      <c r="M59" s="5">
        <v>3604.9999999999995</v>
      </c>
    </row>
    <row r="60" spans="1:13">
      <c r="A60" s="17" t="s">
        <v>167</v>
      </c>
      <c r="B60" s="39" t="s">
        <v>55</v>
      </c>
      <c r="C60" s="49">
        <f>14+44/60</f>
        <v>14.733333333333333</v>
      </c>
      <c r="D60" s="50">
        <v>20</v>
      </c>
      <c r="E60" s="50">
        <v>4</v>
      </c>
      <c r="F60" s="50">
        <v>2019</v>
      </c>
      <c r="G60" s="42">
        <v>28.247</v>
      </c>
      <c r="H60" s="43">
        <v>102.029</v>
      </c>
      <c r="I60" s="4" t="s">
        <v>9</v>
      </c>
      <c r="J60" s="29" t="s">
        <v>170</v>
      </c>
      <c r="K60" s="5" t="s">
        <v>235</v>
      </c>
      <c r="L60" s="4">
        <v>25400</v>
      </c>
      <c r="M60" s="5">
        <v>4445</v>
      </c>
    </row>
    <row r="61" spans="1:13">
      <c r="A61" s="4" t="s">
        <v>167</v>
      </c>
      <c r="B61" s="41" t="s">
        <v>239</v>
      </c>
      <c r="C61" s="49">
        <f>14+18/60</f>
        <v>14.3</v>
      </c>
      <c r="D61" s="50">
        <v>28</v>
      </c>
      <c r="E61" s="50">
        <v>4</v>
      </c>
      <c r="F61" s="50">
        <v>2019</v>
      </c>
      <c r="G61" s="4">
        <v>-21.838000000000001</v>
      </c>
      <c r="H61" s="5">
        <v>10.385999999999999</v>
      </c>
      <c r="I61" s="4" t="s">
        <v>240</v>
      </c>
      <c r="J61" s="50" t="s">
        <v>170</v>
      </c>
      <c r="K61" s="5"/>
      <c r="L61" s="4">
        <v>2100</v>
      </c>
      <c r="M61" s="5">
        <v>367.5</v>
      </c>
    </row>
    <row r="62" spans="1:13">
      <c r="A62" s="4" t="s">
        <v>167</v>
      </c>
      <c r="B62" s="41" t="s">
        <v>241</v>
      </c>
      <c r="C62" s="49">
        <f>16+16/60</f>
        <v>16.266666666666666</v>
      </c>
      <c r="D62" s="50">
        <v>29</v>
      </c>
      <c r="E62" s="50">
        <v>4</v>
      </c>
      <c r="F62" s="50">
        <v>2019</v>
      </c>
      <c r="G62" s="4">
        <v>17.417000000000002</v>
      </c>
      <c r="H62" s="5">
        <v>64.527000000000001</v>
      </c>
      <c r="I62" s="4" t="s">
        <v>228</v>
      </c>
      <c r="J62" s="50" t="s">
        <v>170</v>
      </c>
      <c r="K62" s="5"/>
      <c r="L62" s="4">
        <v>2500</v>
      </c>
      <c r="M62" s="5">
        <v>437.5</v>
      </c>
    </row>
    <row r="63" spans="1:13">
      <c r="A63" s="17" t="s">
        <v>167</v>
      </c>
      <c r="B63" s="39" t="s">
        <v>56</v>
      </c>
      <c r="C63" s="49">
        <f>22+55/60</f>
        <v>22.916666666666668</v>
      </c>
      <c r="D63" s="50">
        <v>29</v>
      </c>
      <c r="E63" s="50">
        <v>4</v>
      </c>
      <c r="F63" s="50">
        <v>2019</v>
      </c>
      <c r="G63" s="42">
        <v>38.863</v>
      </c>
      <c r="H63" s="43">
        <v>111.589</v>
      </c>
      <c r="I63" s="4" t="s">
        <v>57</v>
      </c>
      <c r="J63" s="29" t="s">
        <v>170</v>
      </c>
      <c r="K63" s="5" t="s">
        <v>178</v>
      </c>
      <c r="L63" s="4">
        <v>9500</v>
      </c>
      <c r="M63" s="5">
        <v>1662.5</v>
      </c>
    </row>
    <row r="64" spans="1:13">
      <c r="A64" s="4" t="s">
        <v>167</v>
      </c>
      <c r="B64" s="41" t="s">
        <v>242</v>
      </c>
      <c r="C64" s="49">
        <f>5/60</f>
        <v>8.3333333333333329E-2</v>
      </c>
      <c r="D64" s="50">
        <v>30</v>
      </c>
      <c r="E64" s="50">
        <v>4</v>
      </c>
      <c r="F64" s="50">
        <v>2019</v>
      </c>
      <c r="G64" s="4">
        <v>55.244</v>
      </c>
      <c r="H64" s="5">
        <v>-146.059</v>
      </c>
      <c r="I64" s="4" t="s">
        <v>191</v>
      </c>
      <c r="J64" s="50" t="s">
        <v>170</v>
      </c>
      <c r="K64" s="5"/>
      <c r="L64" s="4">
        <v>3200</v>
      </c>
      <c r="M64" s="5">
        <v>560</v>
      </c>
    </row>
    <row r="65" spans="1:13">
      <c r="A65" s="17" t="s">
        <v>177</v>
      </c>
      <c r="B65" s="39" t="s">
        <v>58</v>
      </c>
      <c r="C65" s="49">
        <f>6+51/60</f>
        <v>6.85</v>
      </c>
      <c r="D65" s="50">
        <v>4</v>
      </c>
      <c r="E65" s="50">
        <v>5</v>
      </c>
      <c r="F65" s="50">
        <v>2019</v>
      </c>
      <c r="G65" s="4">
        <v>28.41</v>
      </c>
      <c r="H65" s="5">
        <v>-80.61</v>
      </c>
      <c r="I65" s="4" t="s">
        <v>11</v>
      </c>
      <c r="J65" s="29" t="s">
        <v>170</v>
      </c>
      <c r="K65" s="5" t="s">
        <v>178</v>
      </c>
      <c r="L65" s="4">
        <v>27200</v>
      </c>
      <c r="M65" s="5">
        <v>4760</v>
      </c>
    </row>
    <row r="66" spans="1:13">
      <c r="A66" s="17" t="s">
        <v>167</v>
      </c>
      <c r="B66" s="39" t="s">
        <v>59</v>
      </c>
      <c r="C66" s="49">
        <f>6+3/60</f>
        <v>6.05</v>
      </c>
      <c r="D66" s="50">
        <v>5</v>
      </c>
      <c r="E66" s="50">
        <v>5</v>
      </c>
      <c r="F66" s="50">
        <v>2019</v>
      </c>
      <c r="G66" s="42">
        <v>-39.251199999999997</v>
      </c>
      <c r="H66" s="43">
        <v>177.8673</v>
      </c>
      <c r="I66" s="4" t="s">
        <v>43</v>
      </c>
      <c r="J66" s="29" t="s">
        <v>170</v>
      </c>
      <c r="K66" s="5" t="s">
        <v>178</v>
      </c>
      <c r="L66" s="4">
        <v>950</v>
      </c>
      <c r="M66" s="5">
        <v>166.25</v>
      </c>
    </row>
    <row r="67" spans="1:13">
      <c r="A67" s="4" t="s">
        <v>167</v>
      </c>
      <c r="B67" s="41" t="s">
        <v>243</v>
      </c>
      <c r="C67" s="49">
        <f>13+49/60</f>
        <v>13.816666666666666</v>
      </c>
      <c r="D67" s="50">
        <v>7</v>
      </c>
      <c r="E67" s="50">
        <v>5</v>
      </c>
      <c r="F67" s="50">
        <v>2019</v>
      </c>
      <c r="G67" s="4">
        <v>-6.9009999999999998</v>
      </c>
      <c r="H67" s="5">
        <v>-116.879</v>
      </c>
      <c r="I67" s="4" t="s">
        <v>204</v>
      </c>
      <c r="J67" s="50" t="s">
        <v>205</v>
      </c>
      <c r="K67" s="5"/>
      <c r="L67" s="4">
        <v>535</v>
      </c>
      <c r="M67" s="5">
        <v>93.625</v>
      </c>
    </row>
    <row r="68" spans="1:13">
      <c r="A68" s="4" t="s">
        <v>167</v>
      </c>
      <c r="B68" s="41" t="s">
        <v>244</v>
      </c>
      <c r="C68" s="49">
        <f>16+52/60</f>
        <v>16.866666666666667</v>
      </c>
      <c r="D68" s="50">
        <v>7</v>
      </c>
      <c r="E68" s="50">
        <v>5</v>
      </c>
      <c r="F68" s="50">
        <v>2019</v>
      </c>
      <c r="G68" s="4">
        <v>25.268000000000001</v>
      </c>
      <c r="H68" s="5">
        <v>-156.60599999999999</v>
      </c>
      <c r="I68" s="4" t="s">
        <v>234</v>
      </c>
      <c r="J68" s="50" t="s">
        <v>205</v>
      </c>
      <c r="K68" s="5"/>
      <c r="L68" s="4">
        <v>2370</v>
      </c>
      <c r="M68" s="5">
        <v>414.75</v>
      </c>
    </row>
    <row r="69" spans="1:13">
      <c r="A69" s="4" t="s">
        <v>167</v>
      </c>
      <c r="B69" s="41" t="s">
        <v>245</v>
      </c>
      <c r="C69" s="49">
        <f>7+29/60</f>
        <v>7.4833333333333334</v>
      </c>
      <c r="D69" s="50">
        <v>11</v>
      </c>
      <c r="E69" s="50">
        <v>5</v>
      </c>
      <c r="F69" s="50">
        <v>2019</v>
      </c>
      <c r="G69" s="4">
        <v>43.405000000000001</v>
      </c>
      <c r="H69" s="5">
        <v>78.728999999999999</v>
      </c>
      <c r="I69" s="4" t="s">
        <v>246</v>
      </c>
      <c r="J69" s="50" t="s">
        <v>173</v>
      </c>
      <c r="K69" s="5"/>
      <c r="L69" s="4">
        <v>689</v>
      </c>
      <c r="M69" s="5">
        <v>120.57499999999999</v>
      </c>
    </row>
    <row r="70" spans="1:13">
      <c r="A70" s="4" t="s">
        <v>167</v>
      </c>
      <c r="B70" s="41" t="s">
        <v>247</v>
      </c>
      <c r="C70" s="49">
        <f>9+3/60</f>
        <v>9.0500000000000007</v>
      </c>
      <c r="D70" s="50">
        <v>12</v>
      </c>
      <c r="E70" s="50">
        <v>5</v>
      </c>
      <c r="F70" s="50">
        <v>2019</v>
      </c>
      <c r="G70" s="4">
        <v>-22.817</v>
      </c>
      <c r="H70" s="5">
        <v>99.471000000000004</v>
      </c>
      <c r="I70" s="4" t="s">
        <v>248</v>
      </c>
      <c r="J70" s="50" t="s">
        <v>173</v>
      </c>
      <c r="K70" s="5"/>
      <c r="L70" s="4">
        <v>689</v>
      </c>
      <c r="M70" s="5">
        <v>120.57499999999999</v>
      </c>
    </row>
    <row r="71" spans="1:13">
      <c r="A71" s="4" t="s">
        <v>167</v>
      </c>
      <c r="B71" s="41" t="s">
        <v>249</v>
      </c>
      <c r="C71" s="49">
        <f>13+4/60</f>
        <v>13.066666666666666</v>
      </c>
      <c r="D71" s="50">
        <v>12</v>
      </c>
      <c r="E71" s="50">
        <v>5</v>
      </c>
      <c r="F71" s="50">
        <v>2019</v>
      </c>
      <c r="G71" s="4">
        <v>4.3239999999999998</v>
      </c>
      <c r="H71" s="5">
        <v>-172.28700000000001</v>
      </c>
      <c r="I71" s="4" t="s">
        <v>250</v>
      </c>
      <c r="J71" s="50" t="s">
        <v>170</v>
      </c>
      <c r="K71" s="5"/>
      <c r="L71" s="4">
        <v>5000</v>
      </c>
      <c r="M71" s="5">
        <v>875</v>
      </c>
    </row>
    <row r="72" spans="1:13">
      <c r="A72" s="4" t="s">
        <v>167</v>
      </c>
      <c r="B72" s="41" t="s">
        <v>251</v>
      </c>
      <c r="C72" s="49">
        <f>1+2/60</f>
        <v>1.0333333333333334</v>
      </c>
      <c r="D72" s="50">
        <v>15</v>
      </c>
      <c r="E72" s="50">
        <v>5</v>
      </c>
      <c r="F72" s="50">
        <v>2019</v>
      </c>
      <c r="G72" s="4">
        <v>-63.5</v>
      </c>
      <c r="H72" s="5">
        <v>92.44</v>
      </c>
      <c r="I72" s="4" t="s">
        <v>218</v>
      </c>
      <c r="J72" s="50" t="s">
        <v>170</v>
      </c>
      <c r="K72" s="5"/>
      <c r="L72" s="4">
        <v>2400</v>
      </c>
      <c r="M72" s="5">
        <v>420</v>
      </c>
    </row>
    <row r="73" spans="1:13">
      <c r="A73" s="17" t="s">
        <v>167</v>
      </c>
      <c r="B73" s="39" t="s">
        <v>60</v>
      </c>
      <c r="C73" s="49">
        <f>15+51/60</f>
        <v>15.85</v>
      </c>
      <c r="D73" s="50">
        <v>17</v>
      </c>
      <c r="E73" s="50">
        <v>5</v>
      </c>
      <c r="F73" s="50">
        <v>2019</v>
      </c>
      <c r="G73" s="42">
        <v>28.245999999999999</v>
      </c>
      <c r="H73" s="43">
        <v>102.027</v>
      </c>
      <c r="I73" s="4" t="s">
        <v>61</v>
      </c>
      <c r="J73" s="29" t="s">
        <v>170</v>
      </c>
      <c r="K73" s="5" t="s">
        <v>235</v>
      </c>
      <c r="L73" s="4">
        <v>17600</v>
      </c>
      <c r="M73" s="5">
        <v>3080</v>
      </c>
    </row>
    <row r="74" spans="1:13">
      <c r="A74" s="4" t="s">
        <v>167</v>
      </c>
      <c r="B74" s="41" t="s">
        <v>252</v>
      </c>
      <c r="C74" s="49">
        <f>16+49/60</f>
        <v>16.816666666666666</v>
      </c>
      <c r="D74" s="50">
        <v>17</v>
      </c>
      <c r="E74" s="50">
        <v>5</v>
      </c>
      <c r="F74" s="50">
        <v>2019</v>
      </c>
      <c r="G74" s="4">
        <v>-13.134</v>
      </c>
      <c r="H74" s="5">
        <v>-139.94300000000001</v>
      </c>
      <c r="I74" s="4" t="s">
        <v>189</v>
      </c>
      <c r="J74" s="50" t="s">
        <v>170</v>
      </c>
      <c r="K74" s="5"/>
      <c r="L74" s="4">
        <v>250</v>
      </c>
      <c r="M74" s="5">
        <v>43.75</v>
      </c>
    </row>
    <row r="75" spans="1:13">
      <c r="A75" s="17" t="s">
        <v>167</v>
      </c>
      <c r="B75" s="39" t="s">
        <v>62</v>
      </c>
      <c r="C75" s="49">
        <v>0</v>
      </c>
      <c r="D75" s="50">
        <v>22</v>
      </c>
      <c r="E75" s="50">
        <v>5</v>
      </c>
      <c r="F75" s="50">
        <v>2019</v>
      </c>
      <c r="G75" s="42">
        <v>13.72</v>
      </c>
      <c r="H75" s="43">
        <v>80.23</v>
      </c>
      <c r="I75" s="4" t="s">
        <v>63</v>
      </c>
      <c r="J75" s="29" t="s">
        <v>170</v>
      </c>
      <c r="K75" s="5" t="s">
        <v>178</v>
      </c>
      <c r="L75" s="4">
        <v>30000</v>
      </c>
      <c r="M75" s="5">
        <v>5250</v>
      </c>
    </row>
    <row r="76" spans="1:13">
      <c r="A76" s="17" t="s">
        <v>167</v>
      </c>
      <c r="B76" s="39" t="s">
        <v>64</v>
      </c>
      <c r="C76" s="49">
        <f>22+52/60</f>
        <v>22.866666666666667</v>
      </c>
      <c r="D76" s="50">
        <v>22</v>
      </c>
      <c r="E76" s="50">
        <v>5</v>
      </c>
      <c r="F76" s="50">
        <v>2019</v>
      </c>
      <c r="G76" s="42">
        <v>38.863</v>
      </c>
      <c r="H76" s="43">
        <v>111.589</v>
      </c>
      <c r="I76" s="4" t="s">
        <v>65</v>
      </c>
      <c r="J76" s="29" t="s">
        <v>170</v>
      </c>
      <c r="K76" s="5" t="s">
        <v>178</v>
      </c>
      <c r="L76" s="4">
        <v>9500</v>
      </c>
      <c r="M76" s="5">
        <v>1662.5</v>
      </c>
    </row>
    <row r="77" spans="1:13">
      <c r="A77" s="17" t="s">
        <v>177</v>
      </c>
      <c r="B77" s="39" t="s">
        <v>66</v>
      </c>
      <c r="C77" s="49">
        <f>2+33/60</f>
        <v>2.5499999999999998</v>
      </c>
      <c r="D77" s="50">
        <v>24</v>
      </c>
      <c r="E77" s="50">
        <v>5</v>
      </c>
      <c r="F77" s="50">
        <v>2019</v>
      </c>
      <c r="G77" s="4">
        <v>28.41</v>
      </c>
      <c r="H77" s="5">
        <v>-80.61</v>
      </c>
      <c r="I77" s="4" t="s">
        <v>11</v>
      </c>
      <c r="J77" s="29" t="s">
        <v>170</v>
      </c>
      <c r="K77" s="5" t="s">
        <v>178</v>
      </c>
      <c r="L77" s="4">
        <v>27200</v>
      </c>
      <c r="M77" s="5">
        <v>4760</v>
      </c>
    </row>
    <row r="78" spans="1:13">
      <c r="A78" s="17" t="s">
        <v>167</v>
      </c>
      <c r="B78" s="39" t="s">
        <v>67</v>
      </c>
      <c r="C78" s="49">
        <f>6+26/60</f>
        <v>6.4333333333333336</v>
      </c>
      <c r="D78" s="50">
        <v>27</v>
      </c>
      <c r="E78" s="50">
        <v>5</v>
      </c>
      <c r="F78" s="50">
        <v>2019</v>
      </c>
      <c r="G78" s="42">
        <v>62.929000000000002</v>
      </c>
      <c r="H78" s="43">
        <v>40.457000000000001</v>
      </c>
      <c r="I78" s="4" t="s">
        <v>27</v>
      </c>
      <c r="J78" s="29" t="s">
        <v>170</v>
      </c>
      <c r="K78" s="5" t="s">
        <v>235</v>
      </c>
      <c r="L78" s="4">
        <v>21750</v>
      </c>
      <c r="M78" s="5">
        <v>3806.2499999999995</v>
      </c>
    </row>
    <row r="79" spans="1:13">
      <c r="A79" s="4" t="s">
        <v>167</v>
      </c>
      <c r="B79" s="41" t="s">
        <v>253</v>
      </c>
      <c r="C79" s="49">
        <f>22+16/60</f>
        <v>22.266666666666666</v>
      </c>
      <c r="D79" s="50">
        <v>27</v>
      </c>
      <c r="E79" s="50">
        <v>5</v>
      </c>
      <c r="F79" s="50">
        <v>2019</v>
      </c>
      <c r="G79" s="4">
        <v>22.37</v>
      </c>
      <c r="H79" s="5">
        <v>-70.685000000000002</v>
      </c>
      <c r="I79" s="4" t="s">
        <v>254</v>
      </c>
      <c r="J79" s="50" t="s">
        <v>170</v>
      </c>
      <c r="K79" s="5"/>
      <c r="L79" s="4">
        <v>65</v>
      </c>
      <c r="M79" s="5">
        <v>11.375</v>
      </c>
    </row>
    <row r="80" spans="1:13">
      <c r="A80" s="17" t="s">
        <v>167</v>
      </c>
      <c r="B80" s="39" t="s">
        <v>68</v>
      </c>
      <c r="C80" s="49">
        <f>17+45/60</f>
        <v>17.75</v>
      </c>
      <c r="D80" s="50">
        <v>30</v>
      </c>
      <c r="E80" s="50">
        <v>5</v>
      </c>
      <c r="F80" s="50">
        <v>2019</v>
      </c>
      <c r="G80" s="42">
        <v>46.04</v>
      </c>
      <c r="H80" s="43">
        <v>63.031999999999996</v>
      </c>
      <c r="I80" s="4" t="s">
        <v>69</v>
      </c>
      <c r="J80" s="29" t="s">
        <v>170</v>
      </c>
      <c r="K80" s="5" t="s">
        <v>178</v>
      </c>
      <c r="L80" s="4">
        <v>30600</v>
      </c>
      <c r="M80" s="5">
        <v>5355</v>
      </c>
    </row>
    <row r="81" spans="1:13">
      <c r="A81" s="17" t="s">
        <v>167</v>
      </c>
      <c r="B81" s="39" t="s">
        <v>70</v>
      </c>
      <c r="C81" s="49">
        <f>4+9/60</f>
        <v>4.1500000000000004</v>
      </c>
      <c r="D81" s="50">
        <v>5</v>
      </c>
      <c r="E81" s="50">
        <v>6</v>
      </c>
      <c r="F81" s="50">
        <v>2019</v>
      </c>
      <c r="G81" s="56">
        <v>34.9</v>
      </c>
      <c r="H81" s="55">
        <v>121.19</v>
      </c>
      <c r="I81" s="4" t="s">
        <v>71</v>
      </c>
      <c r="J81" s="29" t="s">
        <v>170</v>
      </c>
      <c r="K81" s="5" t="s">
        <v>178</v>
      </c>
      <c r="L81" s="4">
        <v>4770</v>
      </c>
      <c r="M81" s="5">
        <v>834.75</v>
      </c>
    </row>
    <row r="82" spans="1:13">
      <c r="A82" s="4" t="s">
        <v>167</v>
      </c>
      <c r="B82" s="41" t="s">
        <v>255</v>
      </c>
      <c r="C82" s="49">
        <f>7+32/60</f>
        <v>7.5333333333333332</v>
      </c>
      <c r="D82" s="50">
        <v>10</v>
      </c>
      <c r="E82" s="50">
        <v>6</v>
      </c>
      <c r="F82" s="50">
        <v>2019</v>
      </c>
      <c r="G82" s="4">
        <v>-19.870999999999999</v>
      </c>
      <c r="H82" s="5">
        <v>-80.177999999999997</v>
      </c>
      <c r="I82" s="4" t="s">
        <v>254</v>
      </c>
      <c r="J82" s="50" t="s">
        <v>170</v>
      </c>
      <c r="K82" s="5"/>
      <c r="L82" s="4">
        <v>65</v>
      </c>
      <c r="M82" s="5">
        <v>11.375</v>
      </c>
    </row>
    <row r="83" spans="1:13">
      <c r="A83" s="17" t="s">
        <v>177</v>
      </c>
      <c r="B83" s="39" t="s">
        <v>72</v>
      </c>
      <c r="C83" s="49">
        <f>14+20/60</f>
        <v>14.333333333333334</v>
      </c>
      <c r="D83" s="50">
        <v>12</v>
      </c>
      <c r="E83" s="50">
        <v>6</v>
      </c>
      <c r="F83" s="50">
        <v>2019</v>
      </c>
      <c r="G83" s="4">
        <v>34.633000000000003</v>
      </c>
      <c r="H83" s="5">
        <v>-120.613</v>
      </c>
      <c r="I83" s="4" t="s">
        <v>11</v>
      </c>
      <c r="J83" s="29" t="s">
        <v>170</v>
      </c>
      <c r="K83" s="5" t="s">
        <v>178</v>
      </c>
      <c r="L83" s="4">
        <v>27200</v>
      </c>
      <c r="M83" s="5">
        <v>4760</v>
      </c>
    </row>
    <row r="84" spans="1:13">
      <c r="A84" s="4" t="s">
        <v>167</v>
      </c>
      <c r="B84" s="41" t="s">
        <v>256</v>
      </c>
      <c r="C84" s="49">
        <f>5+32/60</f>
        <v>5.5333333333333332</v>
      </c>
      <c r="D84" s="50">
        <v>15</v>
      </c>
      <c r="E84" s="50">
        <v>6</v>
      </c>
      <c r="F84" s="50">
        <v>2019</v>
      </c>
      <c r="G84" s="4">
        <v>6.0739999999999998</v>
      </c>
      <c r="H84" s="5">
        <v>-41.856999999999999</v>
      </c>
      <c r="I84" s="4" t="s">
        <v>204</v>
      </c>
      <c r="J84" s="50" t="s">
        <v>205</v>
      </c>
      <c r="K84" s="5"/>
      <c r="L84" s="4">
        <v>535</v>
      </c>
      <c r="M84" s="5">
        <v>93.625</v>
      </c>
    </row>
    <row r="85" spans="1:13">
      <c r="A85" s="17" t="s">
        <v>167</v>
      </c>
      <c r="B85" s="57" t="s">
        <v>73</v>
      </c>
      <c r="C85" s="49">
        <f>21+46/60</f>
        <v>21.766666666666666</v>
      </c>
      <c r="D85" s="50">
        <v>20</v>
      </c>
      <c r="E85" s="50">
        <v>6</v>
      </c>
      <c r="F85" s="50">
        <v>2019</v>
      </c>
      <c r="G85" s="42">
        <v>5.2389999999999999</v>
      </c>
      <c r="H85" s="43">
        <v>-52.768999999999998</v>
      </c>
      <c r="I85" s="4" t="s">
        <v>23</v>
      </c>
      <c r="J85" s="29" t="s">
        <v>170</v>
      </c>
      <c r="K85" s="5" t="s">
        <v>235</v>
      </c>
      <c r="L85" s="4">
        <v>90000</v>
      </c>
      <c r="M85" s="5">
        <v>15749.999999999998</v>
      </c>
    </row>
    <row r="86" spans="1:13">
      <c r="A86" s="17" t="s">
        <v>167</v>
      </c>
      <c r="B86" s="39" t="s">
        <v>74</v>
      </c>
      <c r="C86" s="49">
        <f>18+12/60</f>
        <v>18.2</v>
      </c>
      <c r="D86" s="50">
        <v>24</v>
      </c>
      <c r="E86" s="50">
        <v>6</v>
      </c>
      <c r="F86" s="50">
        <v>2019</v>
      </c>
      <c r="G86" s="42">
        <v>28.247</v>
      </c>
      <c r="H86" s="43">
        <v>102.029</v>
      </c>
      <c r="I86" s="4" t="s">
        <v>9</v>
      </c>
      <c r="J86" s="29" t="s">
        <v>170</v>
      </c>
      <c r="K86" s="5" t="s">
        <v>235</v>
      </c>
      <c r="L86" s="4">
        <v>25400</v>
      </c>
      <c r="M86" s="5">
        <v>4445</v>
      </c>
    </row>
    <row r="87" spans="1:13">
      <c r="A87" s="4" t="s">
        <v>177</v>
      </c>
      <c r="B87" s="41" t="s">
        <v>307</v>
      </c>
      <c r="C87" s="49">
        <f>2+48/60</f>
        <v>2.8</v>
      </c>
      <c r="D87" s="50">
        <v>25</v>
      </c>
      <c r="E87" s="50">
        <v>6</v>
      </c>
      <c r="F87" s="50">
        <v>2019</v>
      </c>
      <c r="G87" s="44">
        <v>47.415750000000003</v>
      </c>
      <c r="H87" s="45">
        <v>69.5852</v>
      </c>
      <c r="I87" s="4" t="s">
        <v>75</v>
      </c>
      <c r="J87" s="50" t="s">
        <v>173</v>
      </c>
      <c r="K87" s="5"/>
      <c r="L87" s="4">
        <v>7080</v>
      </c>
      <c r="M87" s="5">
        <v>1239</v>
      </c>
    </row>
    <row r="88" spans="1:13">
      <c r="A88" s="17" t="s">
        <v>177</v>
      </c>
      <c r="B88" s="39" t="s">
        <v>76</v>
      </c>
      <c r="C88" s="49">
        <f>6+33/60</f>
        <v>6.55</v>
      </c>
      <c r="D88" s="50">
        <v>25</v>
      </c>
      <c r="E88" s="50">
        <v>6</v>
      </c>
      <c r="F88" s="50">
        <v>2019</v>
      </c>
      <c r="G88" s="4">
        <v>28.486000000000001</v>
      </c>
      <c r="H88" s="5">
        <v>-80.543999999999997</v>
      </c>
      <c r="I88" s="4" t="s">
        <v>52</v>
      </c>
      <c r="J88" s="29" t="s">
        <v>170</v>
      </c>
      <c r="K88" s="5" t="s">
        <v>235</v>
      </c>
      <c r="L88" s="4">
        <v>51000</v>
      </c>
      <c r="M88" s="5">
        <v>8925</v>
      </c>
    </row>
    <row r="89" spans="1:13">
      <c r="A89" s="17" t="s">
        <v>167</v>
      </c>
      <c r="B89" s="39" t="s">
        <v>77</v>
      </c>
      <c r="C89" s="49">
        <f>4+33/60</f>
        <v>4.55</v>
      </c>
      <c r="D89" s="50">
        <v>29</v>
      </c>
      <c r="E89" s="50">
        <v>6</v>
      </c>
      <c r="F89" s="50">
        <v>2019</v>
      </c>
      <c r="G89" s="42">
        <v>-39.251199999999997</v>
      </c>
      <c r="H89" s="43">
        <v>177.8673</v>
      </c>
      <c r="I89" s="4" t="s">
        <v>43</v>
      </c>
      <c r="J89" s="29" t="s">
        <v>170</v>
      </c>
      <c r="K89" s="5" t="s">
        <v>178</v>
      </c>
      <c r="L89" s="4">
        <v>950</v>
      </c>
      <c r="M89" s="5">
        <v>166.25</v>
      </c>
    </row>
    <row r="90" spans="1:13">
      <c r="A90" s="4" t="s">
        <v>167</v>
      </c>
      <c r="B90" s="41" t="s">
        <v>257</v>
      </c>
      <c r="C90" s="49">
        <f>23</f>
        <v>23</v>
      </c>
      <c r="D90" s="50">
        <v>29</v>
      </c>
      <c r="E90" s="50">
        <v>6</v>
      </c>
      <c r="F90" s="50">
        <v>2019</v>
      </c>
      <c r="G90" s="4">
        <v>-15.179</v>
      </c>
      <c r="H90" s="5">
        <v>-64.709000000000003</v>
      </c>
      <c r="I90" s="4" t="s">
        <v>258</v>
      </c>
      <c r="J90" s="50" t="s">
        <v>205</v>
      </c>
      <c r="K90" s="5"/>
      <c r="L90" s="4">
        <v>2370</v>
      </c>
      <c r="M90" s="5">
        <v>414.75</v>
      </c>
    </row>
    <row r="91" spans="1:13">
      <c r="A91" s="4" t="s">
        <v>167</v>
      </c>
      <c r="B91" s="41" t="s">
        <v>259</v>
      </c>
      <c r="C91" s="49">
        <f>6+35/60</f>
        <v>6.583333333333333</v>
      </c>
      <c r="D91" s="50">
        <v>3</v>
      </c>
      <c r="E91" s="50">
        <v>7</v>
      </c>
      <c r="F91" s="50">
        <v>2019</v>
      </c>
      <c r="G91" s="4">
        <v>17.748000000000001</v>
      </c>
      <c r="H91" s="5">
        <v>-37.99</v>
      </c>
      <c r="I91" s="4" t="s">
        <v>184</v>
      </c>
      <c r="J91" s="50" t="s">
        <v>170</v>
      </c>
      <c r="K91" s="5"/>
      <c r="L91" s="4">
        <v>2740</v>
      </c>
      <c r="M91" s="5">
        <v>479.49999999999994</v>
      </c>
    </row>
    <row r="92" spans="1:13">
      <c r="A92" s="4" t="s">
        <v>167</v>
      </c>
      <c r="B92" s="41" t="s">
        <v>260</v>
      </c>
      <c r="C92" s="49">
        <f>6+36/60</f>
        <v>6.6</v>
      </c>
      <c r="D92" s="50">
        <v>3</v>
      </c>
      <c r="E92" s="50">
        <v>7</v>
      </c>
      <c r="F92" s="50">
        <v>2019</v>
      </c>
      <c r="G92" s="4">
        <v>27.469000000000001</v>
      </c>
      <c r="H92" s="5">
        <v>32.673999999999999</v>
      </c>
      <c r="I92" s="4" t="s">
        <v>189</v>
      </c>
      <c r="J92" s="50" t="s">
        <v>170</v>
      </c>
      <c r="K92" s="5"/>
      <c r="L92" s="4">
        <v>250</v>
      </c>
      <c r="M92" s="5">
        <v>43.75</v>
      </c>
    </row>
    <row r="93" spans="1:13">
      <c r="A93" s="4" t="s">
        <v>167</v>
      </c>
      <c r="B93" s="41" t="s">
        <v>261</v>
      </c>
      <c r="C93" s="49">
        <f>15+4/60</f>
        <v>15.066666666666666</v>
      </c>
      <c r="D93" s="50">
        <v>4</v>
      </c>
      <c r="E93" s="50">
        <v>7</v>
      </c>
      <c r="F93" s="50">
        <v>2019</v>
      </c>
      <c r="G93" s="4">
        <v>-52.372999999999998</v>
      </c>
      <c r="H93" s="5">
        <v>91.174000000000007</v>
      </c>
      <c r="I93" s="4" t="s">
        <v>184</v>
      </c>
      <c r="J93" s="50" t="s">
        <v>170</v>
      </c>
      <c r="K93" s="5"/>
      <c r="L93" s="4">
        <v>2740</v>
      </c>
      <c r="M93" s="5">
        <v>479.49999999999994</v>
      </c>
    </row>
    <row r="94" spans="1:13">
      <c r="A94" s="17" t="s">
        <v>167</v>
      </c>
      <c r="B94" s="39" t="s">
        <v>78</v>
      </c>
      <c r="C94" s="49">
        <f>5+44/60</f>
        <v>5.7333333333333334</v>
      </c>
      <c r="D94" s="50">
        <v>5</v>
      </c>
      <c r="E94" s="50">
        <v>7</v>
      </c>
      <c r="F94" s="50">
        <v>2019</v>
      </c>
      <c r="G94" s="42">
        <v>51.884999999999998</v>
      </c>
      <c r="H94" s="43">
        <v>128.33500000000001</v>
      </c>
      <c r="I94" s="4" t="s">
        <v>27</v>
      </c>
      <c r="J94" s="29" t="s">
        <v>170</v>
      </c>
      <c r="K94" s="5" t="s">
        <v>235</v>
      </c>
      <c r="L94" s="4">
        <v>21750</v>
      </c>
      <c r="M94" s="5">
        <v>3806.2499999999995</v>
      </c>
    </row>
    <row r="95" spans="1:13">
      <c r="A95" s="17" t="s">
        <v>167</v>
      </c>
      <c r="B95" s="39" t="s">
        <v>79</v>
      </c>
      <c r="C95" s="49">
        <f>17+17/60</f>
        <v>17.283333333333335</v>
      </c>
      <c r="D95" s="50">
        <v>10</v>
      </c>
      <c r="E95" s="50">
        <v>7</v>
      </c>
      <c r="F95" s="50">
        <v>2019</v>
      </c>
      <c r="G95" s="42">
        <v>62.929000000000002</v>
      </c>
      <c r="H95" s="43">
        <v>40.457000000000001</v>
      </c>
      <c r="I95" s="4" t="s">
        <v>80</v>
      </c>
      <c r="J95" s="29" t="s">
        <v>170</v>
      </c>
      <c r="K95" s="5" t="s">
        <v>178</v>
      </c>
      <c r="L95" s="4">
        <v>4900</v>
      </c>
      <c r="M95" s="5">
        <v>857.5</v>
      </c>
    </row>
    <row r="96" spans="1:13">
      <c r="A96" s="17" t="s">
        <v>167</v>
      </c>
      <c r="B96" s="39" t="s">
        <v>81</v>
      </c>
      <c r="C96" s="49">
        <f>1+56/60</f>
        <v>1.9333333333333333</v>
      </c>
      <c r="D96" s="50">
        <v>11</v>
      </c>
      <c r="E96" s="50">
        <v>7</v>
      </c>
      <c r="F96" s="50">
        <v>2019</v>
      </c>
      <c r="G96" s="42">
        <v>5.2359999999999998</v>
      </c>
      <c r="H96" s="43">
        <v>-52.774999999999999</v>
      </c>
      <c r="I96" s="4" t="s">
        <v>39</v>
      </c>
      <c r="J96" s="29" t="s">
        <v>170</v>
      </c>
      <c r="K96" s="5" t="s">
        <v>178</v>
      </c>
      <c r="L96" s="4">
        <v>8650</v>
      </c>
      <c r="M96" s="5">
        <v>1513.75</v>
      </c>
    </row>
    <row r="97" spans="1:13">
      <c r="A97" s="17" t="s">
        <v>167</v>
      </c>
      <c r="B97" s="39" t="s">
        <v>82</v>
      </c>
      <c r="C97" s="49">
        <f>12+34/60</f>
        <v>12.566666666666666</v>
      </c>
      <c r="D97" s="50">
        <v>13</v>
      </c>
      <c r="E97" s="50">
        <v>7</v>
      </c>
      <c r="F97" s="50">
        <v>2019</v>
      </c>
      <c r="G97" s="42">
        <v>46.070999999999998</v>
      </c>
      <c r="H97" s="43">
        <v>62.984999999999999</v>
      </c>
      <c r="I97" s="4" t="s">
        <v>83</v>
      </c>
      <c r="J97" s="29" t="s">
        <v>170</v>
      </c>
      <c r="K97" s="5" t="s">
        <v>178</v>
      </c>
      <c r="L97" s="4">
        <v>30600</v>
      </c>
      <c r="M97" s="5">
        <v>5355</v>
      </c>
    </row>
    <row r="98" spans="1:13">
      <c r="A98" s="4" t="s">
        <v>167</v>
      </c>
      <c r="B98" s="41" t="s">
        <v>262</v>
      </c>
      <c r="C98" s="49">
        <f>7+35/60</f>
        <v>7.583333333333333</v>
      </c>
      <c r="D98" s="50">
        <v>20</v>
      </c>
      <c r="E98" s="50">
        <v>7</v>
      </c>
      <c r="F98" s="50">
        <v>2019</v>
      </c>
      <c r="G98" s="4">
        <v>-3.4740000000000002</v>
      </c>
      <c r="H98" s="5">
        <v>-64.989999999999995</v>
      </c>
      <c r="I98" s="4" t="s">
        <v>184</v>
      </c>
      <c r="J98" s="50" t="s">
        <v>170</v>
      </c>
      <c r="K98" s="5"/>
      <c r="L98" s="4">
        <v>2740</v>
      </c>
      <c r="M98" s="5">
        <v>479.49999999999994</v>
      </c>
    </row>
    <row r="99" spans="1:13">
      <c r="A99" s="17" t="s">
        <v>167</v>
      </c>
      <c r="B99" s="39" t="s">
        <v>84</v>
      </c>
      <c r="C99" s="49">
        <f>16+31/60</f>
        <v>16.516666666666666</v>
      </c>
      <c r="D99" s="50">
        <v>20</v>
      </c>
      <c r="E99" s="50">
        <v>7</v>
      </c>
      <c r="F99" s="50">
        <v>2019</v>
      </c>
      <c r="G99" s="42">
        <v>45.92</v>
      </c>
      <c r="H99" s="43">
        <v>63.341999999999999</v>
      </c>
      <c r="I99" s="4" t="s">
        <v>35</v>
      </c>
      <c r="J99" s="29" t="s">
        <v>170</v>
      </c>
      <c r="K99" s="5" t="s">
        <v>235</v>
      </c>
      <c r="L99" s="4">
        <v>21750</v>
      </c>
      <c r="M99" s="5">
        <v>3806.2499999999995</v>
      </c>
    </row>
    <row r="100" spans="1:13">
      <c r="A100" s="17" t="s">
        <v>167</v>
      </c>
      <c r="B100" s="39" t="s">
        <v>85</v>
      </c>
      <c r="C100" s="49">
        <f>9+16/60</f>
        <v>9.2666666666666675</v>
      </c>
      <c r="D100" s="50">
        <v>22</v>
      </c>
      <c r="E100" s="50">
        <v>7</v>
      </c>
      <c r="F100" s="50">
        <v>2019</v>
      </c>
      <c r="G100" s="42">
        <v>13.72</v>
      </c>
      <c r="H100" s="43">
        <v>80.23</v>
      </c>
      <c r="I100" s="4" t="s">
        <v>86</v>
      </c>
      <c r="J100" s="29" t="s">
        <v>170</v>
      </c>
      <c r="K100" s="5" t="s">
        <v>235</v>
      </c>
      <c r="L100" s="4">
        <v>73200</v>
      </c>
      <c r="M100" s="5">
        <v>12810</v>
      </c>
    </row>
    <row r="101" spans="1:13">
      <c r="A101" s="4" t="s">
        <v>167</v>
      </c>
      <c r="B101" s="41" t="s">
        <v>263</v>
      </c>
      <c r="C101" s="49">
        <f>10+59/60</f>
        <v>10.983333333333333</v>
      </c>
      <c r="D101" s="50">
        <v>23</v>
      </c>
      <c r="E101" s="50">
        <v>7</v>
      </c>
      <c r="F101" s="50">
        <v>2019</v>
      </c>
      <c r="G101" s="4">
        <v>34.628999999999998</v>
      </c>
      <c r="H101" s="5">
        <v>66.846000000000004</v>
      </c>
      <c r="I101" s="4" t="s">
        <v>264</v>
      </c>
      <c r="J101" s="50" t="s">
        <v>173</v>
      </c>
      <c r="K101" s="5"/>
      <c r="L101" s="4">
        <v>689</v>
      </c>
      <c r="M101" s="5">
        <v>120.57499999999999</v>
      </c>
    </row>
    <row r="102" spans="1:13">
      <c r="A102" s="4" t="s">
        <v>167</v>
      </c>
      <c r="B102" s="41" t="s">
        <v>265</v>
      </c>
      <c r="C102" s="49">
        <f>3+42/60</f>
        <v>3.7</v>
      </c>
      <c r="D102" s="50">
        <v>24</v>
      </c>
      <c r="E102" s="50">
        <v>7</v>
      </c>
      <c r="F102" s="50">
        <v>2019</v>
      </c>
      <c r="G102" s="4">
        <v>-35.429000000000002</v>
      </c>
      <c r="H102" s="5">
        <v>142.71299999999999</v>
      </c>
      <c r="I102" s="4" t="s">
        <v>218</v>
      </c>
      <c r="J102" s="50" t="s">
        <v>170</v>
      </c>
      <c r="K102" s="5"/>
      <c r="L102" s="4">
        <v>2400</v>
      </c>
      <c r="M102" s="5">
        <v>420</v>
      </c>
    </row>
    <row r="103" spans="1:13">
      <c r="A103" s="17" t="s">
        <v>167</v>
      </c>
      <c r="B103" s="39" t="s">
        <v>87</v>
      </c>
      <c r="C103" s="49">
        <f>5+3/60</f>
        <v>5.05</v>
      </c>
      <c r="D103" s="50">
        <v>25</v>
      </c>
      <c r="E103" s="50">
        <v>7</v>
      </c>
      <c r="F103" s="50">
        <v>2019</v>
      </c>
      <c r="G103" s="42">
        <v>40.967500000000001</v>
      </c>
      <c r="H103" s="43">
        <v>100.2786</v>
      </c>
      <c r="I103" s="4" t="s">
        <v>88</v>
      </c>
      <c r="J103" s="29" t="s">
        <v>170</v>
      </c>
      <c r="K103" s="5" t="s">
        <v>178</v>
      </c>
      <c r="L103" s="4">
        <v>2000</v>
      </c>
      <c r="M103" s="5">
        <v>350</v>
      </c>
    </row>
    <row r="104" spans="1:13">
      <c r="A104" s="17" t="s">
        <v>177</v>
      </c>
      <c r="B104" s="39" t="s">
        <v>89</v>
      </c>
      <c r="C104" s="49">
        <f>22+5/60</f>
        <v>22.083333333333332</v>
      </c>
      <c r="D104" s="50">
        <v>25</v>
      </c>
      <c r="E104" s="50">
        <v>7</v>
      </c>
      <c r="F104" s="50">
        <v>2019</v>
      </c>
      <c r="G104" s="4">
        <v>28.486000000000001</v>
      </c>
      <c r="H104" s="5">
        <v>-80.543999999999997</v>
      </c>
      <c r="I104" s="4" t="s">
        <v>11</v>
      </c>
      <c r="J104" s="29" t="s">
        <v>170</v>
      </c>
      <c r="K104" s="5" t="s">
        <v>178</v>
      </c>
      <c r="L104" s="4">
        <v>27200</v>
      </c>
      <c r="M104" s="5">
        <v>4760</v>
      </c>
    </row>
    <row r="105" spans="1:13">
      <c r="A105" s="17" t="s">
        <v>167</v>
      </c>
      <c r="B105" s="39" t="s">
        <v>90</v>
      </c>
      <c r="C105" s="49">
        <f>4</f>
        <v>4</v>
      </c>
      <c r="D105" s="50">
        <v>26</v>
      </c>
      <c r="E105" s="50">
        <v>7</v>
      </c>
      <c r="F105" s="50">
        <v>2019</v>
      </c>
      <c r="G105" s="42">
        <v>28.247</v>
      </c>
      <c r="H105" s="43">
        <v>102.029</v>
      </c>
      <c r="I105" s="4" t="s">
        <v>91</v>
      </c>
      <c r="J105" s="29" t="s">
        <v>170</v>
      </c>
      <c r="K105" s="5" t="s">
        <v>178</v>
      </c>
      <c r="L105" s="4">
        <v>10000</v>
      </c>
      <c r="M105" s="5">
        <v>1750</v>
      </c>
    </row>
    <row r="106" spans="1:13">
      <c r="A106" s="17" t="s">
        <v>167</v>
      </c>
      <c r="B106" s="39" t="s">
        <v>92</v>
      </c>
      <c r="C106" s="49">
        <f>5+59/60</f>
        <v>5.9833333333333334</v>
      </c>
      <c r="D106" s="50">
        <v>30</v>
      </c>
      <c r="E106" s="50">
        <v>7</v>
      </c>
      <c r="F106" s="50">
        <v>2019</v>
      </c>
      <c r="G106" s="42">
        <v>62.929000000000002</v>
      </c>
      <c r="H106" s="43">
        <v>40.457000000000001</v>
      </c>
      <c r="I106" s="4" t="s">
        <v>93</v>
      </c>
      <c r="J106" s="29" t="s">
        <v>170</v>
      </c>
      <c r="K106" s="5" t="s">
        <v>235</v>
      </c>
      <c r="L106" s="4">
        <v>21750</v>
      </c>
      <c r="M106" s="5">
        <v>3806.2499999999995</v>
      </c>
    </row>
    <row r="107" spans="1:13">
      <c r="A107" s="17" t="s">
        <v>167</v>
      </c>
      <c r="B107" s="39" t="s">
        <v>94</v>
      </c>
      <c r="C107" s="49">
        <f>12+14/60</f>
        <v>12.233333333333333</v>
      </c>
      <c r="D107" s="50">
        <v>31</v>
      </c>
      <c r="E107" s="50">
        <v>7</v>
      </c>
      <c r="F107" s="50">
        <v>2019</v>
      </c>
      <c r="G107" s="42">
        <v>45.996000000000002</v>
      </c>
      <c r="H107" s="43">
        <v>63.564</v>
      </c>
      <c r="I107" s="4" t="s">
        <v>48</v>
      </c>
      <c r="J107" s="29" t="s">
        <v>170</v>
      </c>
      <c r="K107" s="5" t="s">
        <v>235</v>
      </c>
      <c r="L107" s="4">
        <v>21750</v>
      </c>
      <c r="M107" s="5">
        <v>3806.2499999999995</v>
      </c>
    </row>
    <row r="108" spans="1:13">
      <c r="A108" s="4" t="s">
        <v>167</v>
      </c>
      <c r="B108" s="41" t="s">
        <v>266</v>
      </c>
      <c r="C108" s="49">
        <f>54/60</f>
        <v>0.9</v>
      </c>
      <c r="D108" s="50">
        <v>3</v>
      </c>
      <c r="E108" s="50">
        <v>8</v>
      </c>
      <c r="F108" s="50">
        <v>2019</v>
      </c>
      <c r="G108" s="4">
        <v>-49.128</v>
      </c>
      <c r="H108" s="5">
        <v>34.08</v>
      </c>
      <c r="I108" s="4" t="s">
        <v>267</v>
      </c>
      <c r="J108" s="50" t="s">
        <v>205</v>
      </c>
      <c r="K108" s="5"/>
      <c r="L108" s="4">
        <v>4200</v>
      </c>
      <c r="M108" s="5">
        <v>735</v>
      </c>
    </row>
    <row r="109" spans="1:13">
      <c r="A109" s="4" t="s">
        <v>167</v>
      </c>
      <c r="B109" s="41" t="s">
        <v>268</v>
      </c>
      <c r="C109" s="49">
        <f>1+4/60</f>
        <v>1.0666666666666667</v>
      </c>
      <c r="D109" s="50">
        <v>4</v>
      </c>
      <c r="E109" s="50">
        <v>8</v>
      </c>
      <c r="F109" s="50">
        <v>2019</v>
      </c>
      <c r="G109" s="4">
        <v>-7.5010000000000003</v>
      </c>
      <c r="H109" s="5">
        <v>145.51900000000001</v>
      </c>
      <c r="I109" s="4" t="s">
        <v>218</v>
      </c>
      <c r="J109" s="50" t="s">
        <v>170</v>
      </c>
      <c r="K109" s="5"/>
      <c r="L109" s="4">
        <v>2400</v>
      </c>
      <c r="M109" s="5">
        <v>420</v>
      </c>
    </row>
    <row r="110" spans="1:13">
      <c r="A110" s="17" t="s">
        <v>167</v>
      </c>
      <c r="B110" s="39" t="s">
        <v>96</v>
      </c>
      <c r="C110" s="49">
        <f>19+33/60</f>
        <v>19.55</v>
      </c>
      <c r="D110" s="50">
        <v>6</v>
      </c>
      <c r="E110" s="50">
        <v>8</v>
      </c>
      <c r="F110" s="50">
        <v>2019</v>
      </c>
      <c r="G110" s="42">
        <v>5.2389999999999999</v>
      </c>
      <c r="H110" s="43">
        <v>-52.768999999999998</v>
      </c>
      <c r="I110" s="4" t="s">
        <v>97</v>
      </c>
      <c r="J110" s="29" t="s">
        <v>170</v>
      </c>
      <c r="K110" s="5" t="s">
        <v>235</v>
      </c>
      <c r="L110" s="4">
        <v>90000</v>
      </c>
      <c r="M110" s="5">
        <v>15749.999999999998</v>
      </c>
    </row>
    <row r="111" spans="1:13">
      <c r="A111" s="17" t="s">
        <v>167</v>
      </c>
      <c r="B111" s="39" t="s">
        <v>95</v>
      </c>
      <c r="C111" s="49">
        <f>21+59/60</f>
        <v>21.983333333333334</v>
      </c>
      <c r="D111" s="50">
        <v>6</v>
      </c>
      <c r="E111" s="50">
        <v>8</v>
      </c>
      <c r="F111" s="50">
        <v>2019</v>
      </c>
      <c r="G111" s="42">
        <v>46.070999999999998</v>
      </c>
      <c r="H111" s="43">
        <v>62.984999999999999</v>
      </c>
      <c r="I111" s="4" t="s">
        <v>69</v>
      </c>
      <c r="J111" s="29" t="s">
        <v>170</v>
      </c>
      <c r="K111" s="5" t="s">
        <v>178</v>
      </c>
      <c r="L111" s="4">
        <v>30600</v>
      </c>
      <c r="M111" s="5">
        <v>5355</v>
      </c>
    </row>
    <row r="112" spans="1:13">
      <c r="A112" s="17" t="s">
        <v>177</v>
      </c>
      <c r="B112" s="39" t="s">
        <v>98</v>
      </c>
      <c r="C112" s="49">
        <f>23+26/30</f>
        <v>23.866666666666667</v>
      </c>
      <c r="D112" s="50">
        <v>6</v>
      </c>
      <c r="E112" s="50">
        <v>8</v>
      </c>
      <c r="F112" s="50">
        <v>2019</v>
      </c>
      <c r="G112" s="4">
        <v>28.41</v>
      </c>
      <c r="H112" s="5">
        <v>-80.61</v>
      </c>
      <c r="I112" s="4" t="s">
        <v>11</v>
      </c>
      <c r="J112" s="29" t="s">
        <v>170</v>
      </c>
      <c r="K112" s="5" t="s">
        <v>178</v>
      </c>
      <c r="L112" s="4">
        <v>27200</v>
      </c>
      <c r="M112" s="5">
        <v>4760</v>
      </c>
    </row>
    <row r="113" spans="1:13">
      <c r="A113" s="4" t="s">
        <v>167</v>
      </c>
      <c r="B113" s="41" t="s">
        <v>269</v>
      </c>
      <c r="C113" s="49">
        <f>11+2/60</f>
        <v>11.033333333333333</v>
      </c>
      <c r="D113" s="50">
        <v>7</v>
      </c>
      <c r="E113" s="50">
        <v>8</v>
      </c>
      <c r="F113" s="50">
        <v>2019</v>
      </c>
      <c r="G113" s="4">
        <v>18.125</v>
      </c>
      <c r="H113" s="5">
        <v>-21.146999999999998</v>
      </c>
      <c r="I113" s="4" t="s">
        <v>270</v>
      </c>
      <c r="J113" s="50" t="s">
        <v>205</v>
      </c>
      <c r="K113" s="5"/>
      <c r="L113" s="4">
        <v>1000</v>
      </c>
      <c r="M113" s="5">
        <v>175</v>
      </c>
    </row>
    <row r="114" spans="1:13">
      <c r="A114" s="4" t="s">
        <v>167</v>
      </c>
      <c r="B114" s="41" t="s">
        <v>271</v>
      </c>
      <c r="C114" s="49">
        <f>25/60</f>
        <v>0.41666666666666669</v>
      </c>
      <c r="D114" s="50">
        <v>8</v>
      </c>
      <c r="E114" s="50">
        <v>8</v>
      </c>
      <c r="F114" s="50">
        <v>2019</v>
      </c>
      <c r="G114" s="4">
        <v>-57.036999999999999</v>
      </c>
      <c r="H114" s="5">
        <v>54.084000000000003</v>
      </c>
      <c r="I114" s="4" t="s">
        <v>272</v>
      </c>
      <c r="J114" s="50" t="s">
        <v>173</v>
      </c>
      <c r="K114" s="5"/>
      <c r="L114" s="4">
        <v>1750</v>
      </c>
      <c r="M114" s="5">
        <v>306.25</v>
      </c>
    </row>
    <row r="115" spans="1:13">
      <c r="A115" s="17" t="s">
        <v>167</v>
      </c>
      <c r="B115" s="39" t="s">
        <v>99</v>
      </c>
      <c r="C115" s="49">
        <f>10+16/60</f>
        <v>10.266666666666667</v>
      </c>
      <c r="D115" s="50">
        <v>8</v>
      </c>
      <c r="E115" s="50">
        <v>8</v>
      </c>
      <c r="F115" s="50">
        <v>2019</v>
      </c>
      <c r="G115" s="42">
        <v>28.582999999999998</v>
      </c>
      <c r="H115" s="43">
        <v>-80.582999999999998</v>
      </c>
      <c r="I115" s="4" t="s">
        <v>100</v>
      </c>
      <c r="J115" s="29" t="s">
        <v>170</v>
      </c>
      <c r="K115" s="5" t="s">
        <v>235</v>
      </c>
      <c r="L115" s="4">
        <v>38890</v>
      </c>
      <c r="M115" s="5">
        <v>6805.75</v>
      </c>
    </row>
    <row r="116" spans="1:13">
      <c r="A116" s="17" t="s">
        <v>167</v>
      </c>
      <c r="B116" s="39" t="s">
        <v>101</v>
      </c>
      <c r="C116" s="49">
        <f>4+17/60</f>
        <v>4.2833333333333332</v>
      </c>
      <c r="D116" s="50">
        <v>17</v>
      </c>
      <c r="E116" s="50">
        <v>8</v>
      </c>
      <c r="F116" s="50">
        <v>2019</v>
      </c>
      <c r="G116" s="54">
        <v>40.960999999999999</v>
      </c>
      <c r="H116" s="55">
        <v>100.298</v>
      </c>
      <c r="I116" s="4" t="s">
        <v>102</v>
      </c>
      <c r="J116" s="29" t="s">
        <v>170</v>
      </c>
      <c r="K116" s="5" t="s">
        <v>178</v>
      </c>
      <c r="L116" s="4">
        <v>1000</v>
      </c>
      <c r="M116" s="5">
        <v>175</v>
      </c>
    </row>
    <row r="117" spans="1:13">
      <c r="A117" s="17" t="s">
        <v>167</v>
      </c>
      <c r="B117" s="39" t="s">
        <v>103</v>
      </c>
      <c r="C117" s="49">
        <f>12+6/60</f>
        <v>12.1</v>
      </c>
      <c r="D117" s="50">
        <v>19</v>
      </c>
      <c r="E117" s="50">
        <v>8</v>
      </c>
      <c r="F117" s="50">
        <v>2019</v>
      </c>
      <c r="G117" s="42">
        <v>28.245999999999999</v>
      </c>
      <c r="H117" s="43">
        <v>102.027</v>
      </c>
      <c r="I117" s="4" t="s">
        <v>104</v>
      </c>
      <c r="J117" s="29" t="s">
        <v>170</v>
      </c>
      <c r="K117" s="5" t="s">
        <v>235</v>
      </c>
      <c r="L117" s="4">
        <v>25400</v>
      </c>
      <c r="M117" s="5">
        <v>4445</v>
      </c>
    </row>
    <row r="118" spans="1:13">
      <c r="A118" s="17" t="s">
        <v>167</v>
      </c>
      <c r="B118" s="39" t="s">
        <v>105</v>
      </c>
      <c r="C118" s="49">
        <f>12+15/60</f>
        <v>12.25</v>
      </c>
      <c r="D118" s="50">
        <v>19</v>
      </c>
      <c r="E118" s="50">
        <v>8</v>
      </c>
      <c r="F118" s="50">
        <v>2019</v>
      </c>
      <c r="G118" s="42">
        <v>-39.251199999999997</v>
      </c>
      <c r="H118" s="43">
        <v>177.8673</v>
      </c>
      <c r="I118" s="4" t="s">
        <v>43</v>
      </c>
      <c r="J118" s="29" t="s">
        <v>170</v>
      </c>
      <c r="K118" s="5" t="s">
        <v>178</v>
      </c>
      <c r="L118" s="4">
        <v>950</v>
      </c>
      <c r="M118" s="5">
        <v>166.25</v>
      </c>
    </row>
    <row r="119" spans="1:13">
      <c r="A119" s="17" t="s">
        <v>167</v>
      </c>
      <c r="B119" s="39" t="s">
        <v>106</v>
      </c>
      <c r="C119" s="49">
        <f>3+41/60</f>
        <v>3.6833333333333336</v>
      </c>
      <c r="D119" s="50">
        <v>22</v>
      </c>
      <c r="E119" s="50">
        <v>8</v>
      </c>
      <c r="F119" s="50">
        <v>2019</v>
      </c>
      <c r="G119" s="42">
        <v>45.996000000000002</v>
      </c>
      <c r="H119" s="43">
        <v>63.564</v>
      </c>
      <c r="I119" s="4" t="s">
        <v>48</v>
      </c>
      <c r="J119" s="29" t="s">
        <v>170</v>
      </c>
      <c r="K119" s="5" t="s">
        <v>235</v>
      </c>
      <c r="L119" s="4">
        <v>21750</v>
      </c>
      <c r="M119" s="5">
        <v>3806.2499999999995</v>
      </c>
    </row>
    <row r="120" spans="1:13">
      <c r="A120" s="17" t="s">
        <v>167</v>
      </c>
      <c r="B120" s="39" t="s">
        <v>107</v>
      </c>
      <c r="C120" s="49">
        <f>13+9/60</f>
        <v>13.15</v>
      </c>
      <c r="D120" s="50">
        <v>22</v>
      </c>
      <c r="E120" s="50">
        <v>8</v>
      </c>
      <c r="F120" s="50">
        <v>2019</v>
      </c>
      <c r="G120" s="42">
        <v>28.530999999999999</v>
      </c>
      <c r="H120" s="43">
        <v>-80.564999999999998</v>
      </c>
      <c r="I120" s="4" t="s">
        <v>108</v>
      </c>
      <c r="J120" s="29" t="s">
        <v>170</v>
      </c>
      <c r="K120" s="5" t="s">
        <v>235</v>
      </c>
      <c r="L120" s="4">
        <v>35580</v>
      </c>
      <c r="M120" s="5">
        <v>6226.5</v>
      </c>
    </row>
    <row r="121" spans="1:13">
      <c r="A121" s="4" t="s">
        <v>167</v>
      </c>
      <c r="B121" s="41" t="s">
        <v>273</v>
      </c>
      <c r="C121" s="49">
        <f>6+40/60</f>
        <v>6.666666666666667</v>
      </c>
      <c r="D121" s="50">
        <v>26</v>
      </c>
      <c r="E121" s="50">
        <v>8</v>
      </c>
      <c r="F121" s="50">
        <v>2019</v>
      </c>
      <c r="G121" s="4">
        <v>-19.922999999999998</v>
      </c>
      <c r="H121" s="5">
        <v>134.828</v>
      </c>
      <c r="I121" s="4" t="s">
        <v>218</v>
      </c>
      <c r="J121" s="50" t="s">
        <v>170</v>
      </c>
      <c r="K121" s="5"/>
      <c r="L121" s="4">
        <v>2400</v>
      </c>
      <c r="M121" s="5">
        <v>420</v>
      </c>
    </row>
    <row r="122" spans="1:13">
      <c r="A122" s="4" t="s">
        <v>167</v>
      </c>
      <c r="B122" s="41" t="s">
        <v>274</v>
      </c>
      <c r="C122" s="49">
        <f>18+58/60</f>
        <v>18.966666666666665</v>
      </c>
      <c r="D122" s="50">
        <v>29</v>
      </c>
      <c r="E122" s="50">
        <v>8</v>
      </c>
      <c r="F122" s="50">
        <v>2019</v>
      </c>
      <c r="G122" s="4">
        <v>-59.408999999999999</v>
      </c>
      <c r="H122" s="5">
        <v>59.231000000000002</v>
      </c>
      <c r="I122" s="4" t="s">
        <v>220</v>
      </c>
      <c r="J122" s="50" t="s">
        <v>170</v>
      </c>
      <c r="K122" s="5"/>
      <c r="L122" s="4">
        <v>1050</v>
      </c>
      <c r="M122" s="5">
        <v>183.75</v>
      </c>
    </row>
    <row r="123" spans="1:13">
      <c r="A123" s="17" t="s">
        <v>167</v>
      </c>
      <c r="B123" s="39" t="s">
        <v>109</v>
      </c>
      <c r="C123" s="49">
        <f>14+3/60</f>
        <v>14.05</v>
      </c>
      <c r="D123" s="50">
        <v>30</v>
      </c>
      <c r="E123" s="50">
        <v>8</v>
      </c>
      <c r="F123" s="50">
        <v>2019</v>
      </c>
      <c r="G123" s="42">
        <v>62.887</v>
      </c>
      <c r="H123" s="43">
        <v>40.847000000000001</v>
      </c>
      <c r="I123" s="4" t="s">
        <v>110</v>
      </c>
      <c r="J123" s="29" t="s">
        <v>170</v>
      </c>
      <c r="K123" s="5" t="s">
        <v>178</v>
      </c>
      <c r="L123" s="4">
        <v>5700</v>
      </c>
      <c r="M123" s="5">
        <v>997.49999999999989</v>
      </c>
    </row>
    <row r="124" spans="1:13">
      <c r="A124" s="17" t="s">
        <v>167</v>
      </c>
      <c r="B124" s="39" t="s">
        <v>111</v>
      </c>
      <c r="C124" s="49">
        <f>23+44/60</f>
        <v>23.733333333333334</v>
      </c>
      <c r="D124" s="50">
        <v>30</v>
      </c>
      <c r="E124" s="50">
        <v>8</v>
      </c>
      <c r="F124" s="50">
        <v>2019</v>
      </c>
      <c r="G124" s="42">
        <v>40.972000000000001</v>
      </c>
      <c r="H124" s="43">
        <v>100.364</v>
      </c>
      <c r="I124" s="4" t="s">
        <v>112</v>
      </c>
      <c r="J124" s="29" t="s">
        <v>170</v>
      </c>
      <c r="K124" s="5" t="s">
        <v>178</v>
      </c>
      <c r="L124" s="4">
        <v>3000</v>
      </c>
      <c r="M124" s="5">
        <v>525</v>
      </c>
    </row>
    <row r="125" spans="1:13">
      <c r="A125" s="4" t="s">
        <v>167</v>
      </c>
      <c r="B125" s="41" t="s">
        <v>275</v>
      </c>
      <c r="C125" s="49">
        <f>23+59/60</f>
        <v>23.983333333333334</v>
      </c>
      <c r="D125" s="50">
        <v>30</v>
      </c>
      <c r="E125" s="50">
        <v>8</v>
      </c>
      <c r="F125" s="50">
        <v>2019</v>
      </c>
      <c r="G125" s="4">
        <v>-16.09</v>
      </c>
      <c r="H125" s="5">
        <v>116.854</v>
      </c>
      <c r="I125" s="4" t="s">
        <v>276</v>
      </c>
      <c r="J125" s="50" t="s">
        <v>170</v>
      </c>
      <c r="K125" s="5"/>
      <c r="L125" s="4">
        <v>155</v>
      </c>
      <c r="M125" s="5">
        <v>27.125</v>
      </c>
    </row>
    <row r="126" spans="1:13">
      <c r="A126" s="17" t="s">
        <v>167</v>
      </c>
      <c r="B126" s="39" t="s">
        <v>113</v>
      </c>
      <c r="C126" s="49">
        <f>3+29/60</f>
        <v>3.4833333333333334</v>
      </c>
      <c r="D126" s="50">
        <v>12</v>
      </c>
      <c r="E126" s="50">
        <v>9</v>
      </c>
      <c r="F126" s="50">
        <v>2019</v>
      </c>
      <c r="G126" s="42">
        <v>38.863</v>
      </c>
      <c r="H126" s="43">
        <v>111.589</v>
      </c>
      <c r="I126" s="4" t="s">
        <v>57</v>
      </c>
      <c r="J126" s="29" t="s">
        <v>170</v>
      </c>
      <c r="K126" s="5" t="s">
        <v>178</v>
      </c>
      <c r="L126" s="4">
        <v>9500</v>
      </c>
      <c r="M126" s="5">
        <v>1662.5</v>
      </c>
    </row>
    <row r="127" spans="1:13">
      <c r="A127" s="17" t="s">
        <v>167</v>
      </c>
      <c r="B127" s="39" t="s">
        <v>114</v>
      </c>
      <c r="C127" s="49">
        <f>6+45/60</f>
        <v>6.75</v>
      </c>
      <c r="D127" s="50">
        <v>19</v>
      </c>
      <c r="E127" s="50">
        <v>9</v>
      </c>
      <c r="F127" s="50">
        <v>2019</v>
      </c>
      <c r="G127" s="54">
        <v>40.960999999999999</v>
      </c>
      <c r="H127" s="55">
        <v>100.298</v>
      </c>
      <c r="I127" s="4" t="s">
        <v>19</v>
      </c>
      <c r="J127" s="29" t="s">
        <v>170</v>
      </c>
      <c r="K127" s="5" t="s">
        <v>178</v>
      </c>
      <c r="L127" s="4">
        <v>4770</v>
      </c>
      <c r="M127" s="5">
        <v>834.75</v>
      </c>
    </row>
    <row r="128" spans="1:13">
      <c r="A128" s="17" t="s">
        <v>167</v>
      </c>
      <c r="B128" s="39" t="s">
        <v>115</v>
      </c>
      <c r="C128" s="49">
        <f>21+13/60</f>
        <v>21.216666666666665</v>
      </c>
      <c r="D128" s="50">
        <v>22</v>
      </c>
      <c r="E128" s="50">
        <v>9</v>
      </c>
      <c r="F128" s="50">
        <v>2019</v>
      </c>
      <c r="G128" s="42">
        <v>28.245999999999999</v>
      </c>
      <c r="H128" s="43">
        <v>102.027</v>
      </c>
      <c r="I128" s="4" t="s">
        <v>116</v>
      </c>
      <c r="J128" s="29" t="s">
        <v>170</v>
      </c>
      <c r="K128" s="5" t="s">
        <v>235</v>
      </c>
      <c r="L128" s="4">
        <v>25400</v>
      </c>
      <c r="M128" s="5">
        <v>4445</v>
      </c>
    </row>
    <row r="129" spans="1:13">
      <c r="A129" s="17" t="s">
        <v>167</v>
      </c>
      <c r="B129" s="39" t="s">
        <v>117</v>
      </c>
      <c r="C129" s="49">
        <f>16+8/60</f>
        <v>16.133333333333333</v>
      </c>
      <c r="D129" s="50">
        <v>24</v>
      </c>
      <c r="E129" s="50">
        <v>9</v>
      </c>
      <c r="F129" s="50">
        <v>2019</v>
      </c>
      <c r="G129" s="42">
        <v>30.401</v>
      </c>
      <c r="H129" s="43">
        <v>130.97499999999999</v>
      </c>
      <c r="I129" s="4" t="s">
        <v>118</v>
      </c>
      <c r="J129" s="29" t="s">
        <v>170</v>
      </c>
      <c r="K129" s="5" t="s">
        <v>235</v>
      </c>
      <c r="L129" s="4">
        <v>68200</v>
      </c>
      <c r="M129" s="5">
        <v>11935</v>
      </c>
    </row>
    <row r="130" spans="1:13">
      <c r="A130" s="17" t="s">
        <v>167</v>
      </c>
      <c r="B130" s="39" t="s">
        <v>119</v>
      </c>
      <c r="C130" s="49">
        <f>57/60</f>
        <v>0.95</v>
      </c>
      <c r="D130" s="50">
        <v>25</v>
      </c>
      <c r="E130" s="50">
        <v>9</v>
      </c>
      <c r="F130" s="50">
        <v>2019</v>
      </c>
      <c r="G130" s="54">
        <v>40.960999999999999</v>
      </c>
      <c r="H130" s="55">
        <v>100.298</v>
      </c>
      <c r="I130" s="4" t="s">
        <v>120</v>
      </c>
      <c r="J130" s="29" t="s">
        <v>170</v>
      </c>
      <c r="K130" s="5" t="s">
        <v>178</v>
      </c>
      <c r="L130" s="4">
        <v>9500</v>
      </c>
      <c r="M130" s="5">
        <v>1662.5</v>
      </c>
    </row>
    <row r="131" spans="1:13">
      <c r="A131" s="17" t="s">
        <v>167</v>
      </c>
      <c r="B131" s="39" t="s">
        <v>121</v>
      </c>
      <c r="C131" s="49">
        <f>14+1/60</f>
        <v>14.016666666666667</v>
      </c>
      <c r="D131" s="50">
        <v>25</v>
      </c>
      <c r="E131" s="50">
        <v>9</v>
      </c>
      <c r="F131" s="50">
        <v>2019</v>
      </c>
      <c r="G131" s="42">
        <v>45.92</v>
      </c>
      <c r="H131" s="43">
        <v>63.341999999999999</v>
      </c>
      <c r="I131" s="4" t="s">
        <v>35</v>
      </c>
      <c r="J131" s="29" t="s">
        <v>170</v>
      </c>
      <c r="K131" s="5" t="s">
        <v>235</v>
      </c>
      <c r="L131" s="4">
        <v>21750</v>
      </c>
      <c r="M131" s="5">
        <v>3806.2499999999995</v>
      </c>
    </row>
    <row r="132" spans="1:13">
      <c r="A132" s="17" t="s">
        <v>167</v>
      </c>
      <c r="B132" s="39" t="s">
        <v>122</v>
      </c>
      <c r="C132" s="49">
        <f>7+49/60</f>
        <v>7.8166666666666664</v>
      </c>
      <c r="D132" s="50">
        <v>26</v>
      </c>
      <c r="E132" s="50">
        <v>9</v>
      </c>
      <c r="F132" s="50">
        <v>2019</v>
      </c>
      <c r="G132" s="42">
        <v>62.929000000000002</v>
      </c>
      <c r="H132" s="43">
        <v>40.457000000000001</v>
      </c>
      <c r="I132" s="4" t="s">
        <v>27</v>
      </c>
      <c r="J132" s="29" t="s">
        <v>170</v>
      </c>
      <c r="K132" s="5" t="s">
        <v>235</v>
      </c>
      <c r="L132" s="4">
        <v>21750</v>
      </c>
      <c r="M132" s="5">
        <v>3806.2499999999995</v>
      </c>
    </row>
    <row r="133" spans="1:13">
      <c r="A133" s="4" t="s">
        <v>167</v>
      </c>
      <c r="B133" s="41" t="s">
        <v>277</v>
      </c>
      <c r="C133" s="49">
        <f>15+25/60</f>
        <v>15.416666666666666</v>
      </c>
      <c r="D133" s="50">
        <v>28</v>
      </c>
      <c r="E133" s="50">
        <v>9</v>
      </c>
      <c r="F133" s="50">
        <v>2019</v>
      </c>
      <c r="G133" s="4">
        <v>43.914999999999999</v>
      </c>
      <c r="H133" s="5">
        <v>16.356999999999999</v>
      </c>
      <c r="I133" s="4" t="s">
        <v>218</v>
      </c>
      <c r="J133" s="50" t="s">
        <v>170</v>
      </c>
      <c r="K133" s="5"/>
      <c r="L133" s="4">
        <v>2400</v>
      </c>
      <c r="M133" s="5">
        <v>420</v>
      </c>
    </row>
    <row r="134" spans="1:13">
      <c r="A134" s="4" t="s">
        <v>177</v>
      </c>
      <c r="B134" s="41" t="s">
        <v>308</v>
      </c>
      <c r="C134" s="49">
        <f>10+59/60</f>
        <v>10.983333333333333</v>
      </c>
      <c r="D134" s="50">
        <v>3</v>
      </c>
      <c r="E134" s="50">
        <v>10</v>
      </c>
      <c r="F134" s="50">
        <v>2019</v>
      </c>
      <c r="G134" s="44">
        <v>47.401200000000003</v>
      </c>
      <c r="H134" s="45">
        <v>69.570499999999996</v>
      </c>
      <c r="I134" s="4" t="s">
        <v>75</v>
      </c>
      <c r="J134" s="50" t="s">
        <v>173</v>
      </c>
      <c r="K134" s="5"/>
      <c r="L134" s="4">
        <v>7080</v>
      </c>
      <c r="M134" s="5">
        <v>1239</v>
      </c>
    </row>
    <row r="135" spans="1:13">
      <c r="A135" s="17" t="s">
        <v>167</v>
      </c>
      <c r="B135" s="39" t="s">
        <v>123</v>
      </c>
      <c r="C135" s="49">
        <f>18+54/60</f>
        <v>18.899999999999999</v>
      </c>
      <c r="D135" s="50">
        <v>4</v>
      </c>
      <c r="E135" s="50">
        <v>10</v>
      </c>
      <c r="F135" s="50">
        <v>2019</v>
      </c>
      <c r="G135" s="42">
        <v>38.863</v>
      </c>
      <c r="H135" s="43">
        <v>111.589</v>
      </c>
      <c r="I135" s="4" t="s">
        <v>65</v>
      </c>
      <c r="J135" s="29" t="s">
        <v>170</v>
      </c>
      <c r="K135" s="5" t="s">
        <v>178</v>
      </c>
      <c r="L135" s="4">
        <v>9500</v>
      </c>
      <c r="M135" s="5">
        <v>1662.5</v>
      </c>
    </row>
    <row r="136" spans="1:13">
      <c r="A136" s="4" t="s">
        <v>167</v>
      </c>
      <c r="B136" s="41" t="s">
        <v>278</v>
      </c>
      <c r="C136" s="49">
        <f>21</f>
        <v>21</v>
      </c>
      <c r="D136" s="50">
        <v>4</v>
      </c>
      <c r="E136" s="50">
        <v>10</v>
      </c>
      <c r="F136" s="50">
        <v>2019</v>
      </c>
      <c r="G136" s="4">
        <v>-45.481999999999999</v>
      </c>
      <c r="H136" s="5">
        <v>-135.601</v>
      </c>
      <c r="I136" s="4" t="s">
        <v>279</v>
      </c>
      <c r="J136" s="50" t="s">
        <v>170</v>
      </c>
      <c r="K136" s="5"/>
      <c r="L136" s="4">
        <v>2740</v>
      </c>
      <c r="M136" s="5">
        <v>479.49999999999994</v>
      </c>
    </row>
    <row r="137" spans="1:13">
      <c r="A137" s="17" t="s">
        <v>167</v>
      </c>
      <c r="B137" s="39" t="s">
        <v>124</v>
      </c>
      <c r="C137" s="49">
        <f>10+20/60</f>
        <v>10.333333333333334</v>
      </c>
      <c r="D137" s="50">
        <v>9</v>
      </c>
      <c r="E137" s="50">
        <v>10</v>
      </c>
      <c r="F137" s="50">
        <v>2019</v>
      </c>
      <c r="G137" s="42">
        <v>46.04</v>
      </c>
      <c r="H137" s="43">
        <v>63.031999999999996</v>
      </c>
      <c r="I137" s="4" t="s">
        <v>125</v>
      </c>
      <c r="J137" s="29" t="s">
        <v>170</v>
      </c>
      <c r="K137" s="5" t="s">
        <v>178</v>
      </c>
      <c r="L137" s="4">
        <v>30600</v>
      </c>
      <c r="M137" s="5">
        <v>5355</v>
      </c>
    </row>
    <row r="138" spans="1:13">
      <c r="A138" s="17" t="s">
        <v>167</v>
      </c>
      <c r="B138" s="39" t="s">
        <v>126</v>
      </c>
      <c r="C138" s="49">
        <f>2+3/60</f>
        <v>2.0499999999999998</v>
      </c>
      <c r="D138" s="50">
        <v>11</v>
      </c>
      <c r="E138" s="50">
        <v>10</v>
      </c>
      <c r="F138" s="50">
        <v>2019</v>
      </c>
      <c r="G138" s="54">
        <v>28.405999999999999</v>
      </c>
      <c r="H138" s="55">
        <v>-80.605000000000004</v>
      </c>
      <c r="I138" s="4" t="s">
        <v>127</v>
      </c>
      <c r="J138" s="29" t="s">
        <v>170</v>
      </c>
      <c r="K138" s="5" t="s">
        <v>178</v>
      </c>
      <c r="L138" s="4">
        <v>1370</v>
      </c>
      <c r="M138" s="5">
        <v>239.74999999999997</v>
      </c>
    </row>
    <row r="139" spans="1:13">
      <c r="A139" s="4" t="s">
        <v>167</v>
      </c>
      <c r="B139" s="41" t="s">
        <v>280</v>
      </c>
      <c r="C139" s="49">
        <f>15+27/60</f>
        <v>15.45</v>
      </c>
      <c r="D139" s="50">
        <v>15</v>
      </c>
      <c r="E139" s="50">
        <v>10</v>
      </c>
      <c r="F139" s="50">
        <v>2019</v>
      </c>
      <c r="G139" s="4">
        <v>-8.2639999999999993</v>
      </c>
      <c r="H139" s="5">
        <v>-171.10900000000001</v>
      </c>
      <c r="I139" s="4" t="s">
        <v>220</v>
      </c>
      <c r="J139" s="50" t="s">
        <v>170</v>
      </c>
      <c r="K139" s="5"/>
      <c r="L139" s="4">
        <v>1050</v>
      </c>
      <c r="M139" s="5">
        <v>183.75</v>
      </c>
    </row>
    <row r="140" spans="1:13">
      <c r="A140" s="4" t="s">
        <v>167</v>
      </c>
      <c r="B140" s="41" t="s">
        <v>281</v>
      </c>
      <c r="C140" s="49">
        <f>11+57/60</f>
        <v>11.95</v>
      </c>
      <c r="D140" s="50">
        <v>16</v>
      </c>
      <c r="E140" s="50">
        <v>10</v>
      </c>
      <c r="F140" s="50">
        <v>2019</v>
      </c>
      <c r="G140" s="4">
        <v>-17.506</v>
      </c>
      <c r="H140" s="5">
        <v>64.085999999999999</v>
      </c>
      <c r="I140" s="4" t="s">
        <v>182</v>
      </c>
      <c r="J140" s="50" t="s">
        <v>170</v>
      </c>
      <c r="K140" s="5"/>
      <c r="L140" s="4">
        <v>920</v>
      </c>
      <c r="M140" s="5">
        <v>161</v>
      </c>
    </row>
    <row r="141" spans="1:13">
      <c r="A141" s="17" t="s">
        <v>167</v>
      </c>
      <c r="B141" s="39" t="s">
        <v>128</v>
      </c>
      <c r="C141" s="49">
        <f>1+25/60</f>
        <v>1.4166666666666667</v>
      </c>
      <c r="D141" s="50">
        <v>17</v>
      </c>
      <c r="E141" s="50">
        <v>10</v>
      </c>
      <c r="F141" s="50">
        <v>2019</v>
      </c>
      <c r="G141" s="42">
        <v>-39.251199999999997</v>
      </c>
      <c r="H141" s="43">
        <v>177.8673</v>
      </c>
      <c r="I141" s="4" t="s">
        <v>43</v>
      </c>
      <c r="J141" s="29" t="s">
        <v>170</v>
      </c>
      <c r="K141" s="5" t="s">
        <v>178</v>
      </c>
      <c r="L141" s="4">
        <v>950</v>
      </c>
      <c r="M141" s="5">
        <v>166.25</v>
      </c>
    </row>
    <row r="142" spans="1:13">
      <c r="A142" s="17" t="s">
        <v>167</v>
      </c>
      <c r="B142" s="39" t="s">
        <v>129</v>
      </c>
      <c r="C142" s="49">
        <f>15+24/60</f>
        <v>15.4</v>
      </c>
      <c r="D142" s="50">
        <v>17</v>
      </c>
      <c r="E142" s="50">
        <v>10</v>
      </c>
      <c r="F142" s="50">
        <v>2019</v>
      </c>
      <c r="G142" s="42">
        <v>28.247</v>
      </c>
      <c r="H142" s="43">
        <v>102.029</v>
      </c>
      <c r="I142" s="4" t="s">
        <v>9</v>
      </c>
      <c r="J142" s="29" t="s">
        <v>170</v>
      </c>
      <c r="K142" s="5" t="s">
        <v>235</v>
      </c>
      <c r="L142" s="4">
        <v>25400</v>
      </c>
      <c r="M142" s="5">
        <v>4445</v>
      </c>
    </row>
    <row r="143" spans="1:13">
      <c r="A143" s="4" t="s">
        <v>167</v>
      </c>
      <c r="B143" s="41" t="s">
        <v>282</v>
      </c>
      <c r="C143" s="49">
        <f>6+45/60</f>
        <v>6.75</v>
      </c>
      <c r="D143" s="50">
        <v>22</v>
      </c>
      <c r="E143" s="50">
        <v>10</v>
      </c>
      <c r="F143" s="50">
        <v>2019</v>
      </c>
      <c r="G143" s="4">
        <v>-29.102</v>
      </c>
      <c r="H143" s="5">
        <v>-90.25</v>
      </c>
      <c r="I143" s="4" t="s">
        <v>184</v>
      </c>
      <c r="J143" s="50" t="s">
        <v>170</v>
      </c>
      <c r="K143" s="5"/>
      <c r="L143" s="4">
        <v>2740</v>
      </c>
      <c r="M143" s="5">
        <v>479.49999999999994</v>
      </c>
    </row>
    <row r="144" spans="1:13">
      <c r="A144" s="4" t="s">
        <v>167</v>
      </c>
      <c r="B144" s="41" t="s">
        <v>283</v>
      </c>
      <c r="C144" s="49">
        <f>18/60</f>
        <v>0.3</v>
      </c>
      <c r="D144" s="50">
        <v>28</v>
      </c>
      <c r="E144" s="50">
        <v>10</v>
      </c>
      <c r="F144" s="50">
        <v>2019</v>
      </c>
      <c r="G144" s="4">
        <v>-17.170000000000002</v>
      </c>
      <c r="H144" s="5">
        <v>-36.811999999999998</v>
      </c>
      <c r="I144" s="4" t="s">
        <v>184</v>
      </c>
      <c r="J144" s="50" t="s">
        <v>170</v>
      </c>
      <c r="K144" s="5"/>
      <c r="L144" s="4">
        <v>2740</v>
      </c>
      <c r="M144" s="5">
        <v>479.49999999999994</v>
      </c>
    </row>
    <row r="145" spans="1:13">
      <c r="A145" s="17" t="s">
        <v>167</v>
      </c>
      <c r="B145" s="39" t="s">
        <v>130</v>
      </c>
      <c r="C145" s="49">
        <f>14+3/60</f>
        <v>14.05</v>
      </c>
      <c r="D145" s="50">
        <v>2</v>
      </c>
      <c r="E145" s="50">
        <v>11</v>
      </c>
      <c r="F145" s="50">
        <v>2019</v>
      </c>
      <c r="G145" s="42">
        <v>37.832999999999998</v>
      </c>
      <c r="H145" s="43">
        <v>-75.488</v>
      </c>
      <c r="I145" s="4" t="s">
        <v>131</v>
      </c>
      <c r="J145" s="29" t="s">
        <v>170</v>
      </c>
      <c r="K145" s="5" t="s">
        <v>178</v>
      </c>
      <c r="L145" s="4">
        <v>20600</v>
      </c>
      <c r="M145" s="5">
        <v>3604.9999999999995</v>
      </c>
    </row>
    <row r="146" spans="1:13">
      <c r="A146" s="17" t="s">
        <v>167</v>
      </c>
      <c r="B146" s="39" t="s">
        <v>132</v>
      </c>
      <c r="C146" s="49">
        <f>3+25/60</f>
        <v>3.4166666666666665</v>
      </c>
      <c r="D146" s="50">
        <v>3</v>
      </c>
      <c r="E146" s="50">
        <v>11</v>
      </c>
      <c r="F146" s="50">
        <v>2019</v>
      </c>
      <c r="G146" s="42">
        <v>38.863</v>
      </c>
      <c r="H146" s="43">
        <v>111.589</v>
      </c>
      <c r="I146" s="4" t="s">
        <v>57</v>
      </c>
      <c r="J146" s="29" t="s">
        <v>170</v>
      </c>
      <c r="K146" s="5" t="s">
        <v>178</v>
      </c>
      <c r="L146" s="4">
        <v>9500</v>
      </c>
      <c r="M146" s="5">
        <v>1662.5</v>
      </c>
    </row>
    <row r="147" spans="1:13">
      <c r="A147" s="17" t="s">
        <v>167</v>
      </c>
      <c r="B147" s="39" t="s">
        <v>133</v>
      </c>
      <c r="C147" s="49">
        <f>17+46/60</f>
        <v>17.766666666666666</v>
      </c>
      <c r="D147" s="50">
        <v>4</v>
      </c>
      <c r="E147" s="50">
        <v>11</v>
      </c>
      <c r="F147" s="50">
        <v>2019</v>
      </c>
      <c r="G147" s="42">
        <v>28.245999999999999</v>
      </c>
      <c r="H147" s="43">
        <v>102.027</v>
      </c>
      <c r="I147" s="4" t="s">
        <v>9</v>
      </c>
      <c r="J147" s="29" t="s">
        <v>170</v>
      </c>
      <c r="K147" s="5" t="s">
        <v>235</v>
      </c>
      <c r="L147" s="4">
        <v>25400</v>
      </c>
      <c r="M147" s="5">
        <v>4445</v>
      </c>
    </row>
    <row r="148" spans="1:13">
      <c r="A148" s="17" t="s">
        <v>177</v>
      </c>
      <c r="B148" s="39" t="s">
        <v>134</v>
      </c>
      <c r="C148" s="49">
        <f>14+59/60</f>
        <v>14.983333333333333</v>
      </c>
      <c r="D148" s="50">
        <v>11</v>
      </c>
      <c r="E148" s="50">
        <v>11</v>
      </c>
      <c r="F148" s="50">
        <v>2019</v>
      </c>
      <c r="G148" s="4">
        <v>28.41</v>
      </c>
      <c r="H148" s="5">
        <v>-80.61</v>
      </c>
      <c r="I148" s="4" t="s">
        <v>11</v>
      </c>
      <c r="J148" s="29" t="s">
        <v>170</v>
      </c>
      <c r="K148" s="5" t="s">
        <v>178</v>
      </c>
      <c r="L148" s="4">
        <v>27200</v>
      </c>
      <c r="M148" s="5">
        <v>4760</v>
      </c>
    </row>
    <row r="149" spans="1:13">
      <c r="A149" s="17" t="s">
        <v>167</v>
      </c>
      <c r="B149" s="39" t="s">
        <v>135</v>
      </c>
      <c r="C149" s="49">
        <f>3+43/60</f>
        <v>3.7166666666666668</v>
      </c>
      <c r="D149" s="50">
        <v>13</v>
      </c>
      <c r="E149" s="50">
        <v>11</v>
      </c>
      <c r="F149" s="50">
        <v>2019</v>
      </c>
      <c r="G149" s="42">
        <v>40.972000000000001</v>
      </c>
      <c r="H149" s="43">
        <v>100.364</v>
      </c>
      <c r="I149" s="4" t="s">
        <v>112</v>
      </c>
      <c r="J149" s="29" t="s">
        <v>170</v>
      </c>
      <c r="K149" s="5" t="s">
        <v>178</v>
      </c>
      <c r="L149" s="4">
        <v>3000</v>
      </c>
      <c r="M149" s="5">
        <v>525</v>
      </c>
    </row>
    <row r="150" spans="1:13">
      <c r="A150" s="17" t="s">
        <v>167</v>
      </c>
      <c r="B150" s="39" t="s">
        <v>136</v>
      </c>
      <c r="C150" s="49">
        <f>6+38/60</f>
        <v>6.6333333333333329</v>
      </c>
      <c r="D150" s="50">
        <v>13</v>
      </c>
      <c r="E150" s="50">
        <v>11</v>
      </c>
      <c r="F150" s="50">
        <v>2019</v>
      </c>
      <c r="G150" s="42">
        <v>38.868000000000002</v>
      </c>
      <c r="H150" s="43">
        <v>111.58</v>
      </c>
      <c r="I150" s="4" t="s">
        <v>137</v>
      </c>
      <c r="J150" s="29" t="s">
        <v>170</v>
      </c>
      <c r="K150" s="5" t="s">
        <v>178</v>
      </c>
      <c r="L150" s="4">
        <v>7530</v>
      </c>
      <c r="M150" s="5">
        <v>1317.75</v>
      </c>
    </row>
    <row r="151" spans="1:13">
      <c r="A151" s="17" t="s">
        <v>167</v>
      </c>
      <c r="B151" s="39" t="s">
        <v>138</v>
      </c>
      <c r="C151" s="49">
        <f>10+3/60</f>
        <v>10.050000000000001</v>
      </c>
      <c r="D151" s="50">
        <v>17</v>
      </c>
      <c r="E151" s="50">
        <v>11</v>
      </c>
      <c r="F151" s="50">
        <v>2019</v>
      </c>
      <c r="G151" s="42">
        <v>40.972000000000001</v>
      </c>
      <c r="H151" s="43">
        <v>100.364</v>
      </c>
      <c r="I151" s="4" t="s">
        <v>112</v>
      </c>
      <c r="J151" s="29" t="s">
        <v>170</v>
      </c>
      <c r="K151" s="5" t="s">
        <v>178</v>
      </c>
      <c r="L151" s="4">
        <v>3000</v>
      </c>
      <c r="M151" s="5">
        <v>525</v>
      </c>
    </row>
    <row r="152" spans="1:13">
      <c r="A152" s="4" t="s">
        <v>167</v>
      </c>
      <c r="B152" s="41" t="s">
        <v>284</v>
      </c>
      <c r="C152" s="49">
        <f>18+56/60</f>
        <v>18.933333333333334</v>
      </c>
      <c r="D152" s="50">
        <v>17</v>
      </c>
      <c r="E152" s="50">
        <v>11</v>
      </c>
      <c r="F152" s="50">
        <v>2019</v>
      </c>
      <c r="G152" s="4">
        <v>44.395000000000003</v>
      </c>
      <c r="H152" s="5">
        <v>29.161000000000001</v>
      </c>
      <c r="I152" s="4" t="s">
        <v>184</v>
      </c>
      <c r="J152" s="50" t="s">
        <v>205</v>
      </c>
      <c r="K152" s="5"/>
      <c r="L152" s="4">
        <v>2740</v>
      </c>
      <c r="M152" s="5">
        <v>479.49999999999994</v>
      </c>
    </row>
    <row r="153" spans="1:13">
      <c r="A153" s="4" t="s">
        <v>167</v>
      </c>
      <c r="B153" s="41" t="s">
        <v>285</v>
      </c>
      <c r="C153" s="49">
        <f>19+4/60</f>
        <v>19.066666666666666</v>
      </c>
      <c r="D153" s="50">
        <v>17</v>
      </c>
      <c r="E153" s="50">
        <v>11</v>
      </c>
      <c r="F153" s="50">
        <v>2019</v>
      </c>
      <c r="G153" s="4">
        <v>-54.063000000000002</v>
      </c>
      <c r="H153" s="5">
        <v>100.958</v>
      </c>
      <c r="I153" s="4" t="s">
        <v>182</v>
      </c>
      <c r="J153" s="50" t="s">
        <v>205</v>
      </c>
      <c r="K153" s="5"/>
      <c r="L153" s="4">
        <v>920</v>
      </c>
      <c r="M153" s="5">
        <v>161</v>
      </c>
    </row>
    <row r="154" spans="1:13">
      <c r="A154" s="4" t="s">
        <v>167</v>
      </c>
      <c r="B154" s="41" t="s">
        <v>288</v>
      </c>
      <c r="C154" s="49">
        <f>2+14/60</f>
        <v>2.2333333333333334</v>
      </c>
      <c r="D154" s="50">
        <v>19</v>
      </c>
      <c r="E154" s="50">
        <v>11</v>
      </c>
      <c r="F154" s="50">
        <v>2019</v>
      </c>
      <c r="G154" s="4">
        <v>-78.415999999999997</v>
      </c>
      <c r="H154" s="5">
        <v>89.119</v>
      </c>
      <c r="I154" s="4" t="s">
        <v>289</v>
      </c>
      <c r="J154" s="50" t="s">
        <v>170</v>
      </c>
      <c r="K154" s="5"/>
      <c r="L154" s="4">
        <v>1500</v>
      </c>
      <c r="M154" s="5">
        <v>262.5</v>
      </c>
    </row>
    <row r="155" spans="1:13">
      <c r="A155" s="4" t="s">
        <v>167</v>
      </c>
      <c r="B155" s="41" t="s">
        <v>286</v>
      </c>
      <c r="C155" s="49">
        <f>9+2/60</f>
        <v>9.0333333333333332</v>
      </c>
      <c r="D155" s="50">
        <v>19</v>
      </c>
      <c r="E155" s="50">
        <v>11</v>
      </c>
      <c r="F155" s="50">
        <v>2019</v>
      </c>
      <c r="G155" s="4">
        <v>14.044</v>
      </c>
      <c r="H155" s="5">
        <v>142.40600000000001</v>
      </c>
      <c r="I155" s="4" t="s">
        <v>287</v>
      </c>
      <c r="J155" s="50" t="s">
        <v>170</v>
      </c>
      <c r="K155" s="5"/>
      <c r="L155" s="4">
        <v>2243</v>
      </c>
      <c r="M155" s="5">
        <v>392.52499999999998</v>
      </c>
    </row>
    <row r="156" spans="1:13">
      <c r="A156" s="4" t="s">
        <v>167</v>
      </c>
      <c r="B156" s="41" t="s">
        <v>290</v>
      </c>
      <c r="C156" s="49">
        <f>20+46/60</f>
        <v>20.766666666666666</v>
      </c>
      <c r="D156" s="50">
        <v>22</v>
      </c>
      <c r="E156" s="50">
        <v>11</v>
      </c>
      <c r="F156" s="50">
        <v>2019</v>
      </c>
      <c r="G156" s="4">
        <v>-60.35</v>
      </c>
      <c r="H156" s="5">
        <v>-63.527000000000001</v>
      </c>
      <c r="I156" s="4" t="s">
        <v>291</v>
      </c>
      <c r="J156" s="50" t="s">
        <v>173</v>
      </c>
      <c r="K156" s="5"/>
      <c r="L156" s="4">
        <v>1415</v>
      </c>
      <c r="M156" s="5">
        <v>247.62499999999997</v>
      </c>
    </row>
    <row r="157" spans="1:13">
      <c r="A157" s="17" t="s">
        <v>167</v>
      </c>
      <c r="B157" s="39" t="s">
        <v>139</v>
      </c>
      <c r="C157" s="49">
        <f>58/60</f>
        <v>0.96666666666666667</v>
      </c>
      <c r="D157" s="50">
        <v>23</v>
      </c>
      <c r="E157" s="50">
        <v>11</v>
      </c>
      <c r="F157" s="50">
        <v>2019</v>
      </c>
      <c r="G157" s="42">
        <v>28.247</v>
      </c>
      <c r="H157" s="43">
        <v>102.029</v>
      </c>
      <c r="I157" s="4" t="s">
        <v>116</v>
      </c>
      <c r="J157" s="29" t="s">
        <v>170</v>
      </c>
      <c r="K157" s="5" t="s">
        <v>235</v>
      </c>
      <c r="L157" s="4">
        <v>25400</v>
      </c>
      <c r="M157" s="5">
        <v>4445</v>
      </c>
    </row>
    <row r="158" spans="1:13">
      <c r="A158" s="17" t="s">
        <v>167</v>
      </c>
      <c r="B158" s="39" t="s">
        <v>140</v>
      </c>
      <c r="C158" s="49">
        <f>17+55/60</f>
        <v>17.916666666666668</v>
      </c>
      <c r="D158" s="50">
        <v>25</v>
      </c>
      <c r="E158" s="50">
        <v>11</v>
      </c>
      <c r="F158" s="50">
        <v>2019</v>
      </c>
      <c r="G158" s="42">
        <v>62.929000000000002</v>
      </c>
      <c r="H158" s="43">
        <v>40.457000000000001</v>
      </c>
      <c r="I158" s="4" t="s">
        <v>80</v>
      </c>
      <c r="J158" s="29" t="s">
        <v>170</v>
      </c>
      <c r="K158" s="5" t="s">
        <v>178</v>
      </c>
      <c r="L158" s="4">
        <v>4900</v>
      </c>
      <c r="M158" s="5">
        <v>857.5</v>
      </c>
    </row>
    <row r="159" spans="1:13">
      <c r="A159" s="17" t="s">
        <v>167</v>
      </c>
      <c r="B159" s="39" t="s">
        <v>141</v>
      </c>
      <c r="C159" s="49">
        <f>21+26/60</f>
        <v>21.433333333333334</v>
      </c>
      <c r="D159" s="50">
        <v>26</v>
      </c>
      <c r="E159" s="50">
        <v>11</v>
      </c>
      <c r="F159" s="50">
        <v>2019</v>
      </c>
      <c r="G159" s="42">
        <v>5.2389999999999999</v>
      </c>
      <c r="H159" s="43">
        <v>-52.768999999999998</v>
      </c>
      <c r="I159" s="4" t="s">
        <v>23</v>
      </c>
      <c r="J159" s="29" t="s">
        <v>170</v>
      </c>
      <c r="K159" s="5" t="s">
        <v>235</v>
      </c>
      <c r="L159" s="4">
        <v>90000</v>
      </c>
      <c r="M159" s="5">
        <v>15749.999999999998</v>
      </c>
    </row>
    <row r="160" spans="1:13">
      <c r="A160" s="17" t="s">
        <v>167</v>
      </c>
      <c r="B160" s="39" t="s">
        <v>142</v>
      </c>
      <c r="C160" s="49">
        <f>4+1/60</f>
        <v>4.0166666666666666</v>
      </c>
      <c r="D160" s="50">
        <v>27</v>
      </c>
      <c r="E160" s="50">
        <v>11</v>
      </c>
      <c r="F160" s="50">
        <v>2019</v>
      </c>
      <c r="G160" s="42">
        <v>13.72</v>
      </c>
      <c r="H160" s="43">
        <v>80.23</v>
      </c>
      <c r="I160" s="4" t="s">
        <v>143</v>
      </c>
      <c r="J160" s="29" t="s">
        <v>170</v>
      </c>
      <c r="K160" s="5" t="s">
        <v>235</v>
      </c>
      <c r="L160" s="4">
        <v>46200</v>
      </c>
      <c r="M160" s="5">
        <v>8084.9999999999991</v>
      </c>
    </row>
    <row r="161" spans="1:13">
      <c r="A161" s="4" t="s">
        <v>167</v>
      </c>
      <c r="B161" s="41" t="s">
        <v>292</v>
      </c>
      <c r="C161" s="49">
        <f>8+11/60</f>
        <v>8.1833333333333336</v>
      </c>
      <c r="D161" s="50">
        <v>27</v>
      </c>
      <c r="E161" s="50">
        <v>11</v>
      </c>
      <c r="F161" s="50">
        <v>2019</v>
      </c>
      <c r="G161" s="4">
        <v>-5.0789999999999997</v>
      </c>
      <c r="H161" s="5">
        <v>-62.841000000000001</v>
      </c>
      <c r="I161" s="4" t="s">
        <v>279</v>
      </c>
      <c r="J161" s="50" t="s">
        <v>170</v>
      </c>
      <c r="K161" s="5"/>
      <c r="L161" s="4">
        <v>2740</v>
      </c>
      <c r="M161" s="5">
        <v>479.49999999999994</v>
      </c>
    </row>
    <row r="162" spans="1:13">
      <c r="A162" s="17" t="s">
        <v>167</v>
      </c>
      <c r="B162" s="39" t="s">
        <v>144</v>
      </c>
      <c r="C162" s="49">
        <f>23+55/60</f>
        <v>23.916666666666668</v>
      </c>
      <c r="D162" s="50">
        <v>27</v>
      </c>
      <c r="E162" s="50">
        <v>11</v>
      </c>
      <c r="F162" s="50">
        <v>2019</v>
      </c>
      <c r="G162" s="42">
        <v>38.863</v>
      </c>
      <c r="H162" s="43">
        <v>111.589</v>
      </c>
      <c r="I162" s="4" t="s">
        <v>65</v>
      </c>
      <c r="J162" s="29" t="s">
        <v>170</v>
      </c>
      <c r="K162" s="5" t="s">
        <v>178</v>
      </c>
      <c r="L162" s="4">
        <v>9500</v>
      </c>
      <c r="M162" s="5">
        <v>1662.5</v>
      </c>
    </row>
    <row r="163" spans="1:13">
      <c r="A163" s="4" t="s">
        <v>167</v>
      </c>
      <c r="B163" s="41" t="s">
        <v>293</v>
      </c>
      <c r="C163" s="49">
        <f>11+36/60</f>
        <v>11.6</v>
      </c>
      <c r="D163" s="50">
        <v>4</v>
      </c>
      <c r="E163" s="50">
        <v>12</v>
      </c>
      <c r="F163" s="50">
        <v>2019</v>
      </c>
      <c r="G163" s="4">
        <v>16.957999999999998</v>
      </c>
      <c r="H163" s="5">
        <v>-56.667000000000002</v>
      </c>
      <c r="I163" s="4" t="s">
        <v>228</v>
      </c>
      <c r="J163" s="50" t="s">
        <v>170</v>
      </c>
      <c r="K163" s="5"/>
      <c r="L163" s="4">
        <v>2500</v>
      </c>
      <c r="M163" s="5">
        <v>437.5</v>
      </c>
    </row>
    <row r="164" spans="1:13">
      <c r="A164" s="4" t="s">
        <v>167</v>
      </c>
      <c r="B164" s="41" t="s">
        <v>294</v>
      </c>
      <c r="C164" s="49">
        <f>11+54/60</f>
        <v>11.9</v>
      </c>
      <c r="D164" s="50">
        <v>4</v>
      </c>
      <c r="E164" s="50">
        <v>12</v>
      </c>
      <c r="F164" s="50">
        <v>2019</v>
      </c>
      <c r="G164" s="4">
        <v>-56.926000000000002</v>
      </c>
      <c r="H164" s="5">
        <v>48.984999999999999</v>
      </c>
      <c r="I164" s="4" t="s">
        <v>295</v>
      </c>
      <c r="J164" s="50" t="s">
        <v>170</v>
      </c>
      <c r="K164" s="5"/>
      <c r="L164" s="4">
        <v>2740</v>
      </c>
      <c r="M164" s="5">
        <v>479.49999999999994</v>
      </c>
    </row>
    <row r="165" spans="1:13">
      <c r="A165" s="17" t="s">
        <v>177</v>
      </c>
      <c r="B165" s="39" t="s">
        <v>145</v>
      </c>
      <c r="C165" s="49">
        <f>17+32/60</f>
        <v>17.533333333333335</v>
      </c>
      <c r="D165" s="50">
        <v>5</v>
      </c>
      <c r="E165" s="50">
        <v>12</v>
      </c>
      <c r="F165" s="50">
        <v>2019</v>
      </c>
      <c r="G165" s="4">
        <v>28.41</v>
      </c>
      <c r="H165" s="5">
        <v>-80.61</v>
      </c>
      <c r="I165" s="4" t="s">
        <v>11</v>
      </c>
      <c r="J165" s="29" t="s">
        <v>170</v>
      </c>
      <c r="K165" s="5" t="s">
        <v>178</v>
      </c>
      <c r="L165" s="4">
        <v>27200</v>
      </c>
      <c r="M165" s="5">
        <v>4760</v>
      </c>
    </row>
    <row r="166" spans="1:13">
      <c r="A166" s="17" t="s">
        <v>167</v>
      </c>
      <c r="B166" s="39" t="s">
        <v>146</v>
      </c>
      <c r="C166" s="49">
        <f>8+21/60</f>
        <v>8.35</v>
      </c>
      <c r="D166" s="50">
        <v>6</v>
      </c>
      <c r="E166" s="50">
        <v>12</v>
      </c>
      <c r="F166" s="50">
        <v>2019</v>
      </c>
      <c r="G166" s="42">
        <v>-39.251199999999997</v>
      </c>
      <c r="H166" s="43">
        <v>177.8673</v>
      </c>
      <c r="I166" s="4" t="s">
        <v>43</v>
      </c>
      <c r="J166" s="29" t="s">
        <v>170</v>
      </c>
      <c r="K166" s="5" t="s">
        <v>178</v>
      </c>
      <c r="L166" s="4">
        <v>950</v>
      </c>
      <c r="M166" s="5">
        <v>166.25</v>
      </c>
    </row>
    <row r="167" spans="1:13">
      <c r="A167" s="17" t="s">
        <v>167</v>
      </c>
      <c r="B167" s="39" t="s">
        <v>147</v>
      </c>
      <c r="C167" s="49">
        <f>9+37/60</f>
        <v>9.6166666666666671</v>
      </c>
      <c r="D167" s="50">
        <v>6</v>
      </c>
      <c r="E167" s="50">
        <v>12</v>
      </c>
      <c r="F167" s="50">
        <v>2019</v>
      </c>
      <c r="G167" s="42">
        <v>45.996000000000002</v>
      </c>
      <c r="H167" s="43">
        <v>63.564</v>
      </c>
      <c r="I167" s="4" t="s">
        <v>48</v>
      </c>
      <c r="J167" s="29" t="s">
        <v>170</v>
      </c>
      <c r="K167" s="5" t="s">
        <v>235</v>
      </c>
      <c r="L167" s="4">
        <v>21750</v>
      </c>
      <c r="M167" s="5">
        <v>3806.2499999999995</v>
      </c>
    </row>
    <row r="168" spans="1:13">
      <c r="A168" s="17" t="s">
        <v>167</v>
      </c>
      <c r="B168" s="39" t="s">
        <v>148</v>
      </c>
      <c r="C168" s="49">
        <f>2+58/60</f>
        <v>2.9666666666666668</v>
      </c>
      <c r="D168" s="50">
        <v>7</v>
      </c>
      <c r="E168" s="50">
        <v>12</v>
      </c>
      <c r="F168" s="50">
        <v>2019</v>
      </c>
      <c r="G168" s="4">
        <v>38.848999999999997</v>
      </c>
      <c r="H168" s="5">
        <v>111.608</v>
      </c>
      <c r="I168" s="4" t="s">
        <v>112</v>
      </c>
      <c r="J168" s="29" t="s">
        <v>170</v>
      </c>
      <c r="K168" s="5" t="s">
        <v>178</v>
      </c>
      <c r="L168" s="4">
        <v>3000</v>
      </c>
      <c r="M168" s="5">
        <v>525</v>
      </c>
    </row>
    <row r="169" spans="1:13">
      <c r="A169" s="17" t="s">
        <v>167</v>
      </c>
      <c r="B169" s="39" t="s">
        <v>149</v>
      </c>
      <c r="C169" s="49">
        <f>8+55/60</f>
        <v>8.9166666666666661</v>
      </c>
      <c r="D169" s="50">
        <v>7</v>
      </c>
      <c r="E169" s="50">
        <v>12</v>
      </c>
      <c r="F169" s="50">
        <v>2019</v>
      </c>
      <c r="G169" s="42">
        <v>38.868000000000002</v>
      </c>
      <c r="H169" s="43">
        <v>111.58</v>
      </c>
      <c r="I169" s="4" t="s">
        <v>112</v>
      </c>
      <c r="J169" s="29" t="s">
        <v>170</v>
      </c>
      <c r="K169" s="5" t="s">
        <v>178</v>
      </c>
      <c r="L169" s="4">
        <v>3000</v>
      </c>
      <c r="M169" s="5">
        <v>525</v>
      </c>
    </row>
    <row r="170" spans="1:13">
      <c r="A170" s="4" t="s">
        <v>167</v>
      </c>
      <c r="B170" s="41" t="s">
        <v>296</v>
      </c>
      <c r="C170" s="49">
        <f>1+27/60</f>
        <v>1.45</v>
      </c>
      <c r="D170" s="50">
        <v>11</v>
      </c>
      <c r="E170" s="50">
        <v>12</v>
      </c>
      <c r="F170" s="50">
        <v>2019</v>
      </c>
      <c r="G170" s="4">
        <v>-61.387</v>
      </c>
      <c r="H170" s="5">
        <v>-97.49</v>
      </c>
      <c r="I170" s="4" t="s">
        <v>220</v>
      </c>
      <c r="J170" s="50" t="s">
        <v>170</v>
      </c>
      <c r="K170" s="5"/>
      <c r="L170" s="4">
        <v>1050</v>
      </c>
      <c r="M170" s="5">
        <v>183.75</v>
      </c>
    </row>
    <row r="171" spans="1:13">
      <c r="A171" s="17" t="s">
        <v>167</v>
      </c>
      <c r="B171" s="39" t="s">
        <v>150</v>
      </c>
      <c r="C171" s="49">
        <f>8+58/60</f>
        <v>8.9666666666666668</v>
      </c>
      <c r="D171" s="50">
        <v>11</v>
      </c>
      <c r="E171" s="50">
        <v>12</v>
      </c>
      <c r="F171" s="50">
        <v>2019</v>
      </c>
      <c r="G171" s="42">
        <v>62.927</v>
      </c>
      <c r="H171" s="43">
        <v>40.450000000000003</v>
      </c>
      <c r="I171" s="4" t="s">
        <v>27</v>
      </c>
      <c r="J171" s="29" t="s">
        <v>170</v>
      </c>
      <c r="K171" s="5" t="s">
        <v>235</v>
      </c>
      <c r="L171" s="4">
        <v>21750</v>
      </c>
      <c r="M171" s="5">
        <v>3806.2499999999995</v>
      </c>
    </row>
    <row r="172" spans="1:13">
      <c r="A172" s="17" t="s">
        <v>167</v>
      </c>
      <c r="B172" s="39" t="s">
        <v>151</v>
      </c>
      <c r="C172" s="49">
        <f>9+58/60</f>
        <v>9.9666666666666668</v>
      </c>
      <c r="D172" s="50">
        <v>11</v>
      </c>
      <c r="E172" s="50">
        <v>12</v>
      </c>
      <c r="F172" s="50">
        <v>2019</v>
      </c>
      <c r="G172" s="42">
        <v>13.72</v>
      </c>
      <c r="H172" s="43">
        <v>80.23</v>
      </c>
      <c r="I172" s="4" t="s">
        <v>46</v>
      </c>
      <c r="J172" s="29" t="s">
        <v>170</v>
      </c>
      <c r="K172" s="5" t="s">
        <v>235</v>
      </c>
      <c r="L172" s="4">
        <v>40800</v>
      </c>
      <c r="M172" s="5">
        <v>7140</v>
      </c>
    </row>
    <row r="173" spans="1:13">
      <c r="A173" s="17" t="s">
        <v>167</v>
      </c>
      <c r="B173" s="39" t="s">
        <v>152</v>
      </c>
      <c r="C173" s="49">
        <f>7+25/60</f>
        <v>7.416666666666667</v>
      </c>
      <c r="D173" s="50">
        <v>16</v>
      </c>
      <c r="E173" s="50">
        <v>12</v>
      </c>
      <c r="F173" s="50">
        <v>2019</v>
      </c>
      <c r="G173" s="42">
        <v>28.247</v>
      </c>
      <c r="H173" s="43">
        <v>102.029</v>
      </c>
      <c r="I173" s="4" t="s">
        <v>116</v>
      </c>
      <c r="J173" s="29" t="s">
        <v>170</v>
      </c>
      <c r="K173" s="5" t="s">
        <v>235</v>
      </c>
      <c r="L173" s="4">
        <v>25400</v>
      </c>
      <c r="M173" s="5">
        <v>4445</v>
      </c>
    </row>
    <row r="174" spans="1:13">
      <c r="A174" s="17" t="s">
        <v>177</v>
      </c>
      <c r="B174" s="39" t="s">
        <v>153</v>
      </c>
      <c r="C174" s="49">
        <f>13/60</f>
        <v>0.21666666666666667</v>
      </c>
      <c r="D174" s="50">
        <v>17</v>
      </c>
      <c r="E174" s="50">
        <v>12</v>
      </c>
      <c r="F174" s="50">
        <v>2019</v>
      </c>
      <c r="G174" s="4">
        <v>28.41</v>
      </c>
      <c r="H174" s="5">
        <v>-80.61</v>
      </c>
      <c r="I174" s="4" t="s">
        <v>11</v>
      </c>
      <c r="J174" s="29" t="s">
        <v>170</v>
      </c>
      <c r="K174" s="5" t="s">
        <v>178</v>
      </c>
      <c r="L174" s="4">
        <v>27200</v>
      </c>
      <c r="M174" s="5">
        <v>4760</v>
      </c>
    </row>
    <row r="175" spans="1:13">
      <c r="A175" s="4" t="s">
        <v>167</v>
      </c>
      <c r="B175" s="41" t="s">
        <v>297</v>
      </c>
      <c r="C175" s="49">
        <f>2+46/60</f>
        <v>2.7666666666666666</v>
      </c>
      <c r="D175" s="50">
        <v>18</v>
      </c>
      <c r="E175" s="50">
        <v>12</v>
      </c>
      <c r="F175" s="50">
        <v>2019</v>
      </c>
      <c r="G175" s="4">
        <v>-53.893999999999998</v>
      </c>
      <c r="H175" s="5">
        <v>98.02</v>
      </c>
      <c r="I175" s="4" t="s">
        <v>189</v>
      </c>
      <c r="J175" s="50" t="s">
        <v>170</v>
      </c>
      <c r="K175" s="5"/>
      <c r="L175" s="4">
        <v>250</v>
      </c>
      <c r="M175" s="5">
        <v>43.75</v>
      </c>
    </row>
    <row r="176" spans="1:13">
      <c r="A176" s="17" t="s">
        <v>167</v>
      </c>
      <c r="B176" s="39" t="s">
        <v>154</v>
      </c>
      <c r="C176" s="49">
        <f>8+57/60</f>
        <v>8.9499999999999993</v>
      </c>
      <c r="D176" s="50">
        <v>18</v>
      </c>
      <c r="E176" s="50">
        <v>12</v>
      </c>
      <c r="F176" s="50">
        <v>2019</v>
      </c>
      <c r="G176" s="42">
        <v>5.3010000000000002</v>
      </c>
      <c r="H176" s="43">
        <v>-52.837000000000003</v>
      </c>
      <c r="I176" s="4" t="s">
        <v>155</v>
      </c>
      <c r="J176" s="29" t="s">
        <v>170</v>
      </c>
      <c r="K176" s="5" t="s">
        <v>235</v>
      </c>
      <c r="L176" s="4">
        <v>21750</v>
      </c>
      <c r="M176" s="5">
        <v>3806.2499999999995</v>
      </c>
    </row>
    <row r="177" spans="1:13">
      <c r="A177" s="17" t="s">
        <v>167</v>
      </c>
      <c r="B177" s="39" t="s">
        <v>156</v>
      </c>
      <c r="C177" s="49">
        <f>3+25/60</f>
        <v>3.4166666666666665</v>
      </c>
      <c r="D177" s="50">
        <v>20</v>
      </c>
      <c r="E177" s="50">
        <v>12</v>
      </c>
      <c r="F177" s="50">
        <v>2019</v>
      </c>
      <c r="G177" s="42">
        <v>38.863</v>
      </c>
      <c r="H177" s="43">
        <v>111.589</v>
      </c>
      <c r="I177" s="4" t="s">
        <v>57</v>
      </c>
      <c r="J177" s="29" t="s">
        <v>170</v>
      </c>
      <c r="K177" s="5" t="s">
        <v>178</v>
      </c>
      <c r="L177" s="4">
        <v>9500</v>
      </c>
      <c r="M177" s="5">
        <v>1662.5</v>
      </c>
    </row>
    <row r="178" spans="1:13">
      <c r="A178" s="17" t="s">
        <v>167</v>
      </c>
      <c r="B178" s="39" t="s">
        <v>157</v>
      </c>
      <c r="C178" s="49">
        <f>11+40/60</f>
        <v>11.666666666666666</v>
      </c>
      <c r="D178" s="50">
        <v>20</v>
      </c>
      <c r="E178" s="50">
        <v>12</v>
      </c>
      <c r="F178" s="50">
        <v>2019</v>
      </c>
      <c r="G178" s="42">
        <v>28.582999999999998</v>
      </c>
      <c r="H178" s="43">
        <v>-80.582999999999998</v>
      </c>
      <c r="I178" s="4" t="s">
        <v>158</v>
      </c>
      <c r="J178" s="29" t="s">
        <v>170</v>
      </c>
      <c r="K178" s="5" t="s">
        <v>235</v>
      </c>
      <c r="L178" s="4">
        <v>28000</v>
      </c>
      <c r="M178" s="5">
        <v>4900</v>
      </c>
    </row>
    <row r="179" spans="1:13">
      <c r="A179" s="4" t="s">
        <v>177</v>
      </c>
      <c r="B179" s="41" t="s">
        <v>298</v>
      </c>
      <c r="C179" s="49">
        <f>14+19/60</f>
        <v>14.316666666666666</v>
      </c>
      <c r="D179" s="50">
        <v>22</v>
      </c>
      <c r="E179" s="50">
        <v>12</v>
      </c>
      <c r="F179" s="50">
        <v>2019</v>
      </c>
      <c r="G179" s="42">
        <v>32.943199999999997</v>
      </c>
      <c r="H179" s="43">
        <v>-106.4195</v>
      </c>
      <c r="I179" s="4" t="s">
        <v>159</v>
      </c>
      <c r="J179" s="50" t="s">
        <v>173</v>
      </c>
      <c r="K179" s="5"/>
      <c r="L179" s="4">
        <v>13000</v>
      </c>
      <c r="M179" s="5">
        <v>2275</v>
      </c>
    </row>
    <row r="180" spans="1:13">
      <c r="A180" s="17" t="s">
        <v>167</v>
      </c>
      <c r="B180" s="39" t="s">
        <v>160</v>
      </c>
      <c r="C180" s="49">
        <f>12+6/60</f>
        <v>12.1</v>
      </c>
      <c r="D180" s="50">
        <v>24</v>
      </c>
      <c r="E180" s="50">
        <v>12</v>
      </c>
      <c r="F180" s="50">
        <v>2019</v>
      </c>
      <c r="G180" s="42">
        <v>46.070999999999998</v>
      </c>
      <c r="H180" s="43">
        <v>62.984999999999999</v>
      </c>
      <c r="I180" s="4" t="s">
        <v>83</v>
      </c>
      <c r="J180" s="29" t="s">
        <v>170</v>
      </c>
      <c r="K180" s="5" t="s">
        <v>178</v>
      </c>
      <c r="L180" s="4">
        <v>30600</v>
      </c>
      <c r="M180" s="5">
        <v>5355</v>
      </c>
    </row>
    <row r="181" spans="1:13">
      <c r="A181" s="17" t="s">
        <v>167</v>
      </c>
      <c r="B181" s="39" t="s">
        <v>161</v>
      </c>
      <c r="C181" s="49">
        <f>23+15/60</f>
        <v>23.25</v>
      </c>
      <c r="D181" s="50">
        <v>26</v>
      </c>
      <c r="E181" s="50">
        <v>12</v>
      </c>
      <c r="F181" s="50">
        <v>2019</v>
      </c>
      <c r="G181" s="42">
        <v>62.887</v>
      </c>
      <c r="H181" s="43">
        <v>40.847000000000001</v>
      </c>
      <c r="I181" s="4" t="s">
        <v>110</v>
      </c>
      <c r="J181" s="29" t="s">
        <v>170</v>
      </c>
      <c r="K181" s="5" t="s">
        <v>178</v>
      </c>
      <c r="L181" s="4">
        <v>5700</v>
      </c>
      <c r="M181" s="5">
        <v>997.49999999999989</v>
      </c>
    </row>
    <row r="182" spans="1:13">
      <c r="A182" s="17" t="s">
        <v>167</v>
      </c>
      <c r="B182" s="39" t="s">
        <v>162</v>
      </c>
      <c r="C182" s="49">
        <f>12+48/60</f>
        <v>12.8</v>
      </c>
      <c r="D182" s="50">
        <v>27</v>
      </c>
      <c r="E182" s="50">
        <v>12</v>
      </c>
      <c r="F182" s="50">
        <v>2019</v>
      </c>
      <c r="G182" s="42">
        <v>19.614000000000001</v>
      </c>
      <c r="H182" s="43">
        <v>110.95099999999999</v>
      </c>
      <c r="I182" s="4" t="s">
        <v>163</v>
      </c>
      <c r="J182" s="29" t="s">
        <v>170</v>
      </c>
      <c r="K182" s="5" t="s">
        <v>235</v>
      </c>
      <c r="L182" s="4">
        <v>67000</v>
      </c>
      <c r="M182" s="5">
        <v>11725</v>
      </c>
    </row>
    <row r="183" spans="1:13">
      <c r="A183" s="4" t="s">
        <v>167</v>
      </c>
      <c r="B183" s="41" t="s">
        <v>299</v>
      </c>
      <c r="C183" s="49">
        <f>17+2/60</f>
        <v>17.033333333333335</v>
      </c>
      <c r="D183" s="50">
        <v>27</v>
      </c>
      <c r="E183" s="50">
        <v>12</v>
      </c>
      <c r="F183" s="50">
        <v>2019</v>
      </c>
      <c r="G183" s="4">
        <v>14.175000000000001</v>
      </c>
      <c r="H183" s="5">
        <v>-60.801000000000002</v>
      </c>
      <c r="I183" s="4" t="s">
        <v>300</v>
      </c>
      <c r="J183" s="50" t="s">
        <v>173</v>
      </c>
      <c r="K183" s="5"/>
      <c r="L183" s="4">
        <v>689</v>
      </c>
      <c r="M183" s="5">
        <v>120.57499999999999</v>
      </c>
    </row>
    <row r="184" spans="1:13">
      <c r="A184" s="6" t="s">
        <v>167</v>
      </c>
      <c r="B184" s="46" t="s">
        <v>301</v>
      </c>
      <c r="C184" s="58">
        <f>17+13/60</f>
        <v>17.216666666666665</v>
      </c>
      <c r="D184" s="7">
        <v>31</v>
      </c>
      <c r="E184" s="7">
        <v>12</v>
      </c>
      <c r="F184" s="7">
        <v>2019</v>
      </c>
      <c r="G184" s="6">
        <v>24.96</v>
      </c>
      <c r="H184" s="8">
        <v>50.841999999999999</v>
      </c>
      <c r="I184" s="6" t="s">
        <v>302</v>
      </c>
      <c r="J184" s="7" t="s">
        <v>173</v>
      </c>
      <c r="K184" s="8"/>
      <c r="L184" s="6">
        <v>4348</v>
      </c>
      <c r="M184" s="8">
        <v>760.9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Launch emissions</vt:lpstr>
      <vt:lpstr>Re-entries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</dc:creator>
  <cp:lastModifiedBy>Eloise Marais</cp:lastModifiedBy>
  <dcterms:created xsi:type="dcterms:W3CDTF">2020-07-23T20:48:20Z</dcterms:created>
  <dcterms:modified xsi:type="dcterms:W3CDTF">2020-08-03T12:41:11Z</dcterms:modified>
</cp:coreProperties>
</file>